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g_daq_v2_parts_cost. " sheetId="1" r:id="rId1"/>
  </sheets>
  <definedNames>
    <definedName name="arrow_part_data">'covg_daq_v2_parts_cost. '!$I$5:$M$85</definedName>
    <definedName name="BoardQty">'covg_daq_v2_parts_cost. '!$H$1</definedName>
    <definedName name="digikey_part_data">'covg_daq_v2_parts_cost. '!$N$5:$R$85</definedName>
    <definedName name="farnell_part_data">'covg_daq_v2_parts_cost. '!$S$5:$W$85</definedName>
    <definedName name="global_part_data">'covg_daq_v2_parts_cost. '!$A$5:$H$85</definedName>
    <definedName name="lcsc_part_data">'covg_daq_v2_parts_cost. '!$X$5:$AB$85</definedName>
    <definedName name="mouser_part_data">'covg_daq_v2_parts_cost. '!$AC$5:$AG$85</definedName>
    <definedName name="newark_part_data">'covg_daq_v2_parts_cost. '!$AH$5:$AL$85</definedName>
    <definedName name="PURCHASE_DESCRIPTION">'covg_daq_v2_parts_cost. '!$H$88</definedName>
    <definedName name="rs_part_data">'covg_daq_v2_parts_cost. '!$AM$5:$AQ$85</definedName>
    <definedName name="tme_part_data">'covg_daq_v2_parts_cost. '!$AR$5:$AV$85</definedName>
    <definedName name="TotalCost">'covg_daq_v2_parts_cost. '!$H$3</definedName>
    <definedName name="USD_GBP">'covg_daq_v2_parts_cost. '!$C$88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R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W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B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G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L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Q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F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J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K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L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N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O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P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Q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S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T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U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V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X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Y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Z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N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$0.60
    50   $0.03      $1.65
   100   $0.03      $2.69
   500   $0.02      $9.62
  1000   $0.02     $15.12
  4000   $0.01     $50.56</t>
        </r>
      </text>
    </comment>
    <comment ref="S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£0.01     £36.00</t>
        </r>
      </text>
    </comment>
    <comment ref="AE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$0.33
    50   $0.03      $1.65
   100   $0.02      $2.00
  1000   $0.02     $16.00
 10000   $0.01    $140.00</t>
        </r>
      </text>
    </comment>
    <comment ref="AH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4000   $0.02     $72.00
  8000   $0.01    $104.00</t>
        </r>
      </text>
    </comment>
    <comment ref="P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$0.49
    50   $0.03      $1.33
   100   $0.02      $2.17
   500   $0.02      $7.75
  1000   $0.01     $12.18
  4000   $0.01     $40.72</t>
        </r>
      </text>
    </comment>
    <comment ref="U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£0.26
   100   £0.02      £2.13
   150   £0.02      £3.20
   500   £0.01      £7.30
  1000   £0.01     £11.70
  2000   £0.01     £22.20
  4000   £0.01     £33.20
 20000   £0.01    £126.00</t>
        </r>
      </text>
    </comment>
    <comment ref="Z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$0.30
   500   $0.00      $2.25
  1500   $0.00      $6.30
  5000   $0.00     $19.50
 25000   $0.00     $95.00
 50000   $0.00    $185.00</t>
        </r>
      </text>
    </comment>
    <comment ref="AC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$0.50
    50   $0.05      $2.50
   100   $0.02      $2.20
  1000   $0.01     $12.00
 10000   $0.01     $80.00</t>
        </r>
      </text>
    </comment>
    <comment ref="AJ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25   $0.06      $1.47
    50   $0.03      $1.55
   100   $0.03      $2.60
   250   $0.02      $5.75
   500   $0.02      $9.50
  4000   $0.01     $44.00</t>
        </r>
      </text>
    </comment>
    <comment ref="AT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£1.19
   300   £0.01      £2.27
  1000   £0.01      £5.46
  4000   £0.00     £17.12
 20000   £0.00     £82.40</t>
        </r>
      </text>
    </comment>
    <comment ref="P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$0.12      $1.23
    50   $0.07      $3.48
   100   $0.06      $5.76
   500   $0.04     $20.20
  1000   $0.03     $33.45
  4000   $0.03    $113.92</t>
        </r>
      </text>
    </comment>
    <comment ref="S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£0.02     £84.00</t>
        </r>
      </text>
    </comment>
    <comment ref="AE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$0.07      $0.70
    50   $0.07      $3.50
   100   $0.04      $4.10
  1000   $0.03     $33.00
 10000   $0.02    $190.00</t>
        </r>
      </text>
    </comment>
    <comment ref="AH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4000   $0.03    $128.00
  8000   $0.03    $224.00
 16000   $0.02    $384.00
 24000   $0.02    $456.00</t>
        </r>
      </text>
    </comment>
    <comment ref="N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$0.71
    50   $0.04      $1.94
   100   $0.03      $3.16
   500   $0.02     $11.29
  1000   $0.02     $17.74
  4000   $0.01     $59.36</t>
        </r>
      </text>
    </comment>
    <comment ref="S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£0.01     £32.00</t>
        </r>
      </text>
    </comment>
    <comment ref="AE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$0.59
    50   $0.06      $2.95
   100   $0.02      $2.40
  1000   $0.02     $20.00
 10000   $0.01    $140.00</t>
        </r>
      </text>
    </comment>
    <comment ref="AH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4000   $0.02     $60.00
  8000   $0.01     $88.00</t>
        </r>
      </text>
    </comment>
    <comment ref="P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$0.44
    50   $0.02      $1.21
   100   $0.02      $1.98
   500   $0.01      $7.06
  1000   $0.01     $11.10
  4000   $0.01     $37.16</t>
        </r>
      </text>
    </comment>
    <comment ref="U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£0.23
   100   £0.01      £1.40
   150   £0.01      £2.10
   500   £0.01      £6.35
  1000   £0.01      £9.70
  2000   £0.01     £18.80
  4000   £0.01     £28.00
 20000   £0.01    £118.00</t>
        </r>
      </text>
    </comment>
    <comment ref="AE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$0.42
    50   $0.04      $2.10
   100   $0.02      $1.90
  1000   $0.02     $15.00
 10000   $0.01     $90.00</t>
        </r>
      </text>
    </comment>
    <comment ref="AJ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$0.04      $0.42
    25   $0.03      $0.85
    50   $0.03      $1.35
   100   $0.02      $1.90
  4000   $0.01     $44.00
  8000   $0.01     $80.00</t>
        </r>
      </text>
    </comment>
    <comment ref="AO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£0.01     £32.00
 12000   £0.01     £96.00</t>
        </r>
      </text>
    </comment>
    <comment ref="AT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£1.07
   300   £0.01      £2.27
  1000   £0.00      £4.76
  4000   £0.00     £12.12
 12000   £0.00     £35.16</t>
        </r>
      </text>
    </comment>
    <comment ref="N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$0.38
    50   $0.02      $1.05
   100   $0.02      $1.71
   500   $0.01      $6.12
  1000   $0.01      $9.61
  4000   $0.01     $32.16</t>
        </r>
      </text>
    </comment>
    <comment ref="U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£28.96     £28.96
     3  £26.25     £78.75
    10   £0.02      £0.18
   100   £0.01      £1.38
   150   £0.01      £2.07
   500   £0.01      £5.25
  1000   £0.01      £9.00
  2000   £0.01     £16.00
  4000   £0.01     £39.60
 20000   £0.01    £156.00</t>
        </r>
      </text>
    </comment>
    <comment ref="AC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$0.20
    50   $0.02      $1.00
   100   $0.01      $1.20
  1000   $0.01     $10.00
 10000   $0.01     $70.00</t>
        </r>
      </text>
    </comment>
    <comment ref="AJ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$0.10      $1.00
    25   $0.01      $0.35
    50   $0.01      $0.65
   100   $0.01      $1.20
  4000   $0.01     $28.00
  8000   $0.01     $48.00</t>
        </r>
      </text>
    </comment>
    <comment ref="AO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£0.00     £20.00
 12000   £0.00     £60.00</t>
        </r>
      </text>
    </comment>
    <comment ref="AT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50   £0.02      £1.12
   300   £0.01      £2.39
  1000   £0.00      £3.83
  4000   £0.00     £13.52
 12000   £0.00     £39.24</t>
        </r>
      </text>
    </comment>
    <comment ref="N1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$0.13      $0.13
    10   $0.10      $0.96
    50   $0.05      $2.71
   100   $0.04      $4.50
   500   $0.03     $15.77
  1000   $0.03     $26.11
  4000   $0.02     $88.92</t>
        </r>
      </text>
    </comment>
    <comment ref="S1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£0.15      £0.15
    25   £0.08      £2.12
    50   £0.07      £3.32
   100   £0.05      £5.05
   250   £0.04     £10.02
   500   £0.03     £15.90</t>
        </r>
      </text>
    </comment>
    <comment ref="Z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$0.68
   500   $0.01      $5.00
  1500   $0.01     $14.10
  5000   $0.01     $43.50
 25000   $0.01    $210.00
 50000   $0.01    $415.00</t>
        </r>
      </text>
    </comment>
    <comment ref="AC1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$0.15      $0.15
    10   $0.10      $1.05
    50   $0.10      $5.25
   100   $0.05      $4.90
  1000   $0.03     $28.00
 10000   $0.02    $190.00</t>
        </r>
      </text>
    </comment>
    <comment ref="AH1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25   $0.13      $3.28
    50   $0.10      $4.80
   100   $0.06      $6.10
   250   $0.05     $13.25
   500   $0.04     $21.50
  4000   $0.04    $148.00
  5000   $0.03    $160.00
 10000   $0.02    $250.00
 20000   $0.02    $380.00</t>
        </r>
      </text>
    </comment>
    <comment ref="AO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£0.04      £4.00
   200   £0.04      £7.40
   500   £0.03     £14.50</t>
        </r>
      </text>
    </comment>
    <comment ref="Z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20   $0.02      $0.41
   200   $0.02      $3.12
   600   $0.01      $8.82
  2000   $0.01     $27.60
 10000   $0.01    $133.00
 20000   $0.01    $262.00</t>
        </r>
      </text>
    </comment>
    <comment ref="P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$0.22      $2.19
    25   $0.18      $4.53
    50   $0.16      $7.81
   100   $0.14     $14.06
   250   $0.12     $29.69
   500   $0.11     $53.12
  1000   $0.09     $90.62
  3000   $0.09    $262.50
  6000   $0.08    $506.28
  9000   $0.08    $748.08</t>
        </r>
      </text>
    </comment>
    <comment ref="U1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3000   £0.06    £166.80
 15000   £0.05    £772.50</t>
        </r>
      </text>
    </comment>
    <comment ref="AE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$0.16      $1.57
    50   $0.16      $7.85
   100   $0.12     $11.90
  1000   $0.09     $88.00
 10000   $0.08    $800.00</t>
        </r>
      </text>
    </comment>
    <comment ref="AO1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25   £0.17      £4.15
    50   £0.14      £7.05
   100   £0.12     £12.40
   500   £0.11     £54.00
  2000   £0.10    £200.00</t>
        </r>
      </text>
    </comment>
    <comment ref="AT1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£0.20      £2.03
   100   £0.11     £11.26
  1000   £0.08     £81.10
  3000   £0.07    £197.40
  9000   £0.06    £575.10</t>
        </r>
      </text>
    </comment>
    <comment ref="P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$2.06      $2.06
    10   $1.85     $18.54
    25   $1.75     $43.72
   100   $1.49    $149.01
   250   $1.40    $349.80
   500   $1.22    $612.15
  1000   $1.10  $1,102.20
  2500   $1.10  $2,755.50</t>
        </r>
      </text>
    </comment>
    <comment ref="U1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£1.96      £1.96
    10   £1.46     £14.60
    50   £1.34     £67.00
   100   £1.21    £121.00
   250   £1.09    £272.50
   500   £1.01    £505.00
  1000   £0.85    £847.00
  2500   £0.79  £1,970.00</t>
        </r>
      </text>
    </comment>
    <comment ref="AC1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$2.06      $2.06
    10   $1.86     $18.60
    50   $1.75     $87.50
   100   $1.44    $144.00
  1000   $1.01  $1,010.00
 10000   $0.94  $9,390.00</t>
        </r>
      </text>
    </comment>
    <comment ref="AJ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$2.90      $2.90
    10   $2.70     $27.00
    25   $2.54     $63.50
    50   $2.39    $119.50
   100   $2.23    $223.00
   250   $2.05    $512.50</t>
        </r>
      </text>
    </comment>
    <comment ref="N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$20.70     $20.70
    10  $19.09    $190.94
    25  $18.24    $455.91
   100  $16.90  $1,690.04
  1000  $16.90 $16,900.40</t>
        </r>
      </text>
    </comment>
    <comment ref="AE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$20.70     $20.70
    10  $19.10    $191.00
    50  $18.24    $912.00
   100  $16.91  $1,691.00
  1000  $16.90 $16,900.00
 10000  $16.90 $169,000.00</t>
        </r>
      </text>
    </comment>
    <comment ref="N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$0.50      $0.50</t>
        </r>
      </text>
    </comment>
    <comment ref="AE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$0.50      $0.50
    10   $0.50      $5.00
    50   $0.50     $25.00
   100   $0.50     $50.00
  1000   $0.50    $500.00
 10000   $0.50  $5,000.00</t>
        </r>
      </text>
    </comment>
    <comment ref="P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$0.60      $0.60
    10   $0.57      $5.67
    25   $0.51     $12.75
    50   $0.45     $22.66
   100   $0.43     $43.44
   250   $0.40     $99.16
   500   $0.38    $188.87
  1000   $0.31    $311.64
  2500   $0.28    $708.25</t>
        </r>
      </text>
    </comment>
    <comment ref="AE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$0.59      $0.59
    10   $0.45      $4.48
    50   $0.45     $22.40
   100   $0.39     $39.20
  1000   $0.31    $308.00
 10000   $0.27  $2,680.00</t>
        </r>
      </text>
    </comment>
    <comment ref="N2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$0.88      $0.88
    10   $0.77      $7.72
    25   $0.72     $17.92
    50   $0.61     $30.32
   100   $0.55     $55.12
   250   $0.52    $129.54
   500   $0.46    $231.52
  1000   $0.37    $374.85</t>
        </r>
      </text>
    </comment>
    <comment ref="AC2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$0.84      $0.84
    10   $0.58      $5.78
    50   $0.58     $28.90
   100   $0.44     $44.10
  1000   $0.35    $348.00
 10000   $0.35  $3,480.00</t>
        </r>
      </text>
    </comment>
    <comment ref="N3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$0.88      $0.88
    10   $0.77      $7.72
    25   $0.72     $17.92
    50   $0.61     $30.32
   100   $0.55     $55.12
   250   $0.52    $129.54
   500   $0.46    $231.52
  1000   $0.37    $374.85</t>
        </r>
      </text>
    </comment>
    <comment ref="AC3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$0.84      $0.84
    10   $0.58      $5.78
    50   $0.58     $28.90
   100   $0.44     $44.10
  1000   $0.35    $348.00
 10000   $0.35  $3,480.00</t>
        </r>
      </text>
    </comment>
    <comment ref="P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$0.62
    50   $0.03      $1.70
   100   $0.03      $2.78
   500   $0.02      $9.92
  1000   $0.02     $15.59
  4000   $0.01     $52.16</t>
        </r>
      </text>
    </comment>
    <comment ref="AE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$0.16      $0.16
    10   $0.08      $0.78
    50   $0.08      $3.90
   100   $0.04      $3.50
  1000   $0.03     $29.00
 10000   $0.02    $200.00</t>
        </r>
      </text>
    </comment>
    <comment ref="N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$0.88      $0.88
    10   $0.77      $7.72
    25   $0.72     $17.92
    50   $0.61     $30.32
   100   $0.55     $55.12
   250   $0.52    $129.54
   500   $0.46    $231.52
  1000   $0.37    $374.85</t>
        </r>
      </text>
    </comment>
    <comment ref="AC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$0.84      $0.84
    10   $0.58      $5.78
    50   $0.58     $28.90
   100   $0.44     $44.10
  1000   $0.35    $348.00
 10000   $0.35  $3,480.00</t>
        </r>
      </text>
    </comment>
    <comment ref="P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$8.12      $8.12
    60   $6.77    $406.02
   120   $6.43    $771.44
   480   $5.41  $2,598.53
   960   $4.74  $4,547.42</t>
        </r>
      </text>
    </comment>
    <comment ref="S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3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£9.20      £9.20
     5   £7.92     £39.60
    10   £7.33     £73.30
    25   £6.82    £170.50
    50   £6.18    £309.00</t>
        </r>
      </text>
    </comment>
    <comment ref="AE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$8.04      $8.04
    10   $7.71     $77.10
    50   $7.71    $385.50
   100   $6.36    $636.00
  1000   $4.68  $4,680.00
 10000   $4.68 $46,800.00</t>
        </r>
      </text>
    </comment>
    <comment ref="AH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60   $7.21    $432.60
   100   $5.87    $587.00
   500   $4.46  $2,230.00</t>
        </r>
      </text>
    </comment>
    <comment ref="AO3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60   £4.01    £240.42</t>
        </r>
      </text>
    </comment>
    <comment ref="P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$0.18      $1.81
    25   $0.17      $4.31
   100   $0.10      $9.85
   500   $0.06     $30.32
  1000   $0.04     $41.34
  3000   $0.04    $105.42
  6000   $0.03    $190.14
 15000   $0.03    $413.40
 30000   $0.02    $744.00
 75000   $0.02  $1,653.75</t>
        </r>
      </text>
    </comment>
    <comment ref="U3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£0.24      £1.20
    10   £0.16      £1.64
   100   £0.09      £8.70
   150   £0.09     £13.05
   500   £0.06     £31.65
  1000   £0.03     £33.00</t>
        </r>
      </text>
    </comment>
    <comment ref="Z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20   $0.02      $0.46
   200   $0.02      $3.56
   600   $0.02     $10.08
  2000   $0.02     $31.60
 10000   $0.02    $154.00
 20000   $0.02    $304.00</t>
        </r>
      </text>
    </comment>
    <comment ref="AE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10   $0.18      $1.82
    50   $0.18      $9.10
   100   $0.10      $9.90
  1000   $0.04     $42.00
 10000   $0.03    $270.00</t>
        </r>
      </text>
    </comment>
    <comment ref="AJ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 10   $0.01      $0.10
    25   $0.01      $0.25
    50   $0.01      $0.50
   100   $0.01      $1.00
   250   $0.01      $2.50
   500   $0.01      $5.00
  1000   $0.01     $10.00
  3000   $0.01     $42.00
  6000   $0.01     $78.00
 12000   $0.01    $156.00
 18000   $0.01    $216.00
 30000   $0.01    $360.00</t>
        </r>
      </text>
    </comment>
    <comment ref="AO3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£0.06      £5.70
   500   £0.05     £27.00
  1000   £0.04     £43.00
  2000   £0.04     £82.00
  4000   £0.03    £116.00</t>
        </r>
      </text>
    </comment>
    <comment ref="AT3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20   £0.03      £0.61
   100   £0.01      £1.46
   500   £0.01      £6.54
  3000   £0.01     £34.83
 12000   £0.01    £124.80</t>
        </r>
      </text>
    </comment>
    <comment ref="P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25   $0.01      $0.32
    50   $0.01      $0.49
   100   $0.01      $0.73
   250   $0.01      $1.38
   500   $0.00      $2.21
  1000   $0.00      $3.26
  5000   $0.00     $11.70
 10000   $0.00     $20.30
 25000   $0.00     $44.50
 50000   $0.00     $83.50</t>
        </r>
      </text>
    </comment>
    <comment ref="U3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£0.01      £0.09
   100   £0.01      £0.77
   150   £0.01      £1.16
   500   £0.01      £3.20
  1000   £0.01      £5.40
  2500   £0.00     £11.75
  5000   £0.00     £17.00
 25000   £0.00     £67.50</t>
        </r>
      </text>
    </comment>
    <comment ref="AC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$0.10
    50   $0.01      $0.50
   100   $0.00      $0.40
  1000   $0.00      $3.00
 10000   $0.00     $20.00</t>
        </r>
      </text>
    </comment>
    <comment ref="AJ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$0.10
    25   $0.01      $0.20
    50   $0.01      $0.30
   100   $0.00      $0.40
  5000   $0.00     $10.00</t>
        </r>
      </text>
    </comment>
    <comment ref="AR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3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£0.02      £1.56
  1000   £0.00      £2.77
  5000   £0.00      £6.00
 15000   £0.00     £16.50</t>
        </r>
      </text>
    </comment>
    <comment ref="P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3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£0.21
   100   £0.01      £0.76
   150   £0.01      £1.14
   500   £0.01      £3.15
  1000   £0.00      £5.00
  2500   £0.00     £11.00
  5000   £0.00     £17.50
 25000   £0.00     £75.00</t>
        </r>
      </text>
    </comment>
    <comment ref="AC3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$0.70
  1000   $0.00      $4.00
 10000   $0.00     $20.00</t>
        </r>
      </text>
    </comment>
    <comment ref="AJ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25   $0.02      $0.45
    50   $0.01      $0.60
   100   $0.01      $0.60
  5000   $0.00     $15.00</t>
        </r>
      </text>
    </comment>
    <comment ref="AO3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£15.00</t>
        </r>
      </text>
    </comment>
    <comment ref="AT3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£2.66
  1000   £0.01      £9.58
  5000   £0.00     £19.40
 15000   £0.00     £49.05
 50000   £0.00    £139.50</t>
        </r>
      </text>
    </comment>
    <comment ref="P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$0.14      $1.44
    50   $0.08      $4.10
   100   $0.07      $6.79
   500   $0.05     $23.82
  1000   $0.04     $39.44
  4000   $0.03    $134.32</t>
        </r>
      </text>
    </comment>
    <comment ref="AE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$0.21      $0.21
    10   $0.10      $0.98
    50   $0.10      $4.90
   100   $0.07      $6.60
  1000   $0.04     $44.00
 10000   $0.03    $320.00</t>
        </r>
      </text>
    </comment>
    <comment ref="AH3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4000   $0.03    $116.00
  8000   $0.03    $216.00
 16000   $0.02    $400.00
 24000   $0.02    $552.00
 40000   $0.02    $800.00</t>
        </r>
      </text>
    </comment>
    <comment ref="AO3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£0.05      £5.00
   200   £0.04      £9.00
   500   £0.04     £17.50</t>
        </r>
      </text>
    </comment>
    <comment ref="P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3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£0.32
   100   £0.01      £1.23
   150   £0.01      £1.84
   500   £0.01      £4.45
  1000   £0.01      £5.40
  2500   £0.00     £11.25
  5000   £0.01     £37.50
 10000   £0.00     £30.00
 25000   £0.00     £77.50</t>
        </r>
      </text>
    </comment>
    <comment ref="AC3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$0.23
    50   $0.02      $1.15
   100   $0.01      $0.90
  1000   $0.00      $5.00
 10000   $0.00     $30.00</t>
        </r>
      </text>
    </comment>
    <comment ref="AJ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$0.21
    25   $0.02      $0.52
    50   $0.02      $0.75
   100   $0.01      $0.90
  5000   $0.00     $15.00
 10000   $0.00     $20.00</t>
        </r>
      </text>
    </comment>
    <comment ref="AT3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£0.02      £2.05
  1000   £0.00      £4.73
  5000   £0.00      £8.95
 15000   £0.00     £25.50
 50000   £0.00     £82.00</t>
        </r>
      </text>
    </comment>
    <comment ref="P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3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£0.19
   100   £0.01      £0.76
   150   £0.01      £1.14
   500   £0.01      £3.35
  1000   £0.01      £5.40
  2500   £0.00     £11.75
  5000   £0.00     £25.00
 25000   £0.00     £77.50</t>
        </r>
      </text>
    </comment>
    <comment ref="AC3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$0.70
  1000   $0.00      $4.00
 10000   $0.00     $20.00</t>
        </r>
      </text>
    </comment>
    <comment ref="AJ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$0.10      $1.00
    25   $0.02      $0.45
    50   $0.01      $0.60
   100   $0.01      $0.60
  5000   $0.00     $15.00</t>
        </r>
      </text>
    </comment>
    <comment ref="AT3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£1.14
  1000   £0.00      £2.40
  5000   £0.00      £4.85
 15000   £0.00     £13.65
 50000   £0.00     £44.00</t>
        </r>
      </text>
    </comment>
    <comment ref="P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$0.66      $0.66
    10   $0.49      $4.89
   100   $0.28     $28.46
  1000   $0.16    $159.62
  2000   $0.16    $312.80</t>
        </r>
      </text>
    </comment>
    <comment ref="AE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$0.57      $0.57
    10   $0.42      $4.20
    50   $0.42     $20.75
   100   $0.33     $32.80
  1000   $0.17    $167.00
 10000   $0.15  $1,500.00</t>
        </r>
      </text>
    </comment>
    <comment ref="P4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4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£0.01      £0.13
   100   £0.01      £1.22
   150   £0.01      £1.83
   500   £0.01      £4.75
  1000   £0.01      £7.70
  2500   £0.01     £15.75
  5000   £0.01     £26.50
 25000   £0.00     £90.00</t>
        </r>
      </text>
    </comment>
    <comment ref="AE4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$0.60
  1000   $0.00      $5.00
 10000   $0.00     $30.00</t>
        </r>
      </text>
    </comment>
    <comment ref="AJ4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$0.02      $0.19
    25   $0.02      $0.38
    50   $0.01      $0.55
   100   $0.01      $0.70</t>
        </r>
      </text>
    </comment>
    <comment ref="AO4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£25.00</t>
        </r>
      </text>
    </comment>
    <comment ref="AR4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4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£2.66
  1000   £0.01      £9.58
  5000   £0.00     £19.40
 15000   £0.00     £49.05</t>
        </r>
      </text>
    </comment>
    <comment ref="P4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AC4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4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$0.60
  1000   $0.00      $4.00
 10000   $0.00     $20.00</t>
        </r>
      </text>
    </comment>
    <comment ref="P4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AC4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4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$0.60
  1000   $0.00      $5.00
 10000   $0.00     $30.00</t>
        </r>
      </text>
    </comment>
    <comment ref="AR4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4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£2.66
  1000   £0.01      £9.58
  5000   £0.00     £19.40
 15000   £0.00     £49.05</t>
        </r>
      </text>
    </comment>
    <comment ref="P4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4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£0.01      £0.13
   100   £0.01      £1.21
   150   £0.01      £1.82
   500   £0.01      £4.75
  1000   £0.01      £7.60
  2500   £0.01     £15.50
  5000   £0.01     £26.50
 25000   £0.00     £90.00</t>
        </r>
      </text>
    </comment>
    <comment ref="AE4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$0.60
  1000   $0.00      $5.00
 10000   $0.00     $30.00</t>
        </r>
      </text>
    </comment>
    <comment ref="AH4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4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$0.02      $0.19
    25   $0.02      $0.38
    50   $0.01      $0.55
   100   $0.01      $0.70</t>
        </r>
      </text>
    </comment>
    <comment ref="AR4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4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£2.66
  1000   £0.01      £9.58
  5000   £0.00     £19.40
 15000   £0.00     £49.05</t>
        </r>
      </text>
    </comment>
    <comment ref="N4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4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4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£0.01      £0.13
   100   £0.01      £1.21
   150   £0.01      £1.82
   500   £0.01      £4.75
  1000   £0.01      £7.60
  2500   £0.01     £15.50
  5000   £0.00     £18.00
 25000   £0.00     £62.50</t>
        </r>
      </text>
    </comment>
    <comment ref="AC4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4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$0.70
  1000   $0.00      $4.00
 10000   $0.00     $20.00</t>
        </r>
      </text>
    </comment>
    <comment ref="AH4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4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$0.02      $0.19
    25   $0.02      $0.38
    50   $0.01      $0.55
   100   $0.01      $0.70</t>
        </r>
      </text>
    </comment>
    <comment ref="P4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4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£0.19
   100   £0.01      £0.67
   150   £0.01      £1.01
   500   £0.01      £2.85
  1000   £0.00      £4.60
  2500   £0.00     £10.25
  5000   £0.00     £18.50
 25000   £0.00     £65.00</t>
        </r>
      </text>
    </comment>
    <comment ref="AC4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4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$0.70
  1000   $0.00      $4.00
 10000   $0.00     $20.00</t>
        </r>
      </text>
    </comment>
    <comment ref="AJ4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25   $0.02      $0.45
    50   $0.01      $0.60
   100   $0.01      $0.60
  5000   $0.00     $15.00</t>
        </r>
      </text>
    </comment>
    <comment ref="AO4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£15.00</t>
        </r>
      </text>
    </comment>
    <comment ref="AT4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£2.66
  1000   £0.01      £9.58
  5000   £0.00     £19.40
 15000   £0.00     £49.05
 50000   £0.00    £139.50</t>
        </r>
      </text>
    </comment>
    <comment ref="P4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4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£0.21
   100   £0.01      £0.75
   150   £0.01      £1.12
   500   £0.01      £3.15
  1000   £0.01      £5.10
  2500   £0.00     £11.25
  5000   £0.01     £36.50
 25000   £0.00     £90.00</t>
        </r>
      </text>
    </comment>
    <comment ref="AC4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4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$0.70
  1000   $0.00      $4.00
 10000   $0.00     $20.00</t>
        </r>
      </text>
    </comment>
    <comment ref="AJ4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25   $0.02      $0.45
    50   $0.01      $0.60
   100   $0.01      $0.60
  5000   $0.00     $15.00</t>
        </r>
      </text>
    </comment>
    <comment ref="AO4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£15.00</t>
        </r>
      </text>
    </comment>
    <comment ref="AT4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£1.17
  1000   £0.00      £2.43
  5000   £0.00      £5.70
 15000   £0.00     £16.05
 50000   £0.00     £52.00</t>
        </r>
      </text>
    </comment>
    <comment ref="P4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4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£0.23
   100   £0.01      £0.81
   150   £0.01      £1.21
   500   £0.01      £3.45
  1000   £0.01      £5.60
  2500   £0.00     £12.50
  5000   £0.01     £26.50</t>
        </r>
      </text>
    </comment>
    <comment ref="AE4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$0.12
    50   $0.01      $0.60
   100   $0.00      $0.40
  1000   $0.00      $3.00
 10000   $0.00     $20.00</t>
        </r>
      </text>
    </comment>
    <comment ref="AJ4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$0.01      $0.07
   250   $0.01      $1.50
   500   $0.00      $2.50
  1000   $0.00      $5.00
  5000   $0.00     $15.00</t>
        </r>
      </text>
    </comment>
    <comment ref="AT4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£2.66
  1000   £0.01      £9.58
  5000   £0.00     £19.40
 15000   £0.00     £49.05
 50000   £0.00    £139.50</t>
        </r>
      </text>
    </comment>
    <comment ref="P5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$0.13      $1.34
    50   $0.08      $4.01
   100   $0.07      $6.77
   500   $0.05     $23.17
  1000   $0.04     $41.00
  3000   $0.04    $117.63</t>
        </r>
      </text>
    </comment>
    <comment ref="AE5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$0.15      $1.47
    50   $0.15      $7.35
   100   $0.08      $7.50
  1000   $0.05     $46.00
 10000   $0.03    $290.00</t>
        </r>
      </text>
    </comment>
    <comment ref="P5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5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£0.21
   100   £0.01      £0.75
   150   £0.01      £1.12
   500   £0.01      £3.15
  1000   £0.01      £5.10
  2500   £0.00     £11.25
  5000   £0.01     £36.50
 25000   £0.00     £90.00</t>
        </r>
      </text>
    </comment>
    <comment ref="AC5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5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$0.70
  1000   $0.00      $4.00
 10000   $0.00     $20.00</t>
        </r>
      </text>
    </comment>
    <comment ref="AJ5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25   $0.02      $0.45
    50   $0.01      $0.60
   100   $0.01      $0.60
  5000   $0.00     $15.00</t>
        </r>
      </text>
    </comment>
    <comment ref="AO5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£15.00</t>
        </r>
      </text>
    </comment>
    <comment ref="AT5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£1.17
  1000   £0.00      £2.43
  5000   £0.00      £5.70
 15000   £0.00     £16.05
 50000   £0.00     £52.00</t>
        </r>
      </text>
    </comment>
    <comment ref="P5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5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£0.21
   100   £0.01      £0.75
   150   £0.01      £1.12
   500   £0.01      £3.15
  1000   £0.01      £5.10
  2500   £0.00     £11.25
  5000   £0.01     £36.50
 25000   £0.00     £90.00</t>
        </r>
      </text>
    </comment>
    <comment ref="AC5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5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$0.70
  1000   $0.00      $4.00
 10000   $0.00     $20.00</t>
        </r>
      </text>
    </comment>
    <comment ref="AJ5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25   $0.02      $0.45
    50   $0.01      $0.60
   100   $0.01      $0.60
  5000   $0.00     $15.00</t>
        </r>
      </text>
    </comment>
    <comment ref="AO5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£15.00</t>
        </r>
      </text>
    </comment>
    <comment ref="AT5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£1.17
  1000   £0.00      £2.43
  5000   £0.00      £5.70
 15000   £0.00     £16.05
 50000   £0.00     £52.00</t>
        </r>
      </text>
    </comment>
    <comment ref="P5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AE5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$0.60
  1000   $0.00      $5.00
 10000   $0.00     $30.00</t>
        </r>
      </text>
    </comment>
    <comment ref="P5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AE5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$0.70
  1000   $0.00      $4.00
 10000   $0.00     $20.00</t>
        </r>
      </text>
    </comment>
    <comment ref="AR5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5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£2.66
  1000   £0.01      £9.58
  5000   £0.00     £19.40
 15000   £0.00     £49.05</t>
        </r>
      </text>
    </comment>
    <comment ref="P5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5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£0.16
   100   £0.01      £0.68
   150   £0.01      £1.02
   500   £0.01      £2.90
  1000   £0.00      £4.90
  2500   £0.00     £10.50
  5000   £0.01     £26.50
 25000   £0.00     £72.50</t>
        </r>
      </text>
    </comment>
    <comment ref="AC5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5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$0.60
  1000   $0.00      $5.00
 10000   $0.00     $30.00</t>
        </r>
      </text>
    </comment>
    <comment ref="AJ5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5000   $0.01     $40.00
 10000   $0.01     $60.00</t>
        </r>
      </text>
    </comment>
    <comment ref="AO5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£0.00      £0.50
   500   £0.00      £2.50
  1000   £0.00      £4.00
  2000   £0.00      £8.00
  5000   £0.00     £15.00</t>
        </r>
      </text>
    </comment>
    <comment ref="AT5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£1.18
  1000   £0.00      £2.56
  5000   £0.00      £5.25
 15000   £0.00     £14.70
 50000   £0.00     £46.50</t>
        </r>
      </text>
    </comment>
    <comment ref="P5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5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£0.22
   100   £0.01      £0.77
   150   £0.01      £1.16
   500   £0.01      £3.25
  1000   £0.01      £5.10
  2500   £0.00     £11.25
  5000   £0.00     £25.00
 25000   £0.00     £75.00</t>
        </r>
      </text>
    </comment>
    <comment ref="AC5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5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$0.60
  1000   $0.00      $5.00
 10000   $0.00     $30.00</t>
        </r>
      </text>
    </comment>
    <comment ref="AJ5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$0.02      $0.18
    25   $0.01      $0.35
    50   $0.01      $0.50
   100   $0.01      $0.60
  5000   $0.00     $15.00</t>
        </r>
      </text>
    </comment>
    <comment ref="AO5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£15.00
 10000   £0.00     £30.00
 15000   £0.00     £45.00
 20000   £0.00     £40.00</t>
        </r>
      </text>
    </comment>
    <comment ref="AT5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£2.66
  1000   £0.01      £9.58
  5000   £0.00     £19.40
 15000   £0.00     £49.05
 50000   £0.00    £139.50</t>
        </r>
      </text>
    </comment>
    <comment ref="P5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$20.68     $20.68
    10  $19.08    $190.76
    25  $18.22    $455.46
   100  $16.88  $1,688.37
   250  $16.88  $4,220.92</t>
        </r>
      </text>
    </comment>
    <comment ref="AE5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$20.62     $20.62
    10  $19.01    $190.10
    50  $18.13    $906.50
   100  $17.23  $1,723.00
  1000  $14.92 $14,920.00
 10000  $14.92 $149,200.00</t>
        </r>
      </text>
    </comment>
    <comment ref="P6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$1.48      $1.48
    10   $1.32     $13.20
    25   $1.25     $31.31
   100   $1.03    $102.88
   250   $0.96    $240.43
   500   $0.85    $424.95
  1000   $0.70    $704.74
  3000   $0.70  $2,114.22</t>
        </r>
      </text>
    </comment>
    <comment ref="AE6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$1.47      $1.47
    10   $1.32     $13.20
    50   $1.26     $63.00
   100   $1.03    $103.00
  1000   $0.67    $671.00
 10000   $0.59  $5,900.00</t>
        </r>
      </text>
    </comment>
    <comment ref="P6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$1.54      $1.54
    10   $1.38     $13.76
    25   $1.31     $32.65
   100   $1.07    $107.27
   250   $1.00    $250.69
   500   $0.89    $443.08
  1000   $0.73    $734.80</t>
        </r>
      </text>
    </comment>
    <comment ref="U6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£1.31      £1.31
    10   £1.09     £10.90
    50   £0.93     £46.30
   100   £0.76     £76.20
   250   £0.67    £167.25
   500   £0.63    £317.00
  1000   £0.47    £469.00
  2500   £0.46  £1,147.50</t>
        </r>
      </text>
    </comment>
    <comment ref="AE6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$1.54      $1.54
    10   $1.38     $13.80
    50   $1.31     $65.50
   100   $1.01    $101.00
  1000   $0.70    $699.00
 10000   $0.62  $6,150.00</t>
        </r>
      </text>
    </comment>
    <comment ref="AJ6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$2.00      $2.00
    10   $1.86     $18.60
    25   $1.74     $43.50
    50   $1.63     $81.50
   100   $1.52    $152.00
   250   $1.42    $355.00</t>
        </r>
      </text>
    </comment>
    <comment ref="P6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$1.54      $1.54
    10   $1.38     $13.76
    25   $1.31     $32.65
   100   $1.07    $107.27
   250   $1.00    $250.69
   500   $0.89    $443.08
  1000   $0.73    $734.80</t>
        </r>
      </text>
    </comment>
    <comment ref="AE6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$1.54      $1.54
    10   $1.38     $13.80
    50   $1.31     $65.50
   100   $1.01    $101.00
  1000   $0.70    $699.00
 10000   $0.62  $6,150.00</t>
        </r>
      </text>
    </comment>
    <comment ref="P6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$1.54      $1.54
    10   $1.38     $13.76
    25   $1.31     $32.65
   100   $1.07    $107.27
   250   $1.00    $250.69
   500   $0.89    $443.08
  1000   $0.73    $734.80</t>
        </r>
      </text>
    </comment>
    <comment ref="U6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£1.38      £1.38
    10   £1.16     £11.60
    50   £0.98     £49.00
   100   £0.80     £80.50
   250   £0.71    £176.50
   500   £0.67    £334.50
  1000   £0.49    £494.00
  2500   £0.49  £1,230.00</t>
        </r>
      </text>
    </comment>
    <comment ref="AE6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$1.54      $1.54
    10   $1.38     $13.80
    50   $1.31     $65.50
   100   $1.01    $101.00
  1000   $0.70    $699.00
 10000   $0.62  $6,150.00</t>
        </r>
      </text>
    </comment>
    <comment ref="AH6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6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$2.00      $2.00
    10   $1.86     $18.60
    25   $1.74     $43.50
    50   $1.63     $81.50
   100   $1.52    $152.00
   250   $1.42    $355.00</t>
        </r>
      </text>
    </comment>
    <comment ref="P6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$0.91      $0.91
    10   $0.80      $8.05
    25   $0.76     $18.89
   100   $0.62     $61.68
   250   $0.57    $143.23
   500   $0.49    $243.80
  1000   $0.40    $402.50
  4000   $0.40  $1,610.00</t>
        </r>
      </text>
    </comment>
    <comment ref="S6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6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£0.53      £0.53
    10   £0.43      £4.34
   100   £0.28     £28.00
   150   £0.28     £42.00
  1000   £0.22    £224.00
  4000   £0.19    £760.00</t>
        </r>
      </text>
    </comment>
    <comment ref="AE6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$0.92      $0.92
    10   $0.80      $8.05
    50   $0.80     $40.25
   100   $0.62     $61.70
  1000   $0.39    $391.00
 10000   $0.35  $3,540.00</t>
        </r>
      </text>
    </comment>
    <comment ref="AH6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6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$0.68      $0.68
    10   $0.56      $5.58
   100   $0.42     $42.30
  4000   $0.30  $1,200.00
 12000   $0.29  $3,492.00
 32000   $0.28  $8,896.00
 60000   $0.26 $15,840.00</t>
        </r>
      </text>
    </comment>
    <comment ref="AO6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£0.60      £2.98
    50   £0.34     £17.00
   100   £0.33     £32.60
   250   £0.32     £79.50
   500   £0.31    £155.00</t>
        </r>
      </text>
    </comment>
    <comment ref="AR6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6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£0.62      £0.62
     5   £0.34      £1.72
    25   £0.31      £7.75
   100   £0.28     £28.42
   500   £0.23    £116.50</t>
        </r>
      </text>
    </comment>
    <comment ref="P6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$2.04      $2.04
    10   $1.83     $18.29
    25   $1.73     $43.13
   100   $1.47    $146.98
   250   $1.38    $345.03
   500   $1.21    $603.80
  1000   $1.14  $1,139.25
  2500   $1.14  $2,848.13</t>
        </r>
      </text>
    </comment>
    <comment ref="S6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6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2500   £0.65  £1,627.50</t>
        </r>
      </text>
    </comment>
    <comment ref="Z6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$2.54      $2.54
    10   $1.87     $18.66
    30   $1.74     $52.31
   100   $1.62    $161.94
   500   $1.57    $782.65
  1000   $1.54  $1,538.20</t>
        </r>
      </text>
    </comment>
    <comment ref="AE6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$2.03      $2.03
    10   $1.83     $18.30
    50   $1.73     $86.50
   100   $1.47    $147.00
  1000   $1.01  $1,010.00
 10000   $0.91  $9,110.00</t>
        </r>
      </text>
    </comment>
    <comment ref="P6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$1.87      $1.87
    10   $1.68     $16.80
    25   $1.58     $39.62
   100   $1.35    $135.02
   250   $1.27    $316.94
   500   $1.11    $554.64
  1000   $1.00    $998.66
  2000   $1.00  $1,997.32</t>
        </r>
      </text>
    </comment>
    <comment ref="S6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6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£1.77      £1.77
    10   £1.34     £13.40
    50   £1.21     £60.50
   100   £1.07    £107.00
   250   £0.93    £232.75
   500   £0.91    £453.00
  1000   £0.69    £691.00
  2500   £0.68  £1,695.00</t>
        </r>
      </text>
    </comment>
    <comment ref="AE6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$1.87      $1.87
    10   $1.68     $16.80
    50   $1.59     $79.50
   100   $1.35    $135.00
  1000   $0.92    $920.00
 10000   $0.84  $8,370.00</t>
        </r>
      </text>
    </comment>
    <comment ref="AH6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6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$2.63      $2.63
    10   $2.45     $24.50
    25   $2.31     $57.75
    50   $2.16    $108.00
   100   $2.02    $202.00
   250   $1.86    $465.00</t>
        </r>
      </text>
    </comment>
    <comment ref="N6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6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$1.36      $1.36
    10   $1.22     $12.20
    25   $1.16     $28.94
   100   $0.95     $95.08
   250   $0.89    $222.20
   500   $0.72    $361.72
  1000   $0.65    $651.30
  2000   $0.65  $1,302.60</t>
        </r>
      </text>
    </comment>
    <comment ref="S6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6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£1.31      £1.31
    10   £1.10     £11.00
    50   £0.96     £47.85
   100   £0.81     £81.40
   250   £0.74    £186.00
   500   £0.67    £336.00
  1000   £0.50    £495.00
  2500   £0.47  £1,175.00</t>
        </r>
      </text>
    </comment>
    <comment ref="AC6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6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$1.36      $1.36
    10   $1.22     $12.20
    50   $1.16     $58.00
   100   $0.95     $95.10
  1000   $0.58    $585.00
 10000   $0.56  $5,640.00</t>
        </r>
      </text>
    </comment>
    <comment ref="AH6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6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$1.77      $1.77
    10   $1.65     $16.50
    25   $1.54     $38.50
    50   $1.44     $72.00
   100   $1.34    $134.00
   250   $1.25    $312.50</t>
        </r>
      </text>
    </comment>
    <comment ref="P6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$2.16      $2.16
    10   $1.94     $19.37
    25   $1.83     $45.68
   100   $1.56    $155.66
   250   $1.46    $365.40
   500   $1.28    $639.45
  1000   $1.26  $1,260.00
  2500   $1.26  $3,150.00</t>
        </r>
      </text>
    </comment>
    <comment ref="U6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£1.65      £1.65
    10   £1.40     £14.00
    50   £1.27     £63.50
   100   £1.13    £113.00
   250   £0.97    £243.00
   500   £0.95    £477.00
  1000   £0.85    £854.00
  2500   £0.85  £2,115.00</t>
        </r>
      </text>
    </comment>
    <comment ref="AE6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$1.91      $1.91
    10   $1.68     $16.80
    50   $1.59     $79.50
   100   $1.39    $139.00
  1000   $1.26  $1,260.00
 10000   $1.20 $12,000.00</t>
        </r>
      </text>
    </comment>
    <comment ref="AJ6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$2.16      $2.16
    10   $1.94     $19.40
    25   $1.83     $45.75
    50   $1.65     $82.50
   100   $1.47    $147.00
   250   $1.28    $320.00</t>
        </r>
      </text>
    </comment>
    <comment ref="P6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$3.09      $3.09
    10   $2.78     $27.75
    25   $2.62     $65.59
   100   $2.27    $227.37
   250   $2.16    $539.28
   500   $1.94    $967.78
  1000   $1.84  $1,837.00
  2500   $1.84  $4,592.50</t>
        </r>
      </text>
    </comment>
    <comment ref="AE6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$3.09      $3.09
    10   $2.78     $27.80
    50   $2.63    $131.50
   100   $2.28    $228.00
  1000   $1.78  $1,780.00
 10000   $1.53 $15,300.00</t>
        </r>
      </text>
    </comment>
    <comment ref="P7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$0.78      $0.78
    10   $0.69      $6.88
    25   $0.65     $16.17
   100   $0.53     $52.78
   250   $0.49    $122.56
   500   $0.42    $208.61
  1000   $0.34    $344.40
  2500   $0.34    $861.00</t>
        </r>
      </text>
    </comment>
    <comment ref="S7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7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£0.59      £2.93
    10   £0.47      £4.67
   100   £0.27     £27.10
   500   £0.20     £98.00
  2500   £0.19    £465.00
  7500   £0.18  £1,387.50
 20000   £0.18  £3,660.00
 37500   £0.18  £6,825.00</t>
        </r>
      </text>
    </comment>
    <comment ref="AE7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$0.79      $0.79
    10   $0.69      $6.89
    50   $0.69     $34.45
   100   $0.53     $52.80
  1000   $0.33    $334.00
 10000   $0.28  $2,750.00</t>
        </r>
      </text>
    </comment>
    <comment ref="AJ7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$0.66      $3.32
    10   $0.62      $6.25
   100   $0.42     $41.60
  2500   $0.26    $642.50
  7500   $0.25  $1,867.50
 20000   $0.24  $4,760.00
 37500   $0.23  $8,550.00</t>
        </r>
      </text>
    </comment>
    <comment ref="AO7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£0.42      £4.20
   100   £0.28     £27.90
   500   £0.27    £134.00
  1000   £0.21    £206.00
  2500   £0.18    £460.00</t>
        </r>
      </text>
    </comment>
    <comment ref="AR7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7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2500   £0.20    £491.75
  7500   £0.19  £1,416.75</t>
        </r>
      </text>
    </comment>
    <comment ref="P7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$38.06     $38.06
    10  $35.51    $355.10
    25  $34.02    $850.54
   100  $30.83  $3,083.22
   250  $30.09  $7,522.50
  1500  $30.09 $45,135.00</t>
        </r>
      </text>
    </comment>
    <comment ref="P7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$1.68      $1.68
    10   $1.50     $15.01
    25   $1.42     $35.62
   100   $1.17    $117.02
   250   $1.09    $273.48
   500   $0.97    $483.36
  1000   $0.80    $801.60
  3000   $0.80  $2,404.80</t>
        </r>
      </text>
    </comment>
    <comment ref="AE7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$1.68      $1.68
    10   $1.51     $15.10
    50   $1.43     $71.50
   100   $1.18    $118.00
  1000   $0.76    $764.00
 10000   $0.67  $6,710.00</t>
        </r>
      </text>
    </comment>
    <comment ref="P7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$12.54     $12.54
    10  $11.33    $113.27
    25  $10.80    $270.00
   100   $9.38    $937.74
   250   $8.96  $2,238.98
   500   $8.17  $4,082.86
  1000   $7.46  $7,455.00</t>
        </r>
      </text>
    </comment>
    <comment ref="AE7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$12.54     $12.54
    10  $11.33    $113.30
    50  $10.80    $540.00
   100   $9.38    $938.00
  1000   $7.60  $7,600.00
 10000   $7.60 $76,000.00</t>
        </r>
      </text>
    </comment>
    <comment ref="P7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$3.51      $3.51
    10   $3.15     $31.54
    25   $2.98     $74.53
   100   $2.37    $237.18
   250   $2.25    $563.12
   500   $2.09  $1,043.75
  2000   $2.09  $4,175.00</t>
        </r>
      </text>
    </comment>
    <comment ref="AE7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$3.51      $3.51
    10   $3.16     $31.60
    50   $2.99    $149.50
   100   $2.38    $238.00
  1000   $1.88  $1,880.00
 10000   $1.74 $17,400.00</t>
        </r>
      </text>
    </comment>
    <comment ref="P7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$1.54      $1.54
    10   $1.38     $13.76
    25   $1.31     $32.65
   100   $1.07    $107.27
   250   $1.00    $250.69
   500   $0.89    $443.08
  1000   $0.73    $734.80</t>
        </r>
      </text>
    </comment>
    <comment ref="S7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7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£1.46      £1.46
    10   £1.22     £12.20
    50   £1.04     £52.00
   100   £0.86     £85.60
   250   £0.75    £187.75
   500   £0.71    £355.50
  1000   £0.53    £526.00
  2500   £0.52  £1,287.50</t>
        </r>
      </text>
    </comment>
    <comment ref="Z7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$1.19      $1.19
    10   $0.90      $8.96
    30   $0.84     $25.27
   100   $0.79     $78.63
   500   $0.76    $381.40
  1000   $0.75    $750.20</t>
        </r>
      </text>
    </comment>
    <comment ref="AE7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$1.54      $1.54
    10   $1.38     $13.80
    50   $1.31     $65.50
   100   $1.01    $101.00
  1000   $0.70    $699.00
 10000   $0.62  $6,150.00</t>
        </r>
      </text>
    </comment>
    <comment ref="AH7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7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$2.00      $2.00
    10   $1.86     $18.60
    25   $1.74     $43.50
    50   $1.63     $81.50
   100   $1.52    $152.00
   250   $1.42    $355.00</t>
        </r>
      </text>
    </comment>
    <comment ref="AO7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£1.24      £6.22
    25   £1.21     £30.15
    50   £1.18     £59.00
   100   £1.15    £114.80
   250   £1.12    £280.00</t>
        </r>
      </text>
    </comment>
    <comment ref="AR7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7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£0.87      £0.87
     5   £0.79      £3.95
    25   £0.70     £17.50
   100   £0.63     £63.00</t>
        </r>
      </text>
    </comment>
    <comment ref="P7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$19.57     $19.57
    10  $17.98    $179.85
    25  $17.24    $430.98
   100  $15.19  $1,518.91
   250  $14.68  $3,670.24
  3000  $14.68 $44,042.91</t>
        </r>
      </text>
    </comment>
    <comment ref="P7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$3.51      $3.51
    10   $3.15     $31.54
    25   $2.98     $74.53
   100   $2.58    $258.38
   250   $2.45    $612.81
   500   $2.20  $1,099.75
  1000   $2.09  $2,087.50
  2000   $2.09  $4,175.00</t>
        </r>
      </text>
    </comment>
    <comment ref="AE7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$3.51      $3.51
    10   $3.16     $31.60
    50   $2.99    $149.50
   100   $2.59    $259.00
  1000   $1.92  $1,920.00
 10000   $1.74 $17,400.00</t>
        </r>
      </text>
    </comment>
    <comment ref="P7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10   $0.13      $1.27
    50   $0.08      $3.81
   100   $0.06      $6.44
   500   $0.04     $22.02
  1000   $0.04     $38.96
  4000   $0.03    $135.52</t>
        </r>
      </text>
    </comment>
    <comment ref="U7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£0.25      £0.25
    25   £0.11      £2.75
    50   £0.09      £4.60
   100   £0.07      £7.48
   250   £0.07     £16.48
   500   £0.05     £26.10</t>
        </r>
      </text>
    </comment>
    <comment ref="Z7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20   $0.03      $0.55
   200   $0.02      $4.18
   600   $0.02     $11.76
  2000   $0.02     $36.80
 10000   $0.02    $178.00
 20000   $0.02    $352.00</t>
        </r>
      </text>
    </comment>
    <comment ref="AE7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$0.30      $0.30
    10   $0.11      $1.06
    50   $0.11      $5.30
   100   $0.07      $7.20
  1000   $0.05     $48.00
 10000   $0.04    $350.00</t>
        </r>
      </text>
    </comment>
    <comment ref="AJ7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$0.38      $0.38
    25   $0.13      $3.32
    50   $0.11      $5.55
   100   $0.09      $9.00
   250   $0.08     $21.00
   500   $0.08     $39.00
  4000   $0.04    $168.00
  8000   $0.04    $280.00
 16000   $0.03    $480.00
 24000   $0.03    $696.00</t>
        </r>
      </text>
    </comment>
    <comment ref="N7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7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$0.08      $0.83
    50   $0.05      $2.27
   100   $0.04      $3.70
   500   $0.03     $13.22
  1000   $0.02     $20.78
  4000   $0.02     $69.52</t>
        </r>
      </text>
    </comment>
    <comment ref="U7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£0.07      £0.74
   100   £0.02      £2.08
   150   £0.02      £3.12
   500   £0.02      £9.30
  1000   £0.02     £16.30
  2000   £0.01     £28.00
  4000   £0.01     £48.00
 20000   £0.01    £236.00</t>
        </r>
      </text>
    </comment>
    <comment ref="AC7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7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$0.63
    50   $0.06      $3.15
   100   $0.03      $2.60
  1000   $0.02     $22.00
 10000   $0.01    $140.00</t>
        </r>
      </text>
    </comment>
    <comment ref="AJ7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$0.06      $0.63
    25   $0.05      $1.28
    50   $0.04      $1.90
   100   $0.03      $2.60
  4000   $0.02     $64.00
  8000   $0.02    $120.00</t>
        </r>
      </text>
    </comment>
    <comment ref="AO7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£0.01     £52.00
 12000   £0.01    £144.00</t>
        </r>
      </text>
    </comment>
    <comment ref="P8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$0.70
    50   $0.04      $1.90
   100   $0.03      $3.10
   500   $0.02     $11.07
  1000   $0.02     $17.39
  4000   $0.01     $58.20</t>
        </r>
      </text>
    </comment>
    <comment ref="U8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£0.32
   100   £0.02      £2.36
   150   £0.02      £3.54
   500   £0.02      £8.45
  1000   £0.02     £15.10
  2000   £0.01     £29.60
  4000   £0.01     £37.20
 20000   £0.01    £182.00</t>
        </r>
      </text>
    </comment>
    <comment ref="AE8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$0.37
    50   $0.04      $1.85
   100   $0.02      $2.20
  1000   $0.02     $17.00
 10000   $0.01    $120.00</t>
        </r>
      </text>
    </comment>
    <comment ref="AJ8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25   $0.06      $1.60
    50   $0.05      $2.35
   100   $0.03      $2.90
  4000   $0.02     $68.00</t>
        </r>
      </text>
    </comment>
    <comment ref="AO8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£0.01     £52.00
 12000   £0.01    £144.00</t>
        </r>
      </text>
    </comment>
    <comment ref="AT8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£1.34
   300   £0.01      £2.94
  1000   £0.01      £6.55
  4000   £0.01     £20.40
 12000   £0.00     £59.16</t>
        </r>
      </text>
    </comment>
    <comment ref="P8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8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£0.23
   100   £0.01      £0.84
   150   £0.01      £1.26
   500   £0.01      £3.40
  1000   £0.01      £5.10
  2500   £0.00     £11.25
  5000   £0.01     £27.00
 25000   £0.00     £90.00</t>
        </r>
      </text>
    </comment>
    <comment ref="AE8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$0.21
    50   $0.02      $1.05
   100   $0.01      $0.70
  1000   $0.00      $4.00
 10000   $0.00     $20.00</t>
        </r>
      </text>
    </comment>
    <comment ref="AJ8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5000   $0.01     $30.00</t>
        </r>
      </text>
    </comment>
    <comment ref="AO8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£0.00      £0.50
   500   £0.00      £2.50
  1000   £0.00      £4.00
  2000   £0.00      £8.00
  5000   £0.00     £15.00
 10000   £0.00     £30.00
 15000   £0.00     £45.00
 20000   £0.00     £40.00</t>
        </r>
      </text>
    </comment>
    <comment ref="AR8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8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£1.08
  1000   £0.00      £2.37
  5000   £0.00      £4.85
 15000   £0.00     £13.35
 50000   £0.00     £43.00</t>
        </r>
      </text>
    </comment>
    <comment ref="N8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8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8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£0.23
   100   £0.01      £0.82
   150   £0.01      £1.23
   500   £0.01      £3.30
  1000   £0.00      £5.00
  2500   £0.00     £11.00
  5000   £0.00     £25.00
 25000   £0.00     £75.00</t>
        </r>
      </text>
    </comment>
    <comment ref="AC8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8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$0.60
  1000   $0.00      $5.00
 10000   $0.00     $30.00</t>
        </r>
      </text>
    </comment>
    <comment ref="AJ8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$0.10      $1.00
    25   $0.02      $0.45
    50   $0.01      $0.60
   100   $0.01      $0.60
  5000   $0.00     $15.00</t>
        </r>
      </text>
    </comment>
    <comment ref="AO8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£15.00</t>
        </r>
      </text>
    </comment>
    <comment ref="AR8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8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£2.66
  1000   £0.01      £9.58
  5000   £0.00     £19.40
 15000   £0.00     £49.05</t>
        </r>
      </text>
    </comment>
    <comment ref="P8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8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£0.01      £0.13
   100   £0.01      £1.22
   150   £0.01      £1.83
   500   £0.01      £4.75
  1000   £0.01      £7.70
  2500   £0.01     £15.75
  5000   £0.01     £26.50
 25000   £0.00     £90.00</t>
        </r>
      </text>
    </comment>
    <comment ref="AE8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$0.20
    50   $0.02      $1.00
   100   $0.01      $0.70
  1000   $0.00      $4.00
 10000   $0.00     $20.00</t>
        </r>
      </text>
    </comment>
    <comment ref="AH8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8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$0.02      $0.19
    25   $0.02      $0.38
    50   $0.01      $0.55
   100   $0.01      $0.70</t>
        </r>
      </text>
    </comment>
    <comment ref="AR8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8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£2.66
  1000   £0.01      £9.58
  5000   £0.00     £19.40
 15000   £0.00     £49.05</t>
        </r>
      </text>
    </comment>
    <comment ref="G87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J8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O8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T8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Y8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D8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I8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N8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S8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G88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Y88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<sst xmlns="http://schemas.openxmlformats.org/spreadsheetml/2006/main" count="972" uniqueCount="513">
  <si>
    <t>Global Part Info</t>
  </si>
  <si>
    <t>Refs</t>
  </si>
  <si>
    <t>Value</t>
  </si>
  <si>
    <t>Desc</t>
  </si>
  <si>
    <t>Footprint</t>
  </si>
  <si>
    <t>Manf#</t>
  </si>
  <si>
    <t>Qty</t>
  </si>
  <si>
    <t>Unit$</t>
  </si>
  <si>
    <t>Ext$</t>
  </si>
  <si>
    <t>GEN0,GEN2,GEN4-GEN7,GEN9-GEN11,GEN13,GEN14,GEN16,GEN18,GEN19,GEN21,GEN24,GEN25,GEN28,GEN29,GEN31,GEN33-GEN35,GEN38,GEN39,GEN41,GEN43-GEN45,GEN48,GEN49,GEN51,GEN53,GEN54,GEN56,GEN58,GEN59,GEN61,GEN63,GEN64,GEN68,GEN69,GEN71,GEN73,GEN74,GEN76-GEN86,GEN88-GEN96,GEN98-GEN100,GEN108,GEN109,GEN112-GEN116,GEN119-GEN123,GEN125-GEN131,GEN133,GEN135,GEN137,GEN139,GEN140,GEN142,GEN144,GEN145,GEN148,GEN158,GEN173-GEN177,GEN179</t>
  </si>
  <si>
    <t>0.1u</t>
  </si>
  <si>
    <t>C_0603_1608Metric</t>
  </si>
  <si>
    <t>CC0603MRX7R8BB104</t>
  </si>
  <si>
    <t>GEN1,GEN104-GEN106,GEN110,GEN111,GEN118</t>
  </si>
  <si>
    <t>1u</t>
  </si>
  <si>
    <t>CL10B105KO8NNNC</t>
  </si>
  <si>
    <t>GEN101,GEN102,GEN117</t>
  </si>
  <si>
    <t>0.33u</t>
  </si>
  <si>
    <t>CC0603KRX5R8BB334</t>
  </si>
  <si>
    <t>GEN12</t>
  </si>
  <si>
    <t>75p</t>
  </si>
  <si>
    <t>CC0603JRNPO9BN750</t>
  </si>
  <si>
    <t>GEN138</t>
  </si>
  <si>
    <t>DNP</t>
  </si>
  <si>
    <t>GEN147</t>
  </si>
  <si>
    <t>33p</t>
  </si>
  <si>
    <t>CC0603JRNPO9BN330</t>
  </si>
  <si>
    <t>GEN15,GEN97</t>
  </si>
  <si>
    <t>100p</t>
  </si>
  <si>
    <t>CC0603JRNPO9BN101</t>
  </si>
  <si>
    <t>GEN17,GEN20,GEN26,GEN27,GEN30,GEN36,GEN37,GEN40,GEN46,GEN47,GEN50,GEN55,GEN57,GEN60,GEN65,GEN66,GEN70,GEN75,GEN132,GEN141,GEN146</t>
  </si>
  <si>
    <t>DNI</t>
  </si>
  <si>
    <t>GEN178</t>
  </si>
  <si>
    <t>10u</t>
  </si>
  <si>
    <t>JMK107ABJ106KA-T</t>
  </si>
  <si>
    <t>GEN180,GEN181</t>
  </si>
  <si>
    <t>D_Schottky</t>
  </si>
  <si>
    <t>???</t>
  </si>
  <si>
    <t>B0540W</t>
  </si>
  <si>
    <t>GEN182,GEN183</t>
  </si>
  <si>
    <t>Ferrite_Bead</t>
  </si>
  <si>
    <t>C_1206_3216Metric</t>
  </si>
  <si>
    <t>BLM31PG500SN1L</t>
  </si>
  <si>
    <t>GEN188,GEN189,GEN191-GEN194</t>
  </si>
  <si>
    <t>OPA1662</t>
  </si>
  <si>
    <t>DGK8</t>
  </si>
  <si>
    <t>OPA1662AIDGKR</t>
  </si>
  <si>
    <t>GEN190</t>
  </si>
  <si>
    <t>ADS8686SIPZAR</t>
  </si>
  <si>
    <t>Analog to Digital Converters - ADC 16-channel 16-bit 1-MSPS dual simultaneous-sampling ADC with integrated analog front end (AFE)</t>
  </si>
  <si>
    <t>QFP65P1600X1600X160-80N</t>
  </si>
  <si>
    <t>GEN195,GEN196,GEN211,GEN217</t>
  </si>
  <si>
    <t>HDMI_A</t>
  </si>
  <si>
    <t>https://en.wikipedia.org/wiki/HDMI</t>
  </si>
  <si>
    <t>GEN197</t>
  </si>
  <si>
    <t>Conn_02x05_Odd_Even</t>
  </si>
  <si>
    <t>GEN198,GEN200</t>
  </si>
  <si>
    <t>Conn_Coaxial</t>
  </si>
  <si>
    <t>GEN199</t>
  </si>
  <si>
    <t>QWIIC_CONNECTOR-1MM</t>
  </si>
  <si>
    <t>1X04_1MM_RA</t>
  </si>
  <si>
    <t>PRT-14417</t>
  </si>
  <si>
    <t>GEN201,GEN203-GEN205</t>
  </si>
  <si>
    <t>Conn_01x04_Male</t>
  </si>
  <si>
    <t>GEN202,GEN207,GEN208</t>
  </si>
  <si>
    <t>Conn_02x16_Odd_Even</t>
  </si>
  <si>
    <t>GEN206</t>
  </si>
  <si>
    <t>PJ-002B</t>
  </si>
  <si>
    <t>CUI_PJ-002B</t>
  </si>
  <si>
    <t>GEN209,GEN210</t>
  </si>
  <si>
    <t>Conn_02x10_Counter_Clockwise</t>
  </si>
  <si>
    <t>GEN212</t>
  </si>
  <si>
    <t>Screw_Terminal_01x12</t>
  </si>
  <si>
    <t>GEN218</t>
  </si>
  <si>
    <t>4.7u</t>
  </si>
  <si>
    <t>CDRH3D16/HPNP-100MC</t>
  </si>
  <si>
    <t>GEN219</t>
  </si>
  <si>
    <t>10uH</t>
  </si>
  <si>
    <t>GEN22,GEN32,GEN42,GEN52,GEN62,GEN72,GEN134,GEN143</t>
  </si>
  <si>
    <t>2p</t>
  </si>
  <si>
    <t>CC0603CRNPO9BN2R0</t>
  </si>
  <si>
    <t>GEN220</t>
  </si>
  <si>
    <t>15uH</t>
  </si>
  <si>
    <t>GEN221</t>
  </si>
  <si>
    <t>OPALKELLY_XEM6310</t>
  </si>
  <si>
    <t>OPALKELLY_XEM6010</t>
  </si>
  <si>
    <t>BTE-040-02-F-D-A</t>
  </si>
  <si>
    <t>GEN222,GEN223</t>
  </si>
  <si>
    <t>BC856</t>
  </si>
  <si>
    <t>SOT-23</t>
  </si>
  <si>
    <t>BC856B-7-F</t>
  </si>
  <si>
    <t>GEN224,GEN226-GEN232,GEN291,GEN292,GEN302,GEN310,GEN329,GEN349,GEN367,GEN386,GEN403,GEN425,GEN426,GEN442,GEN444-GEN446,GEN452,GEN458,GEN459,GEN470,GEN491-GEN497,GEN499,GEN508</t>
  </si>
  <si>
    <t>0</t>
  </si>
  <si>
    <t>R_0603_1608Metric</t>
  </si>
  <si>
    <t>RC0603FR-070RL</t>
  </si>
  <si>
    <t>GEN225,GEN236,GEN247,GEN258,GEN405-GEN408,GEN418-GEN421,GEN486,GEN488-GEN490</t>
  </si>
  <si>
    <t>15k</t>
  </si>
  <si>
    <t>RC0603FR-0715kL</t>
  </si>
  <si>
    <t>GEN23,GEN136,GEN169</t>
  </si>
  <si>
    <t>JMK107BJ475MAHT</t>
  </si>
  <si>
    <t>GEN242,GEN358,GEN369,GEN380,GEN440,GEN441,GEN456</t>
  </si>
  <si>
    <t>100k</t>
  </si>
  <si>
    <t>RC0603FR-07100KL</t>
  </si>
  <si>
    <t>GEN243,GEN262,GEN270,GEN271,GEN275,GEN276,GEN434,GEN435</t>
  </si>
  <si>
    <t>100</t>
  </si>
  <si>
    <t>RC0603FR-07100RL</t>
  </si>
  <si>
    <t>GEN269,GEN280,GEN313,GEN324,GEN422-GEN424,GEN427,GEN428,GEN457,GEN464,GEN466</t>
  </si>
  <si>
    <t>4.7M</t>
  </si>
  <si>
    <t>R_1206_3216Metric</t>
  </si>
  <si>
    <t>RG3216P-4704-B-T1</t>
  </si>
  <si>
    <t>GEN281,GEN299,GEN318,GEN338,GEN356,GEN375</t>
  </si>
  <si>
    <t>49.9k</t>
  </si>
  <si>
    <t>RC0603FR-0749k9L</t>
  </si>
  <si>
    <t>GEN282,GEN300,GEN319,GEN339,GEN357,GEN376,GEN447</t>
  </si>
  <si>
    <t>GEN284,GEN303,GEN321,GEN341,GEN360,GEN378</t>
  </si>
  <si>
    <t>243k</t>
  </si>
  <si>
    <t>RC0603FR-07243KL</t>
  </si>
  <si>
    <t>GEN285,GEN304,GEN322,GEN342,GEN361,GEN379</t>
  </si>
  <si>
    <t>80.6k</t>
  </si>
  <si>
    <t>RC0603FR-0780k6L</t>
  </si>
  <si>
    <t>GEN286,GEN305,GEN323,GEN343,GEN362,GEN381</t>
  </si>
  <si>
    <t>32.4k</t>
  </si>
  <si>
    <t>RC0603FR-0732k4L</t>
  </si>
  <si>
    <t>GEN287,GEN306,GEN325,GEN344,GEN363,GEN382</t>
  </si>
  <si>
    <t>8.06k</t>
  </si>
  <si>
    <t>RC0603FR-078K06L</t>
  </si>
  <si>
    <t>GEN293,GEN295,GEN311,GEN314,GEN330,GEN332,GEN350,GEN352,GEN368,GEN371,GEN387,GEN389,GEN453,GEN472,GEN474</t>
  </si>
  <si>
    <t>20k</t>
  </si>
  <si>
    <t>RC0603FR-0720KL</t>
  </si>
  <si>
    <t>GEN294,GEN312,GEN331,GEN335,GEN351,GEN370,GEN388,GEN394-GEN397,GEN409-GEN412,GEN432,GEN443,GEN454,GEN471,GEN473,GEN479-GEN481</t>
  </si>
  <si>
    <t>10k</t>
  </si>
  <si>
    <t>RC0603FR-0710kL</t>
  </si>
  <si>
    <t>GEN296,GEN315,GEN333,GEN353,GEN372,GEN390,GEN460,GEN475</t>
  </si>
  <si>
    <t>2k</t>
  </si>
  <si>
    <t>RC0603FR-072KL</t>
  </si>
  <si>
    <t>GEN3,GEN171,GEN172</t>
  </si>
  <si>
    <t>C_0805_2012Metric</t>
  </si>
  <si>
    <t>GRM21BR70J106KA73L</t>
  </si>
  <si>
    <t>GEN336</t>
  </si>
  <si>
    <t>881k</t>
  </si>
  <si>
    <t>GEN347</t>
  </si>
  <si>
    <t>56.8k</t>
  </si>
  <si>
    <t>RC0603FR-0756k8L</t>
  </si>
  <si>
    <t>GEN402,GEN429</t>
  </si>
  <si>
    <t>470k</t>
  </si>
  <si>
    <t>RC0603FR-0710KL</t>
  </si>
  <si>
    <t>GEN413,GEN430</t>
  </si>
  <si>
    <t>GEN431</t>
  </si>
  <si>
    <t>787k</t>
  </si>
  <si>
    <t>RC0603FR-07787KL</t>
  </si>
  <si>
    <t>GEN433</t>
  </si>
  <si>
    <t>48.7k</t>
  </si>
  <si>
    <t>RC0603FR-0748K7L</t>
  </si>
  <si>
    <t>GEN439</t>
  </si>
  <si>
    <t>4.7k</t>
  </si>
  <si>
    <t>RC0603FR-074K7L</t>
  </si>
  <si>
    <t>GEN455</t>
  </si>
  <si>
    <t>3.3k</t>
  </si>
  <si>
    <t>RC0603FR-073k3L</t>
  </si>
  <si>
    <t>GEN509</t>
  </si>
  <si>
    <t>DAC80508ZRTER</t>
  </si>
  <si>
    <t>DAC80508ZCRTET</t>
  </si>
  <si>
    <t>GEN510,GEN511,GEN569</t>
  </si>
  <si>
    <t>OPA991S</t>
  </si>
  <si>
    <t>SOT-23-6</t>
  </si>
  <si>
    <t>OPA991SIDBVR</t>
  </si>
  <si>
    <t>GEN512</t>
  </si>
  <si>
    <t>LP38693MP-1.8</t>
  </si>
  <si>
    <t>SOT-223-5</t>
  </si>
  <si>
    <t>LP38693MP-1.8/NOPB</t>
  </si>
  <si>
    <t>GEN513</t>
  </si>
  <si>
    <t>LP38693MP-2.5</t>
  </si>
  <si>
    <t>LP38693MP-2.5/NOPB</t>
  </si>
  <si>
    <t>GEN514</t>
  </si>
  <si>
    <t>LP38693MP-5.0</t>
  </si>
  <si>
    <t>LP38693MP-5.0/NOPB</t>
  </si>
  <si>
    <t>GEN515</t>
  </si>
  <si>
    <t>PCA9306</t>
  </si>
  <si>
    <t>IC TRNSLTR BIDIRECTIONAL 8TSSOP</t>
  </si>
  <si>
    <t>PCA9306DTR2G</t>
  </si>
  <si>
    <t>GEN516</t>
  </si>
  <si>
    <t>NLSX3018DTR2G</t>
  </si>
  <si>
    <t>TSSOP20_4P50X6P60_ONS</t>
  </si>
  <si>
    <t>GEN517</t>
  </si>
  <si>
    <t>LM2937xMP</t>
  </si>
  <si>
    <t>SOT-223-3_TabPin2</t>
  </si>
  <si>
    <t>LM2937IMPX-15/NOPB</t>
  </si>
  <si>
    <t>GEN518,GEN521</t>
  </si>
  <si>
    <t>TXS0108EPW</t>
  </si>
  <si>
    <t>TSSOP-20_4.4x6.5mm_P0.65mm</t>
  </si>
  <si>
    <t>TXS0108EPWR</t>
  </si>
  <si>
    <t>GEN519</t>
  </si>
  <si>
    <t>MAX6070BAUT21+T</t>
  </si>
  <si>
    <t>21-0058I_MXM</t>
  </si>
  <si>
    <t>GEN520,GEN527-GEN529,GEN531,GEN539,GEN542,GEN543,GEN546,GEN549,GEN552,GEN556-GEN560,GEN562-GEN566,GEN571</t>
  </si>
  <si>
    <t>OPA2156xD</t>
  </si>
  <si>
    <t>SOIC-8_3.9x4.9mm_P1.27mm</t>
  </si>
  <si>
    <t>OPA2156IDR</t>
  </si>
  <si>
    <t>GEN522</t>
  </si>
  <si>
    <t>MC79M15_TO252</t>
  </si>
  <si>
    <t>TO-252-2</t>
  </si>
  <si>
    <t>MC79M15BDTRKG</t>
  </si>
  <si>
    <t>GEN523,GEN530,GEN533,GEN535</t>
  </si>
  <si>
    <t>AD7960BCPZ-RL7</t>
  </si>
  <si>
    <t>CP_32_7</t>
  </si>
  <si>
    <t>AD7961BCPZ-RL7</t>
  </si>
  <si>
    <t>GEN524,GEN532,GEN534,GEN536</t>
  </si>
  <si>
    <t>OPA325</t>
  </si>
  <si>
    <t>SOT-23-5</t>
  </si>
  <si>
    <t>OPA325IDBVR</t>
  </si>
  <si>
    <t>GEN525,GEN526,GEN538,GEN541,GEN545,GEN548,GEN551,GEN555</t>
  </si>
  <si>
    <t>AD5453</t>
  </si>
  <si>
    <t>RM_8</t>
  </si>
  <si>
    <t>AD5453YRMZ-REEL7</t>
  </si>
  <si>
    <t>GEN537,GEN540,GEN544,GEN547,GEN550,GEN554</t>
  </si>
  <si>
    <t>TMUX6111PWR</t>
  </si>
  <si>
    <t>TSSOP-14_W4.4mm</t>
  </si>
  <si>
    <t>GEN553</t>
  </si>
  <si>
    <t>LP38693MP-3.3</t>
  </si>
  <si>
    <t>LP38693MP-3.3/NOPB</t>
  </si>
  <si>
    <t>GEN561</t>
  </si>
  <si>
    <t>GEN567,GEN568,GEN570,GEN572</t>
  </si>
  <si>
    <t>TMUX6136PWR</t>
  </si>
  <si>
    <t>TSSOP-16_W4.4mm</t>
  </si>
  <si>
    <t>GEN8,GEN67,GEN124,GEN166-GEN168,GEN170</t>
  </si>
  <si>
    <t>JMK107ABJ106KAHT</t>
  </si>
  <si>
    <t>GEN87,GEN103,GEN107</t>
  </si>
  <si>
    <t>5p</t>
  </si>
  <si>
    <t>CC0603JRX7R9BB472</t>
  </si>
  <si>
    <t>GEN149-GEN157,GEN159-GEN165</t>
  </si>
  <si>
    <t>1000p</t>
  </si>
  <si>
    <t>CC0603JRNPO9BN102</t>
  </si>
  <si>
    <t>GEN184-GEN187</t>
  </si>
  <si>
    <t>MountingHole_3.2mm_M3_DIN965_Pad</t>
  </si>
  <si>
    <t>GEN213-GEN216</t>
  </si>
  <si>
    <t>Conn_02x03_Odd_Even</t>
  </si>
  <si>
    <t>GEN233-GEN235,GEN237-GEN241,GEN248-GEN257,GEN259-GEN261,GEN263-GEN265,GEN297,GEN316,GEN334,GEN354,GEN373,GEN392,GEN461,GEN477,GEN500-GEN507</t>
  </si>
  <si>
    <t>1k</t>
  </si>
  <si>
    <t>RC0603FR-071KL</t>
  </si>
  <si>
    <t>GEN244-GEN246,GEN266-GEN268,GEN272-GEN274,GEN277-GEN279,GEN283,GEN288-GEN290,GEN298,GEN301,GEN307-GEN309,GEN317,GEN320,GEN326-GEN328,GEN337,GEN340,GEN345,GEN346,GEN348,GEN355,GEN359,GEN364-GEN366,GEN374,GEN377,GEN383-GEN385,GEN391,GEN393,GEN404,GEN436-GEN438,GEN448-GEN451,GEN462,GEN463,GEN467-GEN469,GEN478</t>
  </si>
  <si>
    <t>33</t>
  </si>
  <si>
    <t>RC0603FR-0733RL</t>
  </si>
  <si>
    <t>GEN398-GEN401,GEN414-GEN417,GEN465,GEN476,GEN482-GEN485,GEN487,GEN498</t>
  </si>
  <si>
    <t>30.1k</t>
  </si>
  <si>
    <t>RC0603FR-0730k1L</t>
  </si>
  <si>
    <t>Total Purchase:</t>
  </si>
  <si>
    <t>Purchase description:</t>
  </si>
  <si>
    <t>Used currency rates:</t>
  </si>
  <si>
    <t>USD($)/GBP(£):</t>
  </si>
  <si>
    <t>Prj:</t>
  </si>
  <si>
    <t>covg_daq_v2_parts.csv</t>
  </si>
  <si>
    <t>Co.:</t>
  </si>
  <si>
    <t>Prj date:</t>
  </si>
  <si>
    <t>2021-06-08 09:51:38 (file)</t>
  </si>
  <si>
    <t>Board Qty:</t>
  </si>
  <si>
    <t>Total Cost:</t>
  </si>
  <si>
    <t>Unit Cost:</t>
  </si>
  <si>
    <t>$ date:</t>
  </si>
  <si>
    <t>2021-06-08 10:00:27</t>
  </si>
  <si>
    <t>Arrow</t>
  </si>
  <si>
    <t>Avail</t>
  </si>
  <si>
    <t>Purch</t>
  </si>
  <si>
    <t>Cat#</t>
  </si>
  <si>
    <t>Digi-Key</t>
  </si>
  <si>
    <t>311-1825-1-ND</t>
  </si>
  <si>
    <t>NonStk</t>
  </si>
  <si>
    <t>1276-1019-1-ND</t>
  </si>
  <si>
    <t>311-3572-1-ND</t>
  </si>
  <si>
    <t>311-3975-1-ND</t>
  </si>
  <si>
    <t>311-1064-1-ND</t>
  </si>
  <si>
    <t>311-1069-1-ND</t>
  </si>
  <si>
    <t>587-6012-1-ND</t>
  </si>
  <si>
    <t>490-1055-1-ND</t>
  </si>
  <si>
    <t>296-36691-1-ND</t>
  </si>
  <si>
    <t>296-ADS8686SIPZARCT-ND</t>
  </si>
  <si>
    <t>PRT-14417-ND</t>
  </si>
  <si>
    <t>CP-002B-ND</t>
  </si>
  <si>
    <t>308-1977-1-ND</t>
  </si>
  <si>
    <t>311-1051-1-ND</t>
  </si>
  <si>
    <t>SAM9190-ND</t>
  </si>
  <si>
    <t>BC856B-7FDICT-ND</t>
  </si>
  <si>
    <t>311-0.0HRCT-ND</t>
  </si>
  <si>
    <t>311-15.0KHRCT-ND</t>
  </si>
  <si>
    <t>587-4903-1-ND</t>
  </si>
  <si>
    <t>311-100KHRCT-ND</t>
  </si>
  <si>
    <t>311-100HRCT-ND</t>
  </si>
  <si>
    <t>408-2037-1-ND</t>
  </si>
  <si>
    <t>311-49.9KHRCT-ND</t>
  </si>
  <si>
    <t>311-243KHRCT-ND</t>
  </si>
  <si>
    <t>311-80.6KHRCT-ND</t>
  </si>
  <si>
    <t>311-32.4KHRCT-ND</t>
  </si>
  <si>
    <t>311-8.06KHRCT-ND</t>
  </si>
  <si>
    <t>311-20.0KHRCT-ND</t>
  </si>
  <si>
    <t>311-10.0KHRCT-ND</t>
  </si>
  <si>
    <t>311-2.00KHRCT-ND</t>
  </si>
  <si>
    <t>490-GRM21BR70J106KA73LCT-ND</t>
  </si>
  <si>
    <t>311-787KHRCT-ND</t>
  </si>
  <si>
    <t>311-48.7KHRCT-ND</t>
  </si>
  <si>
    <t>311-4.70KHRCT-ND</t>
  </si>
  <si>
    <t>311-3.30KHRCT-ND</t>
  </si>
  <si>
    <t>296-52292-1-ND</t>
  </si>
  <si>
    <t>296-OPA991SIDBVRCT-ND</t>
  </si>
  <si>
    <t>LP38693MP-1.8/NOPBCT-ND</t>
  </si>
  <si>
    <t>LP38693MP-2.5/NOPBCT-ND</t>
  </si>
  <si>
    <t>LP38693MP-5.0/NOPBCT-ND</t>
  </si>
  <si>
    <t>PCA9306DTR2GOSCT-ND</t>
  </si>
  <si>
    <t>NLSX3018DTR2GOSCT-ND</t>
  </si>
  <si>
    <t>LM2937IMPX-15/NOPBCT-ND</t>
  </si>
  <si>
    <t>296-23011-1-ND</t>
  </si>
  <si>
    <t>MAX6070BAUT21+TCT-ND</t>
  </si>
  <si>
    <t>296-OPA2156IDRCT-ND</t>
  </si>
  <si>
    <t>MC79M15BDTRKGOSCT-ND</t>
  </si>
  <si>
    <t>AD7961BCPZ-RL7CT-ND</t>
  </si>
  <si>
    <t>296-OPA325IDBVRCT-ND</t>
  </si>
  <si>
    <t>AD5453YRMZ-REEL7CT-ND</t>
  </si>
  <si>
    <t>296-53259-1-ND</t>
  </si>
  <si>
    <t>LP38693MP-3.3/NOPBCT-ND</t>
  </si>
  <si>
    <t>296-51047-1-ND</t>
  </si>
  <si>
    <t>296-53265-1-ND</t>
  </si>
  <si>
    <t>587-JMK107ABJ106KAHTCT-ND</t>
  </si>
  <si>
    <t>311-3363-1-ND</t>
  </si>
  <si>
    <t>311-1423-1-ND</t>
  </si>
  <si>
    <t>311-1.00KHRCT-ND</t>
  </si>
  <si>
    <t>311-33.0HRCT-ND</t>
  </si>
  <si>
    <t>311-30.1KHRCT-ND</t>
  </si>
  <si>
    <t>Farnell</t>
  </si>
  <si>
    <t>3759834</t>
  </si>
  <si>
    <t>3013416</t>
  </si>
  <si>
    <t>3759766</t>
  </si>
  <si>
    <t>3759680</t>
  </si>
  <si>
    <t>722029</t>
  </si>
  <si>
    <t>1362465</t>
  </si>
  <si>
    <t>3217571</t>
  </si>
  <si>
    <t>1401077</t>
  </si>
  <si>
    <t>3004816</t>
  </si>
  <si>
    <t>3658493</t>
  </si>
  <si>
    <t>1773623</t>
  </si>
  <si>
    <t>2309106</t>
  </si>
  <si>
    <t>3495741</t>
  </si>
  <si>
    <t>9238727</t>
  </si>
  <si>
    <t>9238360RL</t>
  </si>
  <si>
    <t>3495856</t>
  </si>
  <si>
    <t>3495816</t>
  </si>
  <si>
    <t>3495920</t>
  </si>
  <si>
    <t>3495765</t>
  </si>
  <si>
    <t>9238603</t>
  </si>
  <si>
    <t>3495801</t>
  </si>
  <si>
    <t>9238565</t>
  </si>
  <si>
    <t>9238549</t>
  </si>
  <si>
    <t>3007675</t>
  </si>
  <si>
    <t>3007677</t>
  </si>
  <si>
    <t>2464616</t>
  </si>
  <si>
    <t>3610653</t>
  </si>
  <si>
    <t>3007531</t>
  </si>
  <si>
    <t>3120988</t>
  </si>
  <si>
    <t>2799180</t>
  </si>
  <si>
    <t>2464366</t>
  </si>
  <si>
    <t>3007676</t>
  </si>
  <si>
    <t>3366802</t>
  </si>
  <si>
    <t>3369216</t>
  </si>
  <si>
    <t>3369207</t>
  </si>
  <si>
    <t>9238484</t>
  </si>
  <si>
    <t>9238301</t>
  </si>
  <si>
    <t>3495809</t>
  </si>
  <si>
    <t>LCSC</t>
  </si>
  <si>
    <t>C59782</t>
  </si>
  <si>
    <t>C319196</t>
  </si>
  <si>
    <t>C130887</t>
  </si>
  <si>
    <t>C260879</t>
  </si>
  <si>
    <t>C463618</t>
  </si>
  <si>
    <t>C130904</t>
  </si>
  <si>
    <t>C650947</t>
  </si>
  <si>
    <t>Mouser</t>
  </si>
  <si>
    <t>603CC603MRX7R8BB104</t>
  </si>
  <si>
    <t>187CL10B105KO8NNNC</t>
  </si>
  <si>
    <t>603CC603KRX5R8BB334</t>
  </si>
  <si>
    <t>603CC603JRNPO9BN750</t>
  </si>
  <si>
    <t>603C0603JRNPO9BN330</t>
  </si>
  <si>
    <t>603CC603JRNPO9BN101</t>
  </si>
  <si>
    <t>963JMK107ABJ106KAT</t>
  </si>
  <si>
    <t>81BLM31P500S</t>
  </si>
  <si>
    <t>595OPA1662AIDGKR</t>
  </si>
  <si>
    <t>595ADS8686SIPZAR</t>
  </si>
  <si>
    <t>474PRT14417</t>
  </si>
  <si>
    <t>490PJ002B</t>
  </si>
  <si>
    <t>851CDRH3D16PNP100MC</t>
  </si>
  <si>
    <t>603CC603CRNPO9BN2R0</t>
  </si>
  <si>
    <t>200BTE04002FDA</t>
  </si>
  <si>
    <t>621BC856B7F</t>
  </si>
  <si>
    <t>603RC0603FR070RL</t>
  </si>
  <si>
    <t>603RC0603FR0715KL</t>
  </si>
  <si>
    <t>963JMK107BJ475MAHT</t>
  </si>
  <si>
    <t>603RC0603FR07100KL</t>
  </si>
  <si>
    <t>603RC0603FR07100RL</t>
  </si>
  <si>
    <t>754RG3216P4704BT1</t>
  </si>
  <si>
    <t>603RC0603FR0749K9L</t>
  </si>
  <si>
    <t>603RC0603FR07243KL</t>
  </si>
  <si>
    <t>603RC0603FR0780K6L</t>
  </si>
  <si>
    <t>603RC0603FR0732K4L</t>
  </si>
  <si>
    <t>603RC0603FR078K06L</t>
  </si>
  <si>
    <t>603RC0603FR0720KL</t>
  </si>
  <si>
    <t>603RC0603FR0710KL</t>
  </si>
  <si>
    <t>603RC0603FR072KL</t>
  </si>
  <si>
    <t>81GRM21BR70J106KA3L</t>
  </si>
  <si>
    <t>603RC0603FR07787KL</t>
  </si>
  <si>
    <t>603RC0603FR0748K7L</t>
  </si>
  <si>
    <t>603RC0603FR074K7L</t>
  </si>
  <si>
    <t>603RC0603FR073K3L</t>
  </si>
  <si>
    <t>595DAC80508ZCRTET</t>
  </si>
  <si>
    <t>595OPA991SIDBVR</t>
  </si>
  <si>
    <t>92638693MP1.8/NOPB</t>
  </si>
  <si>
    <t>926LP38693MP25NOPB</t>
  </si>
  <si>
    <t>92638693MP5.0/NOPB</t>
  </si>
  <si>
    <t>863PCA9306DTR2G</t>
  </si>
  <si>
    <t>863NLSX3018DTR2G</t>
  </si>
  <si>
    <t>926LM2937IMPX15NOPB</t>
  </si>
  <si>
    <t>595TXS0108EPWR</t>
  </si>
  <si>
    <t>700MAX6070BAUT21+T</t>
  </si>
  <si>
    <t>595OPA2156IDR</t>
  </si>
  <si>
    <t>863MC79M15BDTRKG</t>
  </si>
  <si>
    <t>595OPA325IDBVR</t>
  </si>
  <si>
    <t>584AD5453YRMZR7</t>
  </si>
  <si>
    <t>595TMUX6111PWR</t>
  </si>
  <si>
    <t>92638693MP3.3/NOPB</t>
  </si>
  <si>
    <t>595TMUX6136PWR</t>
  </si>
  <si>
    <t>963JMK107ABJ106KAHT</t>
  </si>
  <si>
    <t>603CC603JRX7R9BB472</t>
  </si>
  <si>
    <t>603C0603JRNPO9BN102</t>
  </si>
  <si>
    <t>603RC0603FR071KL</t>
  </si>
  <si>
    <t>603RC0603FR0733RL</t>
  </si>
  <si>
    <t>603RC0603FR0730K1L</t>
  </si>
  <si>
    <t>Newark</t>
  </si>
  <si>
    <t>50AJ2733</t>
  </si>
  <si>
    <t>82AC9331</t>
  </si>
  <si>
    <t>50AJ2703</t>
  </si>
  <si>
    <t>50AJ2660</t>
  </si>
  <si>
    <t>46WX091</t>
  </si>
  <si>
    <t>68R4713</t>
  </si>
  <si>
    <t>08AH2174</t>
  </si>
  <si>
    <t>29AH1195</t>
  </si>
  <si>
    <t>55T1088</t>
  </si>
  <si>
    <t>51R6401</t>
  </si>
  <si>
    <t>68R0041</t>
  </si>
  <si>
    <t>68R0059</t>
  </si>
  <si>
    <t>29AC7189</t>
  </si>
  <si>
    <t>68R0051</t>
  </si>
  <si>
    <t>98K7334</t>
  </si>
  <si>
    <t>82AH8171</t>
  </si>
  <si>
    <t>82AH8137</t>
  </si>
  <si>
    <t>82AH8216</t>
  </si>
  <si>
    <t>68R0068</t>
  </si>
  <si>
    <t>68R0049</t>
  </si>
  <si>
    <t>82AH8079</t>
  </si>
  <si>
    <t>75X0151</t>
  </si>
  <si>
    <t>98K7393</t>
  </si>
  <si>
    <t>28AH3743</t>
  </si>
  <si>
    <t>28AH3745</t>
  </si>
  <si>
    <t>42Y0913</t>
  </si>
  <si>
    <t>28AH3261</t>
  </si>
  <si>
    <t>38AH6426</t>
  </si>
  <si>
    <t>38AC1799</t>
  </si>
  <si>
    <t>42Y0688</t>
  </si>
  <si>
    <t>28AH3744</t>
  </si>
  <si>
    <t>52AH6806</t>
  </si>
  <si>
    <t>40AJ6419</t>
  </si>
  <si>
    <t>68R4714</t>
  </si>
  <si>
    <t>66R1908</t>
  </si>
  <si>
    <t>68R0085</t>
  </si>
  <si>
    <t>82AH8128</t>
  </si>
  <si>
    <t>RS Components</t>
  </si>
  <si>
    <t>2006491</t>
  </si>
  <si>
    <t>2006468</t>
  </si>
  <si>
    <t>1843880</t>
  </si>
  <si>
    <t>7241589</t>
  </si>
  <si>
    <t>1798735</t>
  </si>
  <si>
    <t>7114850</t>
  </si>
  <si>
    <t>1995465</t>
  </si>
  <si>
    <t>1843768</t>
  </si>
  <si>
    <t>1995587</t>
  </si>
  <si>
    <t>1995490</t>
  </si>
  <si>
    <t>1995442</t>
  </si>
  <si>
    <t>1995594</t>
  </si>
  <si>
    <t>1995563</t>
  </si>
  <si>
    <t>7470936</t>
  </si>
  <si>
    <t>7857162</t>
  </si>
  <si>
    <t>5379200</t>
  </si>
  <si>
    <t>2006522</t>
  </si>
  <si>
    <t>2006470</t>
  </si>
  <si>
    <t>1995479</t>
  </si>
  <si>
    <t>1995547</t>
  </si>
  <si>
    <t>TME</t>
  </si>
  <si>
    <t>CC0603JRNPO9330</t>
  </si>
  <si>
    <t>CC0603JRNPO9101</t>
  </si>
  <si>
    <t>BC856B7F</t>
  </si>
  <si>
    <t>RC0603FR070RL</t>
  </si>
  <si>
    <t>RC0603FR0715K</t>
  </si>
  <si>
    <t>RC0603FR07100K</t>
  </si>
  <si>
    <t>RC0603FR07100R</t>
  </si>
  <si>
    <t>RC0603FR0749K9L</t>
  </si>
  <si>
    <t>RC0603FR0780K6L</t>
  </si>
  <si>
    <t>RC0603FR0732K4L</t>
  </si>
  <si>
    <t>RC0603FR0720K</t>
  </si>
  <si>
    <t>RC0603FR0710K</t>
  </si>
  <si>
    <t>RC0603FR072K</t>
  </si>
  <si>
    <t>RC0603FR0748K7L</t>
  </si>
  <si>
    <t>RC0603FR074K7</t>
  </si>
  <si>
    <t>RC0603FR073K3</t>
  </si>
  <si>
    <t>LP38693MP3.3/NOPB</t>
  </si>
  <si>
    <t>CC0603JRNPO9102</t>
  </si>
  <si>
    <t>RC0603FR071K</t>
  </si>
  <si>
    <t>RC0603FR0733RL</t>
  </si>
  <si>
    <t>RC0603FR0730K1L</t>
  </si>
  <si>
    <t>KiCost® v.1.1.4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</si>
</sst>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right" vertical="center"/>
    </xf>
    <xf numFmtId="0" fontId="9" fillId="0" borderId="0" xfId="1" applyAlignment="1" applyProtection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ctopart.com/click/track?c=1&amp;ai=8078&amp;sig=0d3c707&amp;sid=459&amp;ppid=12817663&amp;vpid=193846562&amp;ct=offers" TargetMode="External"/><Relationship Id="rId2" Type="http://schemas.openxmlformats.org/officeDocument/2006/relationships/hyperlink" Target="https://octopart.com/click/track?c=1&amp;ai=8078&amp;sig=060b4e1&amp;sid=11744&amp;ppid=12817663&amp;vpid=718348350&amp;ct=offers" TargetMode="External"/><Relationship Id="rId3" Type="http://schemas.openxmlformats.org/officeDocument/2006/relationships/hyperlink" Target="https://octopart.com/click/track?ai=8078&amp;sig=08422d9&amp;sid=2401&amp;ppid=12817663&amp;vpid=238670869&amp;ct=offers" TargetMode="External"/><Relationship Id="rId4" Type="http://schemas.openxmlformats.org/officeDocument/2006/relationships/hyperlink" Target="https://octopart.com/click/track?c=1&amp;ai=8078&amp;sig=06ce7bf&amp;sid=2402&amp;ppid=12817663&amp;vpid=719401272&amp;ct=offers" TargetMode="External"/><Relationship Id="rId5" Type="http://schemas.openxmlformats.org/officeDocument/2006/relationships/hyperlink" Target="http://datasheet.octopart.com/CL10B105KO8NNNC-Samsung-Electro-Mechanics-datasheet-137745070.pdf" TargetMode="External"/><Relationship Id="rId6" Type="http://schemas.openxmlformats.org/officeDocument/2006/relationships/hyperlink" Target="https://octopart.com/click/track?ai=8078&amp;sig=032bdd9&amp;sid=459&amp;ppid=19018973&amp;vpid=72523937&amp;ct=offers" TargetMode="External"/><Relationship Id="rId7" Type="http://schemas.openxmlformats.org/officeDocument/2006/relationships/hyperlink" Target="https://octopart.com/click/track?ai=8078&amp;sig=09b1404&amp;sid=11744&amp;ppid=19018973&amp;vpid=541618871&amp;ct=offers" TargetMode="External"/><Relationship Id="rId8" Type="http://schemas.openxmlformats.org/officeDocument/2006/relationships/hyperlink" Target="https://octopart.com/click/track?ai=8078&amp;sig=08c5f37&amp;sid=27971&amp;ppid=19018973&amp;vpid=476994667&amp;ct=offers" TargetMode="External"/><Relationship Id="rId9" Type="http://schemas.openxmlformats.org/officeDocument/2006/relationships/hyperlink" Target="https://octopart.com/click/track?c=1&amp;ai=8078&amp;sig=0171df4&amp;sid=2401&amp;ppid=19018973&amp;vpid=659501156&amp;ct=offers" TargetMode="External"/><Relationship Id="rId10" Type="http://schemas.openxmlformats.org/officeDocument/2006/relationships/hyperlink" Target="https://octopart.com/click/track?ai=8078&amp;sig=0919556&amp;sid=2402&amp;ppid=19018973&amp;vpid=511545533&amp;ct=offers" TargetMode="External"/><Relationship Id="rId11" Type="http://schemas.openxmlformats.org/officeDocument/2006/relationships/hyperlink" Target="https://octopart.com/click/track?ai=8078&amp;sig=081162f&amp;sid=1532&amp;ppid=19018973&amp;vpid=709157257&amp;ct=offers" TargetMode="External"/><Relationship Id="rId12" Type="http://schemas.openxmlformats.org/officeDocument/2006/relationships/hyperlink" Target="http://datasheet.octopart.com/CC0603KRX5R8BB334-Yageo-datasheet-10911834.pdf" TargetMode="External"/><Relationship Id="rId13" Type="http://schemas.openxmlformats.org/officeDocument/2006/relationships/hyperlink" Target="https://octopart.com/click/track?ai=8078&amp;sig=0274072&amp;sid=459&amp;ppid=9288159&amp;vpid=447293190&amp;ct=offers" TargetMode="External"/><Relationship Id="rId14" Type="http://schemas.openxmlformats.org/officeDocument/2006/relationships/hyperlink" Target="https://octopart.com/click/track?c=1&amp;ai=8078&amp;sig=0a1340c&amp;sid=11744&amp;ppid=9288159&amp;vpid=718348320&amp;ct=offers" TargetMode="External"/><Relationship Id="rId15" Type="http://schemas.openxmlformats.org/officeDocument/2006/relationships/hyperlink" Target="https://octopart.com/click/track?ai=8078&amp;sig=019063a&amp;sid=2401&amp;ppid=9288159&amp;vpid=45350889&amp;ct=offers" TargetMode="External"/><Relationship Id="rId16" Type="http://schemas.openxmlformats.org/officeDocument/2006/relationships/hyperlink" Target="https://octopart.com/click/track?c=1&amp;ai=8078&amp;sig=07d2095&amp;sid=2402&amp;ppid=9288159&amp;vpid=719401242&amp;ct=offers" TargetMode="External"/><Relationship Id="rId17" Type="http://schemas.openxmlformats.org/officeDocument/2006/relationships/hyperlink" Target="http://datasheet.octopart.com/CC0603JRNPO9BN750-Yageo-datasheet-8324240.pdf" TargetMode="External"/><Relationship Id="rId18" Type="http://schemas.openxmlformats.org/officeDocument/2006/relationships/hyperlink" Target="https://octopart.com/click/track?c=1&amp;ai=8078&amp;sig=0d27944&amp;sid=459&amp;ppid=9292816&amp;vpid=457174894&amp;ct=offers" TargetMode="External"/><Relationship Id="rId19" Type="http://schemas.openxmlformats.org/officeDocument/2006/relationships/hyperlink" Target="https://octopart.com/click/track?c=1&amp;ai=8078&amp;sig=00d407d&amp;sid=11744&amp;ppid=9292816&amp;vpid=718348277&amp;ct=offers" TargetMode="External"/><Relationship Id="rId20" Type="http://schemas.openxmlformats.org/officeDocument/2006/relationships/hyperlink" Target="https://octopart.com/click/track?ai=8078&amp;sig=0c15df8&amp;sid=2401&amp;ppid=9292816&amp;vpid=262450408&amp;ct=offers" TargetMode="External"/><Relationship Id="rId21" Type="http://schemas.openxmlformats.org/officeDocument/2006/relationships/hyperlink" Target="https://octopart.com/click/track?c=1&amp;ai=8078&amp;sig=0e2b37f&amp;sid=2402&amp;ppid=9292816&amp;vpid=719401199&amp;ct=offers" TargetMode="External"/><Relationship Id="rId22" Type="http://schemas.openxmlformats.org/officeDocument/2006/relationships/hyperlink" Target="http://datasheet.octopart.com/CC0603JRNPO9BN330-Yageo-datasheet-151948684.pdf" TargetMode="External"/><Relationship Id="rId23" Type="http://schemas.openxmlformats.org/officeDocument/2006/relationships/hyperlink" Target="https://octopart.com/click/track?ai=8078&amp;sig=034270c&amp;sid=459&amp;ppid=39467676&amp;vpid=114982396&amp;ct=offers" TargetMode="External"/><Relationship Id="rId24" Type="http://schemas.openxmlformats.org/officeDocument/2006/relationships/hyperlink" Target="https://octopart.com/click/track?ai=8078&amp;sig=06ce614&amp;sid=11744&amp;ppid=39467676&amp;vpid=480397627&amp;ct=offers" TargetMode="External"/><Relationship Id="rId25" Type="http://schemas.openxmlformats.org/officeDocument/2006/relationships/hyperlink" Target="https://octopart.com/click/track?ai=8078&amp;sig=0b62136&amp;sid=2401&amp;ppid=39467676&amp;vpid=174191287&amp;ct=offers" TargetMode="External"/><Relationship Id="rId26" Type="http://schemas.openxmlformats.org/officeDocument/2006/relationships/hyperlink" Target="https://octopart.com/click/track?ai=8078&amp;sig=0c07e96&amp;sid=2402&amp;ppid=39467676&amp;vpid=115423483&amp;ct=offers" TargetMode="External"/><Relationship Id="rId27" Type="http://schemas.openxmlformats.org/officeDocument/2006/relationships/hyperlink" Target="https://octopart.com/click/track?ai=8078&amp;sig=0dd4645&amp;sid=10022&amp;ppid=39467676&amp;vpid=635571336&amp;ct=offers" TargetMode="External"/><Relationship Id="rId28" Type="http://schemas.openxmlformats.org/officeDocument/2006/relationships/hyperlink" Target="https://octopart.com/click/track?ai=8078&amp;sig=0f59e6f&amp;sid=1532&amp;ppid=39467676&amp;vpid=709256884&amp;ct=offers" TargetMode="External"/><Relationship Id="rId29" Type="http://schemas.openxmlformats.org/officeDocument/2006/relationships/hyperlink" Target="http://datasheet.octopart.com/CC0603JRNPO9BN101-Yageo-datasheet-151948684.pdf" TargetMode="External"/><Relationship Id="rId30" Type="http://schemas.openxmlformats.org/officeDocument/2006/relationships/hyperlink" Target="https://octopart.com/click/track?c=1&amp;ai=8078&amp;sig=012ec40&amp;sid=459&amp;ppid=192922&amp;vpid=115263374&amp;ct=offers" TargetMode="External"/><Relationship Id="rId31" Type="http://schemas.openxmlformats.org/officeDocument/2006/relationships/hyperlink" Target="https://octopart.com/click/track?c=1&amp;ai=8078&amp;sig=0b7d4e7&amp;sid=819&amp;ppid=192922&amp;vpid=716173237&amp;ct=offers" TargetMode="External"/><Relationship Id="rId32" Type="http://schemas.openxmlformats.org/officeDocument/2006/relationships/hyperlink" Target="https://octopart.com/click/track?c=1&amp;ai=8078&amp;sig=0eeada6&amp;sid=2401&amp;ppid=192922&amp;vpid=115540537&amp;ct=offers" TargetMode="External"/><Relationship Id="rId33" Type="http://schemas.openxmlformats.org/officeDocument/2006/relationships/hyperlink" Target="https://octopart.com/click/track?ai=8078&amp;sig=032e52a&amp;sid=2402&amp;ppid=192922&amp;vpid=115423466&amp;ct=offers" TargetMode="External"/><Relationship Id="rId34" Type="http://schemas.openxmlformats.org/officeDocument/2006/relationships/hyperlink" Target="https://octopart.com/click/track?ai=8078&amp;sig=031fcca&amp;sid=10022&amp;ppid=192922&amp;vpid=661517059&amp;ct=offers" TargetMode="External"/><Relationship Id="rId35" Type="http://schemas.openxmlformats.org/officeDocument/2006/relationships/hyperlink" Target="https://octopart.com/click/track?ai=8078&amp;sig=014c534&amp;sid=1532&amp;ppid=192922&amp;vpid=709256874&amp;ct=offers" TargetMode="External"/><Relationship Id="rId36" Type="http://schemas.openxmlformats.org/officeDocument/2006/relationships/hyperlink" Target="http://sigma.octopart.com/151625811/technical_drawing/Taiyo-Yuden-JMK107ABJ106KA-T.pdf" TargetMode="External"/><Relationship Id="rId37" Type="http://schemas.openxmlformats.org/officeDocument/2006/relationships/hyperlink" Target="https://octopart.com/click/track?c=1&amp;ai=8078&amp;sig=04820b1&amp;sid=459&amp;ppid=75346050&amp;vpid=457505681&amp;ct=offers" TargetMode="External"/><Relationship Id="rId38" Type="http://schemas.openxmlformats.org/officeDocument/2006/relationships/hyperlink" Target="https://octopart.com/click/track?c=1&amp;ai=8078&amp;sig=005e9a0&amp;sid=819&amp;ppid=75346050&amp;vpid=575183996&amp;ct=offers" TargetMode="External"/><Relationship Id="rId39" Type="http://schemas.openxmlformats.org/officeDocument/2006/relationships/hyperlink" Target="https://octopart.com/click/track?ai=8078&amp;sig=095a358&amp;sid=27971&amp;ppid=75346050&amp;vpid=507190495&amp;ct=offers" TargetMode="External"/><Relationship Id="rId40" Type="http://schemas.openxmlformats.org/officeDocument/2006/relationships/hyperlink" Target="https://octopart.com/click/track?c=1&amp;ai=8078&amp;sig=0ae070c&amp;sid=2401&amp;ppid=75346050&amp;vpid=410536848&amp;ct=offers" TargetMode="External"/><Relationship Id="rId41" Type="http://schemas.openxmlformats.org/officeDocument/2006/relationships/hyperlink" Target="https://octopart.com/click/track?c=1&amp;ai=8078&amp;sig=08c5803&amp;sid=2402&amp;ppid=75346050&amp;vpid=573252843&amp;ct=offers" TargetMode="External"/><Relationship Id="rId42" Type="http://schemas.openxmlformats.org/officeDocument/2006/relationships/hyperlink" Target="https://octopart.com/click/track?ai=8078&amp;sig=07be8f1&amp;sid=10022&amp;ppid=75346050&amp;vpid=533260056&amp;ct=offers" TargetMode="External"/><Relationship Id="rId43" Type="http://schemas.openxmlformats.org/officeDocument/2006/relationships/hyperlink" Target="https://octopart.com/click/track?ai=8078&amp;sig=01c7eb6&amp;sid=27971&amp;ppid=99361063&amp;vpid=531413518&amp;ct=offers" TargetMode="External"/><Relationship Id="rId44" Type="http://schemas.openxmlformats.org/officeDocument/2006/relationships/hyperlink" Target="https://octopart.com/click/track?ai=8078&amp;sig=0ac572b&amp;sid=459&amp;ppid=26207&amp;vpid=1445751&amp;ct=offers" TargetMode="External"/><Relationship Id="rId45" Type="http://schemas.openxmlformats.org/officeDocument/2006/relationships/hyperlink" Target="https://octopart.com/click/track?ai=8078&amp;sig=09f003a&amp;sid=819&amp;ppid=26207&amp;vpid=139132516&amp;ct=offers" TargetMode="External"/><Relationship Id="rId46" Type="http://schemas.openxmlformats.org/officeDocument/2006/relationships/hyperlink" Target="https://octopart.com/click/track?ai=8078&amp;sig=02c64dd&amp;sid=2401&amp;ppid=26207&amp;vpid=37601758&amp;ct=offers" TargetMode="External"/><Relationship Id="rId47" Type="http://schemas.openxmlformats.org/officeDocument/2006/relationships/hyperlink" Target="https://octopart.com/click/track?ai=8078&amp;sig=0a36d9d&amp;sid=10022&amp;ppid=26207&amp;vpid=199071165&amp;ct=offers" TargetMode="External"/><Relationship Id="rId48" Type="http://schemas.openxmlformats.org/officeDocument/2006/relationships/hyperlink" Target="https://octopart.com/click/track?ai=8078&amp;sig=09a4496&amp;sid=1532&amp;ppid=26207&amp;vpid=709097456&amp;ct=offers" TargetMode="External"/><Relationship Id="rId49" Type="http://schemas.openxmlformats.org/officeDocument/2006/relationships/hyperlink" Target="https://octopart.com/click/track?ai=8078&amp;sig=0a577b2&amp;sid=459&amp;ppid=21515428&amp;vpid=88044068&amp;ct=offers" TargetMode="External"/><Relationship Id="rId50" Type="http://schemas.openxmlformats.org/officeDocument/2006/relationships/hyperlink" Target="https://octopart.com/click/track?ai=8078&amp;sig=01885d6&amp;sid=819&amp;ppid=21515428&amp;vpid=579544575&amp;ct=offers" TargetMode="External"/><Relationship Id="rId51" Type="http://schemas.openxmlformats.org/officeDocument/2006/relationships/hyperlink" Target="https://octopart.com/click/track?c=1&amp;ai=8078&amp;sig=0ca14df&amp;sid=2401&amp;ppid=21515428&amp;vpid=165577137&amp;ct=offers" TargetMode="External"/><Relationship Id="rId52" Type="http://schemas.openxmlformats.org/officeDocument/2006/relationships/hyperlink" Target="https://octopart.com/click/track?ai=8078&amp;sig=0cb1ef8&amp;sid=2402&amp;ppid=21515428&amp;vpid=579323643&amp;ct=offers" TargetMode="External"/><Relationship Id="rId53" Type="http://schemas.openxmlformats.org/officeDocument/2006/relationships/hyperlink" Target="https://www.ti.com/lit/gpn/ADS8686S" TargetMode="External"/><Relationship Id="rId54" Type="http://schemas.openxmlformats.org/officeDocument/2006/relationships/hyperlink" Target="https://octopart.com/click/track?c=1&amp;ai=8078&amp;sig=09e1543&amp;sid=459&amp;ppid=106673055&amp;vpid=657498482&amp;ct=offers" TargetMode="External"/><Relationship Id="rId55" Type="http://schemas.openxmlformats.org/officeDocument/2006/relationships/hyperlink" Target="https://octopart.com/click/track?ai=8078&amp;sig=054e515&amp;sid=2401&amp;ppid=106673055&amp;vpid=659509766&amp;ct=offers" TargetMode="External"/><Relationship Id="rId56" Type="http://schemas.openxmlformats.org/officeDocument/2006/relationships/hyperlink" Target="https://en.wikipedia.org/wiki/HDMI" TargetMode="External"/><Relationship Id="rId57" Type="http://schemas.openxmlformats.org/officeDocument/2006/relationships/hyperlink" Target="https://octopart.com/click/track?c=1&amp;ai=8078&amp;sig=01eefeb&amp;sid=459&amp;ppid=86875078&amp;vpid=447857015&amp;ct=offers" TargetMode="External"/><Relationship Id="rId58" Type="http://schemas.openxmlformats.org/officeDocument/2006/relationships/hyperlink" Target="https://octopart.com/click/track?ai=8078&amp;sig=074296e&amp;sid=2401&amp;ppid=86875078&amp;vpid=460594634&amp;ct=offers" TargetMode="External"/><Relationship Id="rId59" Type="http://schemas.openxmlformats.org/officeDocument/2006/relationships/hyperlink" Target="http://datasheet.octopart.com/PJ-002B-CUI-Devices-datasheet-137940667.pdf" TargetMode="External"/><Relationship Id="rId60" Type="http://schemas.openxmlformats.org/officeDocument/2006/relationships/hyperlink" Target="https://octopart.com/click/track?ai=8078&amp;sig=0f9e894&amp;sid=459&amp;ppid=106233955&amp;vpid=612419671&amp;ct=offers" TargetMode="External"/><Relationship Id="rId61" Type="http://schemas.openxmlformats.org/officeDocument/2006/relationships/hyperlink" Target="https://octopart.com/click/track?ai=8078&amp;sig=08fa8f3&amp;sid=2401&amp;ppid=106233955&amp;vpid=595459900&amp;ct=offers" TargetMode="External"/><Relationship Id="rId62" Type="http://schemas.openxmlformats.org/officeDocument/2006/relationships/hyperlink" Target="https://octopart.com/click/track?c=1&amp;ai=8078&amp;sig=0a638ac&amp;sid=459&amp;ppid=9290692&amp;vpid=72734723&amp;ct=offers" TargetMode="External"/><Relationship Id="rId63" Type="http://schemas.openxmlformats.org/officeDocument/2006/relationships/hyperlink" Target="https://octopart.com/click/track?c=1&amp;ai=8078&amp;sig=04b4073&amp;sid=2401&amp;ppid=9290692&amp;vpid=214825145&amp;ct=offers" TargetMode="External"/><Relationship Id="rId64" Type="http://schemas.openxmlformats.org/officeDocument/2006/relationships/hyperlink" Target="https://octopart.com/click/track?c=1&amp;ai=8078&amp;sig=0a638ac&amp;sid=459&amp;ppid=9290692&amp;vpid=72734723&amp;ct=offers" TargetMode="External"/><Relationship Id="rId65" Type="http://schemas.openxmlformats.org/officeDocument/2006/relationships/hyperlink" Target="https://octopart.com/click/track?c=1&amp;ai=8078&amp;sig=04b4073&amp;sid=2401&amp;ppid=9290692&amp;vpid=214825145&amp;ct=offers" TargetMode="External"/><Relationship Id="rId66" Type="http://schemas.openxmlformats.org/officeDocument/2006/relationships/hyperlink" Target="http://datasheet.octopart.com/CC0603CRNPO9BN2R0-Yageo-datasheet-8324240.pdf" TargetMode="External"/><Relationship Id="rId67" Type="http://schemas.openxmlformats.org/officeDocument/2006/relationships/hyperlink" Target="https://octopart.com/click/track?ai=8078&amp;sig=0a5771b&amp;sid=459&amp;ppid=9289254&amp;vpid=45680521&amp;ct=offers" TargetMode="External"/><Relationship Id="rId68" Type="http://schemas.openxmlformats.org/officeDocument/2006/relationships/hyperlink" Target="https://octopart.com/click/track?ai=8078&amp;sig=02a9eb8&amp;sid=2401&amp;ppid=9289254&amp;vpid=45350886&amp;ct=offers" TargetMode="External"/><Relationship Id="rId69" Type="http://schemas.openxmlformats.org/officeDocument/2006/relationships/hyperlink" Target="https://octopart.com/click/track?c=1&amp;ai=8078&amp;sig=0a638ac&amp;sid=459&amp;ppid=9290692&amp;vpid=72734723&amp;ct=offers" TargetMode="External"/><Relationship Id="rId70" Type="http://schemas.openxmlformats.org/officeDocument/2006/relationships/hyperlink" Target="https://octopart.com/click/track?c=1&amp;ai=8078&amp;sig=04b4073&amp;sid=2401&amp;ppid=9290692&amp;vpid=214825145&amp;ct=offers" TargetMode="External"/><Relationship Id="rId71" Type="http://schemas.openxmlformats.org/officeDocument/2006/relationships/hyperlink" Target="http://datasheet.octopart.com/BTE-040-02-F-D-A-Samtec-datasheet-96904062.pdf" TargetMode="External"/><Relationship Id="rId72" Type="http://schemas.openxmlformats.org/officeDocument/2006/relationships/hyperlink" Target="https://octopart.com/click/track?ai=8078&amp;sig=0149da3&amp;sid=459&amp;ppid=10648255&amp;vpid=416794054&amp;ct=offers" TargetMode="External"/><Relationship Id="rId73" Type="http://schemas.openxmlformats.org/officeDocument/2006/relationships/hyperlink" Target="https://octopart.com/click/track?c=1&amp;ai=8078&amp;sig=000dcbb&amp;sid=819&amp;ppid=10648255&amp;vpid=700854257&amp;ct=offers" TargetMode="External"/><Relationship Id="rId74" Type="http://schemas.openxmlformats.org/officeDocument/2006/relationships/hyperlink" Target="https://octopart.com/click/track?ai=8078&amp;sig=08c5cd4&amp;sid=2401&amp;ppid=10648255&amp;vpid=493037889&amp;ct=offers" TargetMode="External"/><Relationship Id="rId75" Type="http://schemas.openxmlformats.org/officeDocument/2006/relationships/hyperlink" Target="https://octopart.com/click/track?c=1&amp;ai=8078&amp;sig=0aae881&amp;sid=2402&amp;ppid=10648255&amp;vpid=96592418&amp;ct=offers" TargetMode="External"/><Relationship Id="rId76" Type="http://schemas.openxmlformats.org/officeDocument/2006/relationships/hyperlink" Target="https://octopart.com/click/track?ai=8078&amp;sig=076a899&amp;sid=10022&amp;ppid=10648255&amp;vpid=510202915&amp;ct=offers" TargetMode="External"/><Relationship Id="rId77" Type="http://schemas.openxmlformats.org/officeDocument/2006/relationships/hyperlink" Target="https://www.onsemi.com/pub/Collateral/BC860-D.pdf" TargetMode="External"/><Relationship Id="rId78" Type="http://schemas.openxmlformats.org/officeDocument/2006/relationships/hyperlink" Target="https://octopart.com/click/track?ai=8078&amp;sig=0659e4f&amp;sid=459&amp;ppid=12177349&amp;vpid=63806649&amp;ct=offers" TargetMode="External"/><Relationship Id="rId79" Type="http://schemas.openxmlformats.org/officeDocument/2006/relationships/hyperlink" Target="https://octopart.com/click/track?ai=8078&amp;sig=0ce831a&amp;sid=819&amp;ppid=12177349&amp;vpid=138849907&amp;ct=offers" TargetMode="External"/><Relationship Id="rId80" Type="http://schemas.openxmlformats.org/officeDocument/2006/relationships/hyperlink" Target="https://octopart.com/click/track?ai=8078&amp;sig=0eb3ef0&amp;sid=27971&amp;ppid=12177349&amp;vpid=511070499&amp;ct=offers" TargetMode="External"/><Relationship Id="rId81" Type="http://schemas.openxmlformats.org/officeDocument/2006/relationships/hyperlink" Target="https://octopart.com/click/track?ai=8078&amp;sig=0529f37&amp;sid=2401&amp;ppid=12177349&amp;vpid=90578187&amp;ct=offers" TargetMode="External"/><Relationship Id="rId82" Type="http://schemas.openxmlformats.org/officeDocument/2006/relationships/hyperlink" Target="https://octopart.com/click/track?ai=8078&amp;sig=0b17478&amp;sid=2402&amp;ppid=12177349&amp;vpid=22465024&amp;ct=offers" TargetMode="External"/><Relationship Id="rId83" Type="http://schemas.openxmlformats.org/officeDocument/2006/relationships/hyperlink" Target="https://octopart.com/click/track?ai=8078&amp;sig=0267b0c&amp;sid=10022&amp;ppid=12177349&amp;vpid=199007838&amp;ct=offers" TargetMode="External"/><Relationship Id="rId84" Type="http://schemas.openxmlformats.org/officeDocument/2006/relationships/hyperlink" Target="https://octopart.com/click/track?ai=8078&amp;sig=0f388c6&amp;sid=1532&amp;ppid=12177349&amp;vpid=707844597&amp;ct=offers" TargetMode="External"/><Relationship Id="rId85" Type="http://schemas.openxmlformats.org/officeDocument/2006/relationships/hyperlink" Target="http://datasheet.octopart.com/RC0603FR-070RL-Yageo-datasheet-8328172.pdf" TargetMode="External"/><Relationship Id="rId86" Type="http://schemas.openxmlformats.org/officeDocument/2006/relationships/hyperlink" Target="https://octopart.com/click/track?ai=8078&amp;sig=08367b6&amp;sid=459&amp;ppid=1180803&amp;vpid=88049501&amp;ct=offers" TargetMode="External"/><Relationship Id="rId87" Type="http://schemas.openxmlformats.org/officeDocument/2006/relationships/hyperlink" Target="https://octopart.com/click/track?ai=8078&amp;sig=0bfe7e9&amp;sid=11744&amp;ppid=1180803&amp;vpid=132762899&amp;ct=offers" TargetMode="External"/><Relationship Id="rId88" Type="http://schemas.openxmlformats.org/officeDocument/2006/relationships/hyperlink" Target="https://octopart.com/click/track?c=1&amp;ai=8078&amp;sig=0db26dc&amp;sid=2401&amp;ppid=1180803&amp;vpid=45348878&amp;ct=offers" TargetMode="External"/><Relationship Id="rId89" Type="http://schemas.openxmlformats.org/officeDocument/2006/relationships/hyperlink" Target="https://octopart.com/click/track?c=1&amp;ai=8078&amp;sig=01da7bf&amp;sid=2402&amp;ppid=1180803&amp;vpid=21831661&amp;ct=offers" TargetMode="External"/><Relationship Id="rId90" Type="http://schemas.openxmlformats.org/officeDocument/2006/relationships/hyperlink" Target="https://octopart.com/click/track?ai=8078&amp;sig=0c4ac5d&amp;sid=1532&amp;ppid=1180803&amp;vpid=709257724&amp;ct=offers" TargetMode="External"/><Relationship Id="rId91" Type="http://schemas.openxmlformats.org/officeDocument/2006/relationships/hyperlink" Target="http://datasheet.octopart.com/RC0603FR-0715KL-Yageo-datasheet-8328172.pdf" TargetMode="External"/><Relationship Id="rId92" Type="http://schemas.openxmlformats.org/officeDocument/2006/relationships/hyperlink" Target="https://octopart.com/click/track?ai=8078&amp;sig=0522b68&amp;sid=459&amp;ppid=40254895&amp;vpid=114982799&amp;ct=offers" TargetMode="External"/><Relationship Id="rId93" Type="http://schemas.openxmlformats.org/officeDocument/2006/relationships/hyperlink" Target="https://octopart.com/click/track?c=1&amp;ai=8078&amp;sig=0a00759&amp;sid=11744&amp;ppid=40254895&amp;vpid=654129519&amp;ct=offers" TargetMode="External"/><Relationship Id="rId94" Type="http://schemas.openxmlformats.org/officeDocument/2006/relationships/hyperlink" Target="https://octopart.com/click/track?c=1&amp;ai=8078&amp;sig=0c10d15&amp;sid=2401&amp;ppid=40254895&amp;vpid=115161140&amp;ct=offers" TargetMode="External"/><Relationship Id="rId95" Type="http://schemas.openxmlformats.org/officeDocument/2006/relationships/hyperlink" Target="https://octopart.com/click/track?ai=8078&amp;sig=0e3a662&amp;sid=2402&amp;ppid=40254895&amp;vpid=115424086&amp;ct=offers" TargetMode="External"/><Relationship Id="rId96" Type="http://schemas.openxmlformats.org/officeDocument/2006/relationships/hyperlink" Target="https://octopart.com/click/track?ai=8078&amp;sig=048a57e&amp;sid=10022&amp;ppid=40254895&amp;vpid=655980896&amp;ct=offers" TargetMode="External"/><Relationship Id="rId97" Type="http://schemas.openxmlformats.org/officeDocument/2006/relationships/hyperlink" Target="https://octopart.com/click/track?ai=8078&amp;sig=0a176f1&amp;sid=1532&amp;ppid=40254895&amp;vpid=709257784&amp;ct=offers" TargetMode="External"/><Relationship Id="rId98" Type="http://schemas.openxmlformats.org/officeDocument/2006/relationships/hyperlink" Target="http://datasheet.octopart.com/JMK107BJ475MAHT-Taiyo-Yuden-datasheet-140424376.pdf" TargetMode="External"/><Relationship Id="rId99" Type="http://schemas.openxmlformats.org/officeDocument/2006/relationships/hyperlink" Target="https://octopart.com/click/track?ai=8078&amp;sig=045f8ed&amp;sid=459&amp;ppid=76901264&amp;vpid=277943465&amp;ct=offers" TargetMode="External"/><Relationship Id="rId100" Type="http://schemas.openxmlformats.org/officeDocument/2006/relationships/hyperlink" Target="https://octopart.com/click/track?ai=8078&amp;sig=0c071f2&amp;sid=2401&amp;ppid=76901264&amp;vpid=293080683&amp;ct=offers" TargetMode="External"/><Relationship Id="rId101" Type="http://schemas.openxmlformats.org/officeDocument/2006/relationships/hyperlink" Target="https://octopart.com/click/track?c=1&amp;ai=8078&amp;sig=02cf977&amp;sid=2402&amp;ppid=76901264&amp;vpid=508768691&amp;ct=offers" TargetMode="External"/><Relationship Id="rId102" Type="http://schemas.openxmlformats.org/officeDocument/2006/relationships/hyperlink" Target="https://octopart.com/click/track?ai=8078&amp;sig=02fce8c&amp;sid=10022&amp;ppid=76901264&amp;vpid=533260079&amp;ct=offers" TargetMode="External"/><Relationship Id="rId103" Type="http://schemas.openxmlformats.org/officeDocument/2006/relationships/hyperlink" Target="http://datasheet.octopart.com/RC0603FR-07100KL-Yageo-datasheet-8328172.pdf" TargetMode="External"/><Relationship Id="rId104" Type="http://schemas.openxmlformats.org/officeDocument/2006/relationships/hyperlink" Target="https://octopart.com/click/track?ai=8078&amp;sig=08a3cd1&amp;sid=459&amp;ppid=40946036&amp;vpid=114982751&amp;ct=offers" TargetMode="External"/><Relationship Id="rId105" Type="http://schemas.openxmlformats.org/officeDocument/2006/relationships/hyperlink" Target="https://octopart.com/click/track?ai=8078&amp;sig=0962b9a&amp;sid=11744&amp;ppid=40946036&amp;vpid=480880098&amp;ct=offers" TargetMode="External"/><Relationship Id="rId106" Type="http://schemas.openxmlformats.org/officeDocument/2006/relationships/hyperlink" Target="https://octopart.com/click/track?c=1&amp;ai=8078&amp;sig=0eaa2e8&amp;sid=2401&amp;ppid=40946036&amp;vpid=115001591&amp;ct=offers" TargetMode="External"/><Relationship Id="rId107" Type="http://schemas.openxmlformats.org/officeDocument/2006/relationships/hyperlink" Target="https://octopart.com/click/track?ai=8078&amp;sig=0aea520&amp;sid=2402&amp;ppid=40946036&amp;vpid=115424057&amp;ct=offers" TargetMode="External"/><Relationship Id="rId108" Type="http://schemas.openxmlformats.org/officeDocument/2006/relationships/hyperlink" Target="https://octopart.com/click/track?ai=8078&amp;sig=06355db&amp;sid=1532&amp;ppid=40946036&amp;vpid=709257726&amp;ct=offers" TargetMode="External"/><Relationship Id="rId109" Type="http://schemas.openxmlformats.org/officeDocument/2006/relationships/hyperlink" Target="http://datasheet.octopart.com/RC0603FR-07100RL-Yageo-datasheet-8328172.pdf" TargetMode="External"/><Relationship Id="rId110" Type="http://schemas.openxmlformats.org/officeDocument/2006/relationships/hyperlink" Target="https://octopart.com/click/track?ai=8078&amp;sig=0d97615&amp;sid=459&amp;ppid=55402879&amp;vpid=188128876&amp;ct=offers" TargetMode="External"/><Relationship Id="rId111" Type="http://schemas.openxmlformats.org/officeDocument/2006/relationships/hyperlink" Target="https://octopart.com/click/track?ai=8078&amp;sig=08a3d3e&amp;sid=819&amp;ppid=55402879&amp;vpid=540533651&amp;ct=offers" TargetMode="External"/><Relationship Id="rId112" Type="http://schemas.openxmlformats.org/officeDocument/2006/relationships/hyperlink" Target="https://octopart.com/click/track?c=1&amp;ai=8078&amp;sig=0b7a00d&amp;sid=2401&amp;ppid=55402879&amp;vpid=187885219&amp;ct=offers" TargetMode="External"/><Relationship Id="rId113" Type="http://schemas.openxmlformats.org/officeDocument/2006/relationships/hyperlink" Target="https://octopart.com/click/track?ai=8078&amp;sig=0a9c80e&amp;sid=2402&amp;ppid=55402879&amp;vpid=479778998&amp;ct=offers" TargetMode="External"/><Relationship Id="rId114" Type="http://schemas.openxmlformats.org/officeDocument/2006/relationships/hyperlink" Target="https://octopart.com/click/track?ai=8078&amp;sig=0dafa91&amp;sid=1532&amp;ppid=55402879&amp;vpid=709257727&amp;ct=offers" TargetMode="External"/><Relationship Id="rId115" Type="http://schemas.openxmlformats.org/officeDocument/2006/relationships/hyperlink" Target="http://datasheet.octopart.com/RG3216P-4704-B-T1-Susumu-datasheet-12509734.pdf" TargetMode="External"/><Relationship Id="rId116" Type="http://schemas.openxmlformats.org/officeDocument/2006/relationships/hyperlink" Target="https://octopart.com/click/track?c=1&amp;ai=8078&amp;sig=0404bac&amp;sid=459&amp;ppid=81680122&amp;vpid=420190873&amp;ct=offers" TargetMode="External"/><Relationship Id="rId117" Type="http://schemas.openxmlformats.org/officeDocument/2006/relationships/hyperlink" Target="https://octopart.com/click/track?ai=8078&amp;sig=0853fa9&amp;sid=2401&amp;ppid=81680122&amp;vpid=448426716&amp;ct=offers" TargetMode="External"/><Relationship Id="rId118" Type="http://schemas.openxmlformats.org/officeDocument/2006/relationships/hyperlink" Target="http://datasheet.octopart.com/RC0603FR-0749K9L-Yageo-datasheet-8328172.pdf" TargetMode="External"/><Relationship Id="rId119" Type="http://schemas.openxmlformats.org/officeDocument/2006/relationships/hyperlink" Target="https://octopart.com/click/track?ai=8078&amp;sig=07d4e51&amp;sid=459&amp;ppid=1186134&amp;vpid=1959905&amp;ct=offers" TargetMode="External"/><Relationship Id="rId120" Type="http://schemas.openxmlformats.org/officeDocument/2006/relationships/hyperlink" Target="https://octopart.com/click/track?ai=8078&amp;sig=078c3b1&amp;sid=819&amp;ppid=1186134&amp;vpid=653863441&amp;ct=offers" TargetMode="External"/><Relationship Id="rId121" Type="http://schemas.openxmlformats.org/officeDocument/2006/relationships/hyperlink" Target="https://octopart.com/click/track?ai=8078&amp;sig=01d4d25&amp;sid=2401&amp;ppid=1186134&amp;vpid=37768316&amp;ct=offers" TargetMode="External"/><Relationship Id="rId122" Type="http://schemas.openxmlformats.org/officeDocument/2006/relationships/hyperlink" Target="https://octopart.com/click/track?ai=8078&amp;sig=09ac00b&amp;sid=2402&amp;ppid=1186134&amp;vpid=658256899&amp;ct=offers" TargetMode="External"/><Relationship Id="rId123" Type="http://schemas.openxmlformats.org/officeDocument/2006/relationships/hyperlink" Target="https://octopart.com/click/track?ai=8078&amp;sig=025948b&amp;sid=10022&amp;ppid=1186134&amp;vpid=658005426&amp;ct=offers" TargetMode="External"/><Relationship Id="rId124" Type="http://schemas.openxmlformats.org/officeDocument/2006/relationships/hyperlink" Target="https://octopart.com/click/track?ai=8078&amp;sig=0ad4037&amp;sid=1532&amp;ppid=1186134&amp;vpid=709257968&amp;ct=offers" TargetMode="External"/><Relationship Id="rId125" Type="http://schemas.openxmlformats.org/officeDocument/2006/relationships/hyperlink" Target="http://datasheet.octopart.com/RC0603FR-07243KL-Yageo-datasheet-118562.pdf" TargetMode="External"/><Relationship Id="rId126" Type="http://schemas.openxmlformats.org/officeDocument/2006/relationships/hyperlink" Target="https://octopart.com/click/track?ai=8078&amp;sig=0736a7c&amp;sid=459&amp;ppid=1293540&amp;vpid=1916457&amp;ct=offers" TargetMode="External"/><Relationship Id="rId127" Type="http://schemas.openxmlformats.org/officeDocument/2006/relationships/hyperlink" Target="https://octopart.com/click/track?c=1&amp;ai=8078&amp;sig=05d274f&amp;sid=2401&amp;ppid=1293540&amp;vpid=47394980&amp;ct=offers" TargetMode="External"/><Relationship Id="rId128" Type="http://schemas.openxmlformats.org/officeDocument/2006/relationships/hyperlink" Target="http://datasheet.octopart.com/RC0603FR-0780K6L-Yageo-datasheet-118562.pdf" TargetMode="External"/><Relationship Id="rId129" Type="http://schemas.openxmlformats.org/officeDocument/2006/relationships/hyperlink" Target="https://octopart.com/click/track?ai=8078&amp;sig=08eafba&amp;sid=459&amp;ppid=1194262&amp;vpid=1149949&amp;ct=offers" TargetMode="External"/><Relationship Id="rId130" Type="http://schemas.openxmlformats.org/officeDocument/2006/relationships/hyperlink" Target="https://octopart.com/click/track?c=1&amp;ai=8078&amp;sig=01ddbfd&amp;sid=2401&amp;ppid=1194262&amp;vpid=56304280&amp;ct=offers" TargetMode="External"/><Relationship Id="rId131" Type="http://schemas.openxmlformats.org/officeDocument/2006/relationships/hyperlink" Target="https://octopart.com/click/track?ai=8078&amp;sig=0fe7d5f&amp;sid=1532&amp;ppid=1194262&amp;vpid=709258050&amp;ct=offers" TargetMode="External"/><Relationship Id="rId132" Type="http://schemas.openxmlformats.org/officeDocument/2006/relationships/hyperlink" Target="http://datasheet.octopart.com/RC0603FR-0732K4L-Yageo-datasheet-118562.pdf" TargetMode="External"/><Relationship Id="rId133" Type="http://schemas.openxmlformats.org/officeDocument/2006/relationships/hyperlink" Target="https://octopart.com/click/track?ai=8078&amp;sig=0a744b1&amp;sid=459&amp;ppid=1184262&amp;vpid=1794241&amp;ct=offers" TargetMode="External"/><Relationship Id="rId134" Type="http://schemas.openxmlformats.org/officeDocument/2006/relationships/hyperlink" Target="https://octopart.com/click/track?c=1&amp;ai=8078&amp;sig=03d78e1&amp;sid=11744&amp;ppid=1184262&amp;vpid=654129586&amp;ct=offers" TargetMode="External"/><Relationship Id="rId135" Type="http://schemas.openxmlformats.org/officeDocument/2006/relationships/hyperlink" Target="https://octopart.com/click/track?ai=8078&amp;sig=08d9da8&amp;sid=2401&amp;ppid=1184262&amp;vpid=47201104&amp;ct=offers" TargetMode="External"/><Relationship Id="rId136" Type="http://schemas.openxmlformats.org/officeDocument/2006/relationships/hyperlink" Target="https://octopart.com/click/track?c=1&amp;ai=8078&amp;sig=027ee28&amp;sid=2402&amp;ppid=1184262&amp;vpid=655850388&amp;ct=offers" TargetMode="External"/><Relationship Id="rId137" Type="http://schemas.openxmlformats.org/officeDocument/2006/relationships/hyperlink" Target="https://octopart.com/click/track?ai=8078&amp;sig=0eca9ef&amp;sid=1532&amp;ppid=1184262&amp;vpid=709257914&amp;ct=offers" TargetMode="External"/><Relationship Id="rId138" Type="http://schemas.openxmlformats.org/officeDocument/2006/relationships/hyperlink" Target="http://datasheet.octopart.com/RC0603FR-078K06L-Yageo-datasheet-8328172.pdf" TargetMode="External"/><Relationship Id="rId139" Type="http://schemas.openxmlformats.org/officeDocument/2006/relationships/hyperlink" Target="https://octopart.com/click/track?c=1&amp;ai=8078&amp;sig=07018c0&amp;sid=459&amp;ppid=1212414&amp;vpid=1536061&amp;ct=offers" TargetMode="External"/><Relationship Id="rId140" Type="http://schemas.openxmlformats.org/officeDocument/2006/relationships/hyperlink" Target="https://octopart.com/click/track?c=1&amp;ai=8078&amp;sig=0bd56a5&amp;sid=11744&amp;ppid=1212414&amp;vpid=654129680&amp;ct=offers" TargetMode="External"/><Relationship Id="rId141" Type="http://schemas.openxmlformats.org/officeDocument/2006/relationships/hyperlink" Target="https://octopart.com/click/track?c=1&amp;ai=8078&amp;sig=043bf45&amp;sid=2401&amp;ppid=1212414&amp;vpid=45041103&amp;ct=offers" TargetMode="External"/><Relationship Id="rId142" Type="http://schemas.openxmlformats.org/officeDocument/2006/relationships/hyperlink" Target="https://octopart.com/click/track?c=1&amp;ai=8078&amp;sig=0fd436c&amp;sid=2402&amp;ppid=1212414&amp;vpid=658256907&amp;ct=offers" TargetMode="External"/><Relationship Id="rId143" Type="http://schemas.openxmlformats.org/officeDocument/2006/relationships/hyperlink" Target="http://datasheet.octopart.com/RC0603FR-0720KL-Yageo-datasheet-8328172.pdf" TargetMode="External"/><Relationship Id="rId144" Type="http://schemas.openxmlformats.org/officeDocument/2006/relationships/hyperlink" Target="https://octopart.com/click/track?ai=8078&amp;sig=0386612&amp;sid=459&amp;ppid=1197359&amp;vpid=1315555&amp;ct=offers" TargetMode="External"/><Relationship Id="rId145" Type="http://schemas.openxmlformats.org/officeDocument/2006/relationships/hyperlink" Target="https://octopart.com/click/track?c=1&amp;ai=8078&amp;sig=0cf6d3e&amp;sid=11744&amp;ppid=1197359&amp;vpid=654129540&amp;ct=offers" TargetMode="External"/><Relationship Id="rId146" Type="http://schemas.openxmlformats.org/officeDocument/2006/relationships/hyperlink" Target="https://octopart.com/click/track?c=1&amp;ai=8078&amp;sig=0d35b42&amp;sid=2401&amp;ppid=1197359&amp;vpid=37706694&amp;ct=offers" TargetMode="External"/><Relationship Id="rId147" Type="http://schemas.openxmlformats.org/officeDocument/2006/relationships/hyperlink" Target="https://octopart.com/click/track?ai=8078&amp;sig=01ece9a&amp;sid=2402&amp;ppid=1197359&amp;vpid=21831685&amp;ct=offers" TargetMode="External"/><Relationship Id="rId148" Type="http://schemas.openxmlformats.org/officeDocument/2006/relationships/hyperlink" Target="https://octopart.com/click/track?ai=8078&amp;sig=09c2659&amp;sid=10022&amp;ppid=1197359&amp;vpid=654200470&amp;ct=offers" TargetMode="External"/><Relationship Id="rId149" Type="http://schemas.openxmlformats.org/officeDocument/2006/relationships/hyperlink" Target="https://octopart.com/click/track?ai=8078&amp;sig=06c5968&amp;sid=1532&amp;ppid=1197359&amp;vpid=709257853&amp;ct=offers" TargetMode="External"/><Relationship Id="rId150" Type="http://schemas.openxmlformats.org/officeDocument/2006/relationships/hyperlink" Target="http://datasheet.octopart.com/RC0603FR-0710KL-Yageo-datasheet-8328172.pdf" TargetMode="External"/><Relationship Id="rId151" Type="http://schemas.openxmlformats.org/officeDocument/2006/relationships/hyperlink" Target="https://octopart.com/click/track?ai=8078&amp;sig=03bdc7a&amp;sid=459&amp;ppid=40025538&amp;vpid=114982759&amp;ct=offers" TargetMode="External"/><Relationship Id="rId152" Type="http://schemas.openxmlformats.org/officeDocument/2006/relationships/hyperlink" Target="https://octopart.com/click/track?ai=8078&amp;sig=09e8397&amp;sid=819&amp;ppid=40025538&amp;vpid=508509528&amp;ct=offers" TargetMode="External"/><Relationship Id="rId153" Type="http://schemas.openxmlformats.org/officeDocument/2006/relationships/hyperlink" Target="https://octopart.com/click/track?c=1&amp;ai=8078&amp;sig=01dd918&amp;sid=2401&amp;ppid=40025538&amp;vpid=115161137&amp;ct=offers" TargetMode="External"/><Relationship Id="rId154" Type="http://schemas.openxmlformats.org/officeDocument/2006/relationships/hyperlink" Target="https://octopart.com/click/track?ai=8078&amp;sig=0811f32&amp;sid=2402&amp;ppid=40025538&amp;vpid=115424063&amp;ct=offers" TargetMode="External"/><Relationship Id="rId155" Type="http://schemas.openxmlformats.org/officeDocument/2006/relationships/hyperlink" Target="https://octopart.com/click/track?ai=8078&amp;sig=01fa657&amp;sid=10022&amp;ppid=40025538&amp;vpid=655980884&amp;ct=offers" TargetMode="External"/><Relationship Id="rId156" Type="http://schemas.openxmlformats.org/officeDocument/2006/relationships/hyperlink" Target="https://octopart.com/click/track?ai=8078&amp;sig=0db17d2&amp;sid=1532&amp;ppid=40025538&amp;vpid=709257732&amp;ct=offers" TargetMode="External"/><Relationship Id="rId157" Type="http://schemas.openxmlformats.org/officeDocument/2006/relationships/hyperlink" Target="http://datasheet.octopart.com/RC0603FR-072KL-Yageo-datasheet-8328172.pdf" TargetMode="External"/><Relationship Id="rId158" Type="http://schemas.openxmlformats.org/officeDocument/2006/relationships/hyperlink" Target="https://octopart.com/click/track?ai=8078&amp;sig=035fe6f&amp;sid=459&amp;ppid=39838380&amp;vpid=114982924&amp;ct=offers" TargetMode="External"/><Relationship Id="rId159" Type="http://schemas.openxmlformats.org/officeDocument/2006/relationships/hyperlink" Target="https://octopart.com/click/track?ai=8078&amp;sig=0f02404&amp;sid=819&amp;ppid=39838380&amp;vpid=653863343&amp;ct=offers" TargetMode="External"/><Relationship Id="rId160" Type="http://schemas.openxmlformats.org/officeDocument/2006/relationships/hyperlink" Target="https://octopart.com/click/track?ai=8078&amp;sig=0d419f0&amp;sid=2401&amp;ppid=39838380&amp;vpid=115161144&amp;ct=offers" TargetMode="External"/><Relationship Id="rId161" Type="http://schemas.openxmlformats.org/officeDocument/2006/relationships/hyperlink" Target="https://octopart.com/click/track?ai=8078&amp;sig=0122877&amp;sid=2402&amp;ppid=39838380&amp;vpid=697635388&amp;ct=offers" TargetMode="External"/><Relationship Id="rId162" Type="http://schemas.openxmlformats.org/officeDocument/2006/relationships/hyperlink" Target="https://octopart.com/click/track?ai=8078&amp;sig=08509c1&amp;sid=1532&amp;ppid=39838380&amp;vpid=709257898&amp;ct=offers" TargetMode="External"/><Relationship Id="rId163" Type="http://schemas.openxmlformats.org/officeDocument/2006/relationships/hyperlink" Target="http://datasheet.octopart.com/GRM21BR70J106KA73L-Murata-datasheet-141278304.pdf" TargetMode="External"/><Relationship Id="rId164" Type="http://schemas.openxmlformats.org/officeDocument/2006/relationships/hyperlink" Target="https://octopart.com/click/track?ai=8078&amp;sig=0604677&amp;sid=459&amp;ppid=57368793&amp;vpid=705644533&amp;ct=offers" TargetMode="External"/><Relationship Id="rId165" Type="http://schemas.openxmlformats.org/officeDocument/2006/relationships/hyperlink" Target="https://octopart.com/click/track?ai=8078&amp;sig=0eaf062&amp;sid=2401&amp;ppid=57368793&amp;vpid=253484386&amp;ct=offers" TargetMode="External"/><Relationship Id="rId166" Type="http://schemas.openxmlformats.org/officeDocument/2006/relationships/hyperlink" Target="http://datasheet.octopart.com/RC0603FR-0710KL-Yageo-datasheet-8328172.pdf" TargetMode="External"/><Relationship Id="rId167" Type="http://schemas.openxmlformats.org/officeDocument/2006/relationships/hyperlink" Target="https://octopart.com/click/track?ai=8078&amp;sig=03bdc7a&amp;sid=459&amp;ppid=40025538&amp;vpid=114982759&amp;ct=offers" TargetMode="External"/><Relationship Id="rId168" Type="http://schemas.openxmlformats.org/officeDocument/2006/relationships/hyperlink" Target="https://octopart.com/click/track?ai=8078&amp;sig=06317ab&amp;sid=11744&amp;ppid=40025538&amp;vpid=480880099&amp;ct=offers" TargetMode="External"/><Relationship Id="rId169" Type="http://schemas.openxmlformats.org/officeDocument/2006/relationships/hyperlink" Target="https://octopart.com/click/track?c=1&amp;ai=8078&amp;sig=01dd918&amp;sid=2401&amp;ppid=40025538&amp;vpid=115161137&amp;ct=offers" TargetMode="External"/><Relationship Id="rId170" Type="http://schemas.openxmlformats.org/officeDocument/2006/relationships/hyperlink" Target="https://octopart.com/click/track?ai=8078&amp;sig=0811f32&amp;sid=2402&amp;ppid=40025538&amp;vpid=115424063&amp;ct=offers" TargetMode="External"/><Relationship Id="rId171" Type="http://schemas.openxmlformats.org/officeDocument/2006/relationships/hyperlink" Target="https://octopart.com/click/track?ai=8078&amp;sig=01fa657&amp;sid=10022&amp;ppid=40025538&amp;vpid=655980884&amp;ct=offers" TargetMode="External"/><Relationship Id="rId172" Type="http://schemas.openxmlformats.org/officeDocument/2006/relationships/hyperlink" Target="https://octopart.com/click/track?ai=8078&amp;sig=0db17d2&amp;sid=1532&amp;ppid=40025538&amp;vpid=709257732&amp;ct=offers" TargetMode="External"/><Relationship Id="rId173" Type="http://schemas.openxmlformats.org/officeDocument/2006/relationships/hyperlink" Target="http://datasheet.octopart.com/RC0603FR-0710KL-Yageo-datasheet-8328172.pdf" TargetMode="External"/><Relationship Id="rId174" Type="http://schemas.openxmlformats.org/officeDocument/2006/relationships/hyperlink" Target="https://octopart.com/click/track?ai=8078&amp;sig=03bdc7a&amp;sid=459&amp;ppid=40025538&amp;vpid=114982759&amp;ct=offers" TargetMode="External"/><Relationship Id="rId175" Type="http://schemas.openxmlformats.org/officeDocument/2006/relationships/hyperlink" Target="https://octopart.com/click/track?ai=8078&amp;sig=06317ab&amp;sid=11744&amp;ppid=40025538&amp;vpid=480880099&amp;ct=offers" TargetMode="External"/><Relationship Id="rId176" Type="http://schemas.openxmlformats.org/officeDocument/2006/relationships/hyperlink" Target="https://octopart.com/click/track?c=1&amp;ai=8078&amp;sig=01dd918&amp;sid=2401&amp;ppid=40025538&amp;vpid=115161137&amp;ct=offers" TargetMode="External"/><Relationship Id="rId177" Type="http://schemas.openxmlformats.org/officeDocument/2006/relationships/hyperlink" Target="https://octopart.com/click/track?ai=8078&amp;sig=0811f32&amp;sid=2402&amp;ppid=40025538&amp;vpid=115424063&amp;ct=offers" TargetMode="External"/><Relationship Id="rId178" Type="http://schemas.openxmlformats.org/officeDocument/2006/relationships/hyperlink" Target="https://octopart.com/click/track?ai=8078&amp;sig=01fa657&amp;sid=10022&amp;ppid=40025538&amp;vpid=655980884&amp;ct=offers" TargetMode="External"/><Relationship Id="rId179" Type="http://schemas.openxmlformats.org/officeDocument/2006/relationships/hyperlink" Target="https://octopart.com/click/track?ai=8078&amp;sig=0db17d2&amp;sid=1532&amp;ppid=40025538&amp;vpid=709257732&amp;ct=offers" TargetMode="External"/><Relationship Id="rId180" Type="http://schemas.openxmlformats.org/officeDocument/2006/relationships/hyperlink" Target="http://datasheet.octopart.com/RC0603FR-07787KL-Yageo-datasheet-103092701.pdf" TargetMode="External"/><Relationship Id="rId181" Type="http://schemas.openxmlformats.org/officeDocument/2006/relationships/hyperlink" Target="https://octopart.com/click/track?ai=8078&amp;sig=0f69622&amp;sid=459&amp;ppid=1238324&amp;vpid=2115552&amp;ct=offers" TargetMode="External"/><Relationship Id="rId182" Type="http://schemas.openxmlformats.org/officeDocument/2006/relationships/hyperlink" Target="https://octopart.com/click/track?ai=8078&amp;sig=0cbf2ff&amp;sid=2401&amp;ppid=1238324&amp;vpid=202863748&amp;ct=offers" TargetMode="External"/><Relationship Id="rId183" Type="http://schemas.openxmlformats.org/officeDocument/2006/relationships/hyperlink" Target="http://datasheet.octopart.com/RC0603FR-0748K7L-Yageo-datasheet-118562.pdf" TargetMode="External"/><Relationship Id="rId184" Type="http://schemas.openxmlformats.org/officeDocument/2006/relationships/hyperlink" Target="https://octopart.com/click/track?ai=8078&amp;sig=034dda5&amp;sid=459&amp;ppid=1181565&amp;vpid=1101268&amp;ct=offers" TargetMode="External"/><Relationship Id="rId185" Type="http://schemas.openxmlformats.org/officeDocument/2006/relationships/hyperlink" Target="https://octopart.com/click/track?ai=8078&amp;sig=0184c52&amp;sid=2401&amp;ppid=1181565&amp;vpid=41092620&amp;ct=offers" TargetMode="External"/><Relationship Id="rId186" Type="http://schemas.openxmlformats.org/officeDocument/2006/relationships/hyperlink" Target="https://octopart.com/click/track?ai=8078&amp;sig=0fa5d2c&amp;sid=1532&amp;ppid=1181565&amp;vpid=709257965&amp;ct=offers" TargetMode="External"/><Relationship Id="rId187" Type="http://schemas.openxmlformats.org/officeDocument/2006/relationships/hyperlink" Target="http://datasheet.octopart.com/RC0603FR-074K7L-Yageo-datasheet-8328172.pdf" TargetMode="External"/><Relationship Id="rId188" Type="http://schemas.openxmlformats.org/officeDocument/2006/relationships/hyperlink" Target="https://octopart.com/click/track?ai=8078&amp;sig=0a45dd8&amp;sid=459&amp;ppid=55402884&amp;vpid=188128925&amp;ct=offers" TargetMode="External"/><Relationship Id="rId189" Type="http://schemas.openxmlformats.org/officeDocument/2006/relationships/hyperlink" Target="https://octopart.com/click/track?ai=8078&amp;sig=06d2c00&amp;sid=11744&amp;ppid=55402884&amp;vpid=478973461&amp;ct=offers" TargetMode="External"/><Relationship Id="rId190" Type="http://schemas.openxmlformats.org/officeDocument/2006/relationships/hyperlink" Target="https://octopart.com/click/track?c=1&amp;ai=8078&amp;sig=0dda0e7&amp;sid=2401&amp;ppid=55402884&amp;vpid=187885233&amp;ct=offers" TargetMode="External"/><Relationship Id="rId191" Type="http://schemas.openxmlformats.org/officeDocument/2006/relationships/hyperlink" Target="https://octopart.com/click/track?ai=8078&amp;sig=07443f1&amp;sid=2402&amp;ppid=55402884&amp;vpid=481605246&amp;ct=offers" TargetMode="External"/><Relationship Id="rId192" Type="http://schemas.openxmlformats.org/officeDocument/2006/relationships/hyperlink" Target="https://octopart.com/click/track?ai=8078&amp;sig=07c4dfd&amp;sid=10022&amp;ppid=55402884&amp;vpid=694057507&amp;ct=offers" TargetMode="External"/><Relationship Id="rId193" Type="http://schemas.openxmlformats.org/officeDocument/2006/relationships/hyperlink" Target="https://octopart.com/click/track?ai=8078&amp;sig=075ee49&amp;sid=1532&amp;ppid=55402884&amp;vpid=709257976&amp;ct=offers" TargetMode="External"/><Relationship Id="rId194" Type="http://schemas.openxmlformats.org/officeDocument/2006/relationships/hyperlink" Target="http://datasheet.octopart.com/RC0603FR-073K3L-Yageo-datasheet-8328172.pdf" TargetMode="External"/><Relationship Id="rId195" Type="http://schemas.openxmlformats.org/officeDocument/2006/relationships/hyperlink" Target="https://octopart.com/click/track?ai=8078&amp;sig=0735e2e&amp;sid=459&amp;ppid=40011875&amp;vpid=114982962&amp;ct=offers" TargetMode="External"/><Relationship Id="rId196" Type="http://schemas.openxmlformats.org/officeDocument/2006/relationships/hyperlink" Target="https://octopart.com/click/track?ai=8078&amp;sig=085b6b9&amp;sid=819&amp;ppid=40011875&amp;vpid=508509699&amp;ct=offers" TargetMode="External"/><Relationship Id="rId197" Type="http://schemas.openxmlformats.org/officeDocument/2006/relationships/hyperlink" Target="https://octopart.com/click/track?c=1&amp;ai=8078&amp;sig=0f66a54&amp;sid=2401&amp;ppid=40011875&amp;vpid=114830356&amp;ct=offers" TargetMode="External"/><Relationship Id="rId198" Type="http://schemas.openxmlformats.org/officeDocument/2006/relationships/hyperlink" Target="https://octopart.com/click/track?ai=8078&amp;sig=0ccefaa&amp;sid=2402&amp;ppid=40011875&amp;vpid=115424158&amp;ct=offers" TargetMode="External"/><Relationship Id="rId199" Type="http://schemas.openxmlformats.org/officeDocument/2006/relationships/hyperlink" Target="https://octopart.com/click/track?ai=8078&amp;sig=0244d23&amp;sid=10022&amp;ppid=40011875&amp;vpid=656930599&amp;ct=offers" TargetMode="External"/><Relationship Id="rId200" Type="http://schemas.openxmlformats.org/officeDocument/2006/relationships/hyperlink" Target="https://octopart.com/click/track?ai=8078&amp;sig=0699acd&amp;sid=1532&amp;ppid=40011875&amp;vpid=709257940&amp;ct=offers" TargetMode="External"/><Relationship Id="rId201" Type="http://schemas.openxmlformats.org/officeDocument/2006/relationships/hyperlink" Target="https://octopart.com/click/track?ai=8078&amp;sig=0212d35&amp;sid=459&amp;ppid=94839369&amp;vpid=511553319&amp;ct=offers" TargetMode="External"/><Relationship Id="rId202" Type="http://schemas.openxmlformats.org/officeDocument/2006/relationships/hyperlink" Target="https://octopart.com/click/track?ai=8078&amp;sig=051aa7d&amp;sid=2401&amp;ppid=94839369&amp;vpid=510663658&amp;ct=offers" TargetMode="External"/><Relationship Id="rId203" Type="http://schemas.openxmlformats.org/officeDocument/2006/relationships/hyperlink" Target="https://www.ti.com/lit/ds/symlink/opa991.pdf" TargetMode="External"/><Relationship Id="rId204" Type="http://schemas.openxmlformats.org/officeDocument/2006/relationships/hyperlink" Target="https://octopart.com/click/track?ai=8078&amp;sig=0ab66ae&amp;sid=459&amp;ppid=109077649&amp;vpid=658145768&amp;ct=offers" TargetMode="External"/><Relationship Id="rId205" Type="http://schemas.openxmlformats.org/officeDocument/2006/relationships/hyperlink" Target="https://octopart.com/click/track?ai=8078&amp;sig=000aad8&amp;sid=2401&amp;ppid=109077649&amp;vpid=654741938&amp;ct=offers" TargetMode="External"/><Relationship Id="rId206" Type="http://schemas.openxmlformats.org/officeDocument/2006/relationships/hyperlink" Target="https://www.ti.com/lit/ds/symlink/lp38693.pdf" TargetMode="External"/><Relationship Id="rId207" Type="http://schemas.openxmlformats.org/officeDocument/2006/relationships/hyperlink" Target="https://octopart.com/click/track?ai=8078&amp;sig=01d6381&amp;sid=459&amp;ppid=24816555&amp;vpid=57597450&amp;ct=offers" TargetMode="External"/><Relationship Id="rId208" Type="http://schemas.openxmlformats.org/officeDocument/2006/relationships/hyperlink" Target="https://octopart.com/click/track?ai=8078&amp;sig=0632994&amp;sid=819&amp;ppid=24816555&amp;vpid=575367508&amp;ct=offers" TargetMode="External"/><Relationship Id="rId209" Type="http://schemas.openxmlformats.org/officeDocument/2006/relationships/hyperlink" Target="https://octopart.com/click/track?ai=8078&amp;sig=0679759&amp;sid=2401&amp;ppid=24816555&amp;vpid=57207698&amp;ct=offers" TargetMode="External"/><Relationship Id="rId210" Type="http://schemas.openxmlformats.org/officeDocument/2006/relationships/hyperlink" Target="https://octopart.com/click/track?ai=8078&amp;sig=08f1801&amp;sid=2402&amp;ppid=24816555&amp;vpid=578994105&amp;ct=offers" TargetMode="External"/><Relationship Id="rId211" Type="http://schemas.openxmlformats.org/officeDocument/2006/relationships/hyperlink" Target="https://www.ti.com/lit/ds/symlink/lp38693.pdf" TargetMode="External"/><Relationship Id="rId212" Type="http://schemas.openxmlformats.org/officeDocument/2006/relationships/hyperlink" Target="https://octopart.com/click/track?ai=8078&amp;sig=0618bf5&amp;sid=459&amp;ppid=24154291&amp;vpid=57597452&amp;ct=offers" TargetMode="External"/><Relationship Id="rId213" Type="http://schemas.openxmlformats.org/officeDocument/2006/relationships/hyperlink" Target="https://octopart.com/click/track?ai=8078&amp;sig=05688ce&amp;sid=2401&amp;ppid=24154291&amp;vpid=57207699&amp;ct=offers" TargetMode="External"/><Relationship Id="rId214" Type="http://schemas.openxmlformats.org/officeDocument/2006/relationships/hyperlink" Target="https://www.ti.com/lit/ds/symlink/lp38693.pdf" TargetMode="External"/><Relationship Id="rId215" Type="http://schemas.openxmlformats.org/officeDocument/2006/relationships/hyperlink" Target="https://octopart.com/click/track?ai=8078&amp;sig=09be3bd&amp;sid=459&amp;ppid=24816557&amp;vpid=57597462&amp;ct=offers" TargetMode="External"/><Relationship Id="rId216" Type="http://schemas.openxmlformats.org/officeDocument/2006/relationships/hyperlink" Target="https://octopart.com/click/track?ai=8078&amp;sig=05109d2&amp;sid=819&amp;ppid=24816557&amp;vpid=575367512&amp;ct=offers" TargetMode="External"/><Relationship Id="rId217" Type="http://schemas.openxmlformats.org/officeDocument/2006/relationships/hyperlink" Target="https://octopart.com/click/track?ai=8078&amp;sig=009780a&amp;sid=2401&amp;ppid=24816557&amp;vpid=57207701&amp;ct=offers" TargetMode="External"/><Relationship Id="rId218" Type="http://schemas.openxmlformats.org/officeDocument/2006/relationships/hyperlink" Target="https://octopart.com/click/track?c=1&amp;ai=8078&amp;sig=01c9c44&amp;sid=2402&amp;ppid=24816557&amp;vpid=578994110&amp;ct=offers" TargetMode="External"/><Relationship Id="rId219" Type="http://schemas.openxmlformats.org/officeDocument/2006/relationships/hyperlink" Target="http://www.ti.com/lit/ds/symlink/pca9306.pdf" TargetMode="External"/><Relationship Id="rId220" Type="http://schemas.openxmlformats.org/officeDocument/2006/relationships/hyperlink" Target="https://octopart.com/click/track?ai=8078&amp;sig=066eb39&amp;sid=459&amp;ppid=19977256&amp;vpid=39177806&amp;ct=offers" TargetMode="External"/><Relationship Id="rId221" Type="http://schemas.openxmlformats.org/officeDocument/2006/relationships/hyperlink" Target="https://octopart.com/click/track?c=1&amp;ai=8078&amp;sig=03072e6&amp;sid=11744&amp;ppid=19977256&amp;vpid=181368202&amp;ct=offers" TargetMode="External"/><Relationship Id="rId222" Type="http://schemas.openxmlformats.org/officeDocument/2006/relationships/hyperlink" Target="https://octopart.com/click/track?ai=8078&amp;sig=06a997d&amp;sid=2401&amp;ppid=19977256&amp;vpid=107603094&amp;ct=offers" TargetMode="External"/><Relationship Id="rId223" Type="http://schemas.openxmlformats.org/officeDocument/2006/relationships/hyperlink" Target="https://octopart.com/click/track?c=1&amp;ai=8078&amp;sig=0c37cf4&amp;sid=2402&amp;ppid=19977256&amp;vpid=192877359&amp;ct=offers" TargetMode="External"/><Relationship Id="rId224" Type="http://schemas.openxmlformats.org/officeDocument/2006/relationships/hyperlink" Target="https://octopart.com/click/track?ai=8078&amp;sig=0104fe0&amp;sid=10022&amp;ppid=19977256&amp;vpid=199088976&amp;ct=offers" TargetMode="External"/><Relationship Id="rId225" Type="http://schemas.openxmlformats.org/officeDocument/2006/relationships/hyperlink" Target="https://octopart.com/click/track?ai=8078&amp;sig=016fc24&amp;sid=1532&amp;ppid=19977256&amp;vpid=709123021&amp;ct=offers" TargetMode="External"/><Relationship Id="rId226" Type="http://schemas.openxmlformats.org/officeDocument/2006/relationships/hyperlink" Target="http://datasheet.octopart.com/NLSX3018DTR2G-ON-Semiconductor-datasheet-11546757.pdf" TargetMode="External"/><Relationship Id="rId227" Type="http://schemas.openxmlformats.org/officeDocument/2006/relationships/hyperlink" Target="https://octopart.com/click/track?ai=8078&amp;sig=0fb5be1&amp;sid=459&amp;ppid=15755069&amp;vpid=479907032&amp;ct=offers" TargetMode="External"/><Relationship Id="rId228" Type="http://schemas.openxmlformats.org/officeDocument/2006/relationships/hyperlink" Target="https://octopart.com/click/track?c=1&amp;ai=8078&amp;sig=0c79dc3&amp;sid=819&amp;ppid=15755069&amp;vpid=679568991&amp;ct=offers" TargetMode="External"/><Relationship Id="rId229" Type="http://schemas.openxmlformats.org/officeDocument/2006/relationships/hyperlink" Target="https://octopart.com/click/track?ai=8078&amp;sig=0887866&amp;sid=27971&amp;ppid=15755069&amp;vpid=609063995&amp;ct=offers" TargetMode="External"/><Relationship Id="rId230" Type="http://schemas.openxmlformats.org/officeDocument/2006/relationships/hyperlink" Target="https://octopart.com/click/track?ai=8078&amp;sig=077d59e&amp;sid=2401&amp;ppid=15755069&amp;vpid=421147092&amp;ct=offers" TargetMode="External"/><Relationship Id="rId231" Type="http://schemas.openxmlformats.org/officeDocument/2006/relationships/hyperlink" Target="http://www.ti.com/lit/ds/symlink/lm2937.pdf" TargetMode="External"/><Relationship Id="rId232" Type="http://schemas.openxmlformats.org/officeDocument/2006/relationships/hyperlink" Target="https://octopart.com/click/track?ai=8078&amp;sig=098aaa0&amp;sid=459&amp;ppid=24154105&amp;vpid=57588520&amp;ct=offers" TargetMode="External"/><Relationship Id="rId233" Type="http://schemas.openxmlformats.org/officeDocument/2006/relationships/hyperlink" Target="https://octopart.com/click/track?c=1&amp;ai=8078&amp;sig=0e0e964&amp;sid=819&amp;ppid=24154105&amp;vpid=575366299&amp;ct=offers" TargetMode="External"/><Relationship Id="rId234" Type="http://schemas.openxmlformats.org/officeDocument/2006/relationships/hyperlink" Target="https://octopart.com/click/track?ai=8078&amp;sig=0aa3da0&amp;sid=2401&amp;ppid=24154105&amp;vpid=57204458&amp;ct=offers" TargetMode="External"/><Relationship Id="rId235" Type="http://schemas.openxmlformats.org/officeDocument/2006/relationships/hyperlink" Target="https://octopart.com/click/track?c=1&amp;ai=8078&amp;sig=0282ee0&amp;sid=2402&amp;ppid=24154105&amp;vpid=578992524&amp;ct=offers" TargetMode="External"/><Relationship Id="rId236" Type="http://schemas.openxmlformats.org/officeDocument/2006/relationships/hyperlink" Target="www.ti.com/lit/ds/symlink/txs0108e.pdf" TargetMode="External"/><Relationship Id="rId237" Type="http://schemas.openxmlformats.org/officeDocument/2006/relationships/hyperlink" Target="https://octopart.com/click/track?c=1&amp;ai=8078&amp;sig=02e7900&amp;sid=459&amp;ppid=7116516&amp;vpid=34358207&amp;ct=offers" TargetMode="External"/><Relationship Id="rId238" Type="http://schemas.openxmlformats.org/officeDocument/2006/relationships/hyperlink" Target="https://octopart.com/click/track?c=1&amp;ai=8078&amp;sig=04f663e&amp;sid=11744&amp;ppid=7116516&amp;vpid=698109291&amp;ct=offers" TargetMode="External"/><Relationship Id="rId239" Type="http://schemas.openxmlformats.org/officeDocument/2006/relationships/hyperlink" Target="https://octopart.com/click/track?c=1&amp;ai=8078&amp;sig=0f9f803&amp;sid=2401&amp;ppid=7116516&amp;vpid=37814040&amp;ct=offers" TargetMode="External"/><Relationship Id="rId240" Type="http://schemas.openxmlformats.org/officeDocument/2006/relationships/hyperlink" Target="https://octopart.com/click/track?c=1&amp;ai=8078&amp;sig=032c168&amp;sid=2402&amp;ppid=7116516&amp;vpid=702464420&amp;ct=offers" TargetMode="External"/><Relationship Id="rId241" Type="http://schemas.openxmlformats.org/officeDocument/2006/relationships/hyperlink" Target="http://datasheet.octopart.com/MAX6070BAUT21%2BT-Maxim-Integrated-datasheet-66419529.pdf" TargetMode="External"/><Relationship Id="rId242" Type="http://schemas.openxmlformats.org/officeDocument/2006/relationships/hyperlink" Target="https://octopart.com/click/track?ai=8078&amp;sig=0c55dc4&amp;sid=459&amp;ppid=27048045&amp;vpid=178314896&amp;ct=offers" TargetMode="External"/><Relationship Id="rId243" Type="http://schemas.openxmlformats.org/officeDocument/2006/relationships/hyperlink" Target="https://octopart.com/click/track?ai=8078&amp;sig=0b240fa&amp;sid=11744&amp;ppid=27048045&amp;vpid=464574660&amp;ct=offers" TargetMode="External"/><Relationship Id="rId244" Type="http://schemas.openxmlformats.org/officeDocument/2006/relationships/hyperlink" Target="https://octopart.com/click/track?ai=8078&amp;sig=02ff0e7&amp;sid=2401&amp;ppid=27048045&amp;vpid=454163148&amp;ct=offers" TargetMode="External"/><Relationship Id="rId245" Type="http://schemas.openxmlformats.org/officeDocument/2006/relationships/hyperlink" Target="https://octopart.com/click/track?ai=8078&amp;sig=0a46917&amp;sid=2402&amp;ppid=27048045&amp;vpid=462331099&amp;ct=offers" TargetMode="External"/><Relationship Id="rId246" Type="http://schemas.openxmlformats.org/officeDocument/2006/relationships/hyperlink" Target="https://www.ti.com/lit/ds/symlink/opa2156.pdf" TargetMode="External"/><Relationship Id="rId247" Type="http://schemas.openxmlformats.org/officeDocument/2006/relationships/hyperlink" Target="https://octopart.com/click/track?ai=8078&amp;sig=0e6c7ab&amp;sid=459&amp;ppid=95825379&amp;vpid=625743947&amp;ct=offers" TargetMode="External"/><Relationship Id="rId248" Type="http://schemas.openxmlformats.org/officeDocument/2006/relationships/hyperlink" Target="https://octopart.com/click/track?ai=8078&amp;sig=0890b39&amp;sid=2401&amp;ppid=95825379&amp;vpid=577109425&amp;ct=offers" TargetMode="External"/><Relationship Id="rId249" Type="http://schemas.openxmlformats.org/officeDocument/2006/relationships/hyperlink" Target="http://www.onsemi.com/pub/Collateral/MC79M00-D.PDF" TargetMode="External"/><Relationship Id="rId250" Type="http://schemas.openxmlformats.org/officeDocument/2006/relationships/hyperlink" Target="https://octopart.com/click/track?ai=8078&amp;sig=0c67114&amp;sid=459&amp;ppid=1421968&amp;vpid=34060895&amp;ct=offers" TargetMode="External"/><Relationship Id="rId251" Type="http://schemas.openxmlformats.org/officeDocument/2006/relationships/hyperlink" Target="https://octopart.com/click/track?c=1&amp;ai=8078&amp;sig=0c294ff&amp;sid=819&amp;ppid=1421968&amp;vpid=203224799&amp;ct=offers" TargetMode="External"/><Relationship Id="rId252" Type="http://schemas.openxmlformats.org/officeDocument/2006/relationships/hyperlink" Target="https://octopart.com/click/track?ai=8078&amp;sig=06d5bec&amp;sid=2401&amp;ppid=1421968&amp;vpid=82411174&amp;ct=offers" TargetMode="External"/><Relationship Id="rId253" Type="http://schemas.openxmlformats.org/officeDocument/2006/relationships/hyperlink" Target="https://octopart.com/click/track?ai=8078&amp;sig=03fc67b&amp;sid=2402&amp;ppid=1421968&amp;vpid=192877173&amp;ct=offers" TargetMode="External"/><Relationship Id="rId254" Type="http://schemas.openxmlformats.org/officeDocument/2006/relationships/hyperlink" Target="https://octopart.com/click/track?ai=8078&amp;sig=0940d80&amp;sid=10022&amp;ppid=1421968&amp;vpid=199086093&amp;ct=offers" TargetMode="External"/><Relationship Id="rId255" Type="http://schemas.openxmlformats.org/officeDocument/2006/relationships/hyperlink" Target="https://octopart.com/click/track?ai=8078&amp;sig=09b66b3&amp;sid=1532&amp;ppid=1421968&amp;vpid=709121357&amp;ct=offers" TargetMode="External"/><Relationship Id="rId256" Type="http://schemas.openxmlformats.org/officeDocument/2006/relationships/hyperlink" Target="http://datasheet.octopart.com/AD7961BCPZ-RL7-Analog-Devices-datasheet-17332396.pdf" TargetMode="External"/><Relationship Id="rId257" Type="http://schemas.openxmlformats.org/officeDocument/2006/relationships/hyperlink" Target="https://octopart.com/click/track?c=1&amp;ai=8078&amp;sig=015ce26&amp;sid=459&amp;ppid=30556019&amp;vpid=88237454&amp;ct=offers" TargetMode="External"/><Relationship Id="rId258" Type="http://schemas.openxmlformats.org/officeDocument/2006/relationships/hyperlink" Target="https://octopart.com/click/track?ai=8078&amp;sig=06af583&amp;sid=459&amp;ppid=103121085&amp;vpid=594892163&amp;ct=offers" TargetMode="External"/><Relationship Id="rId259" Type="http://schemas.openxmlformats.org/officeDocument/2006/relationships/hyperlink" Target="https://octopart.com/click/track?ai=8078&amp;sig=0b75a23&amp;sid=2401&amp;ppid=103121085&amp;vpid=582376771&amp;ct=offers" TargetMode="External"/><Relationship Id="rId260" Type="http://schemas.openxmlformats.org/officeDocument/2006/relationships/hyperlink" Target="http://datasheet.octopart.com/AD5453YRMZ-REEL7-Analog-Devices-datasheet-10617856.pdf" TargetMode="External"/><Relationship Id="rId261" Type="http://schemas.openxmlformats.org/officeDocument/2006/relationships/hyperlink" Target="https://octopart.com/click/track?ai=8078&amp;sig=0189d72&amp;sid=459&amp;ppid=13129684&amp;vpid=34200438&amp;ct=offers" TargetMode="External"/><Relationship Id="rId262" Type="http://schemas.openxmlformats.org/officeDocument/2006/relationships/hyperlink" Target="https://octopart.com/click/track?ai=8078&amp;sig=0388b35&amp;sid=2401&amp;ppid=13129684&amp;vpid=417182247&amp;ct=offers" TargetMode="External"/><Relationship Id="rId263" Type="http://schemas.openxmlformats.org/officeDocument/2006/relationships/hyperlink" Target="https://octopart.com/click/track?ai=8078&amp;sig=0316205&amp;sid=459&amp;ppid=94966384&amp;vpid=528037645&amp;ct=offers" TargetMode="External"/><Relationship Id="rId264" Type="http://schemas.openxmlformats.org/officeDocument/2006/relationships/hyperlink" Target="https://octopart.com/click/track?ai=8078&amp;sig=01ec7c4&amp;sid=2401&amp;ppid=94966384&amp;vpid=511660519&amp;ct=offers" TargetMode="External"/><Relationship Id="rId265" Type="http://schemas.openxmlformats.org/officeDocument/2006/relationships/hyperlink" Target="https://www.ti.com/lit/ds/symlink/lp38693.pdf" TargetMode="External"/><Relationship Id="rId266" Type="http://schemas.openxmlformats.org/officeDocument/2006/relationships/hyperlink" Target="https://octopart.com/click/track?ai=8078&amp;sig=096f187&amp;sid=459&amp;ppid=24816556&amp;vpid=57597457&amp;ct=offers" TargetMode="External"/><Relationship Id="rId267" Type="http://schemas.openxmlformats.org/officeDocument/2006/relationships/hyperlink" Target="https://octopart.com/click/track?c=1&amp;ai=8078&amp;sig=0b40837&amp;sid=11744&amp;ppid=24816556&amp;vpid=576401931&amp;ct=offers" TargetMode="External"/><Relationship Id="rId268" Type="http://schemas.openxmlformats.org/officeDocument/2006/relationships/hyperlink" Target="https://octopart.com/click/track?ai=8078&amp;sig=0279a46&amp;sid=27971&amp;ppid=24816556&amp;vpid=448096533&amp;ct=offers" TargetMode="External"/><Relationship Id="rId269" Type="http://schemas.openxmlformats.org/officeDocument/2006/relationships/hyperlink" Target="https://octopart.com/click/track?ai=8078&amp;sig=084d3ac&amp;sid=2401&amp;ppid=24816556&amp;vpid=57207700&amp;ct=offers" TargetMode="External"/><Relationship Id="rId270" Type="http://schemas.openxmlformats.org/officeDocument/2006/relationships/hyperlink" Target="https://octopart.com/click/track?c=1&amp;ai=8078&amp;sig=0d48d69&amp;sid=2402&amp;ppid=24816556&amp;vpid=578994107&amp;ct=offers" TargetMode="External"/><Relationship Id="rId271" Type="http://schemas.openxmlformats.org/officeDocument/2006/relationships/hyperlink" Target="https://octopart.com/click/track?ai=8078&amp;sig=08b6504&amp;sid=10022&amp;ppid=24816556&amp;vpid=199164951&amp;ct=offers" TargetMode="External"/><Relationship Id="rId272" Type="http://schemas.openxmlformats.org/officeDocument/2006/relationships/hyperlink" Target="https://octopart.com/click/track?ai=8078&amp;sig=06532ed&amp;sid=1532&amp;ppid=24816556&amp;vpid=709227631&amp;ct=offers" TargetMode="External"/><Relationship Id="rId273" Type="http://schemas.openxmlformats.org/officeDocument/2006/relationships/hyperlink" Target="https://octopart.com/click/track?c=1&amp;ai=8078&amp;sig=0e8d890&amp;sid=459&amp;ppid=94839372&amp;vpid=510698479&amp;ct=offers" TargetMode="External"/><Relationship Id="rId274" Type="http://schemas.openxmlformats.org/officeDocument/2006/relationships/hyperlink" Target="https://octopart.com/click/track?ai=8078&amp;sig=0c2d191&amp;sid=459&amp;ppid=97359468&amp;vpid=528037660&amp;ct=offers" TargetMode="External"/><Relationship Id="rId275" Type="http://schemas.openxmlformats.org/officeDocument/2006/relationships/hyperlink" Target="https://octopart.com/click/track?ai=8078&amp;sig=0b8ad0a&amp;sid=2401&amp;ppid=97359468&amp;vpid=511660522&amp;ct=offers" TargetMode="External"/><Relationship Id="rId276" Type="http://schemas.openxmlformats.org/officeDocument/2006/relationships/hyperlink" Target="http://datasheet.octopart.com/JMK107ABJ106KAHT-Taiyo-Yuden-datasheet-140424376.pdf" TargetMode="External"/><Relationship Id="rId277" Type="http://schemas.openxmlformats.org/officeDocument/2006/relationships/hyperlink" Target="https://octopart.com/click/track?ai=8078&amp;sig=0c15061&amp;sid=459&amp;ppid=101841647&amp;vpid=590811503&amp;ct=offers" TargetMode="External"/><Relationship Id="rId278" Type="http://schemas.openxmlformats.org/officeDocument/2006/relationships/hyperlink" Target="https://octopart.com/click/track?ai=8078&amp;sig=023c316&amp;sid=819&amp;ppid=101841647&amp;vpid=607599033&amp;ct=offers" TargetMode="External"/><Relationship Id="rId279" Type="http://schemas.openxmlformats.org/officeDocument/2006/relationships/hyperlink" Target="https://octopart.com/click/track?ai=8078&amp;sig=018e261&amp;sid=27971&amp;ppid=101841647&amp;vpid=629796191&amp;ct=offers" TargetMode="External"/><Relationship Id="rId280" Type="http://schemas.openxmlformats.org/officeDocument/2006/relationships/hyperlink" Target="https://octopart.com/click/track?ai=8078&amp;sig=0ac63b8&amp;sid=2401&amp;ppid=101841647&amp;vpid=587590519&amp;ct=offers" TargetMode="External"/><Relationship Id="rId281" Type="http://schemas.openxmlformats.org/officeDocument/2006/relationships/hyperlink" Target="https://octopart.com/click/track?ai=8078&amp;sig=0e10bba&amp;sid=2402&amp;ppid=101841647&amp;vpid=605051361&amp;ct=offers" TargetMode="External"/><Relationship Id="rId282" Type="http://schemas.openxmlformats.org/officeDocument/2006/relationships/hyperlink" Target="https://octopart.com/click/track?c=1&amp;ai=8078&amp;sig=0529e63&amp;sid=459&amp;ppid=9291745&amp;vpid=418658245&amp;ct=offers" TargetMode="External"/><Relationship Id="rId283" Type="http://schemas.openxmlformats.org/officeDocument/2006/relationships/hyperlink" Target="https://octopart.com/click/track?ai=8078&amp;sig=08fffe2&amp;sid=11744&amp;ppid=9291745&amp;vpid=667996757&amp;ct=offers" TargetMode="External"/><Relationship Id="rId284" Type="http://schemas.openxmlformats.org/officeDocument/2006/relationships/hyperlink" Target="https://octopart.com/click/track?c=1&amp;ai=8078&amp;sig=066473e&amp;sid=2401&amp;ppid=9291745&amp;vpid=191440200&amp;ct=offers" TargetMode="External"/><Relationship Id="rId285" Type="http://schemas.openxmlformats.org/officeDocument/2006/relationships/hyperlink" Target="https://octopart.com/click/track?ai=8078&amp;sig=0490bdd&amp;sid=2402&amp;ppid=9291745&amp;vpid=717119523&amp;ct=offers" TargetMode="External"/><Relationship Id="rId286" Type="http://schemas.openxmlformats.org/officeDocument/2006/relationships/hyperlink" Target="https://octopart.com/click/track?ai=8078&amp;sig=0996d37&amp;sid=10022&amp;ppid=9291745&amp;vpid=661517060&amp;ct=offers" TargetMode="External"/><Relationship Id="rId287" Type="http://schemas.openxmlformats.org/officeDocument/2006/relationships/hyperlink" Target="http://datasheet.octopart.com/CC0603JRNPO9BN102-Yageo-datasheet-10406438.pdf" TargetMode="External"/><Relationship Id="rId288" Type="http://schemas.openxmlformats.org/officeDocument/2006/relationships/hyperlink" Target="https://octopart.com/click/track?ai=8078&amp;sig=0ae7871&amp;sid=459&amp;ppid=9292454&amp;vpid=45699632&amp;ct=offers" TargetMode="External"/><Relationship Id="rId289" Type="http://schemas.openxmlformats.org/officeDocument/2006/relationships/hyperlink" Target="https://octopart.com/click/track?ai=8078&amp;sig=0bc9640&amp;sid=819&amp;ppid=9292454&amp;vpid=667702654&amp;ct=offers" TargetMode="External"/><Relationship Id="rId290" Type="http://schemas.openxmlformats.org/officeDocument/2006/relationships/hyperlink" Target="https://octopart.com/click/track?ai=8078&amp;sig=08b9619&amp;sid=2401&amp;ppid=9292454&amp;vpid=39335198&amp;ct=offers" TargetMode="External"/><Relationship Id="rId291" Type="http://schemas.openxmlformats.org/officeDocument/2006/relationships/hyperlink" Target="https://octopart.com/click/track?ai=8078&amp;sig=0187d57&amp;sid=2402&amp;ppid=9292454&amp;vpid=21910781&amp;ct=offers" TargetMode="External"/><Relationship Id="rId292" Type="http://schemas.openxmlformats.org/officeDocument/2006/relationships/hyperlink" Target="https://octopart.com/click/track?ai=8078&amp;sig=0e63bc3&amp;sid=10022&amp;ppid=9292454&amp;vpid=635571335&amp;ct=offers" TargetMode="External"/><Relationship Id="rId293" Type="http://schemas.openxmlformats.org/officeDocument/2006/relationships/hyperlink" Target="https://octopart.com/click/track?ai=8078&amp;sig=03213ee&amp;sid=1532&amp;ppid=9292454&amp;vpid=709256875&amp;ct=offers" TargetMode="External"/><Relationship Id="rId294" Type="http://schemas.openxmlformats.org/officeDocument/2006/relationships/hyperlink" Target="http://datasheet.octopart.com/RC0603FR-071KL-Yageo-datasheet-8328172.pdf" TargetMode="External"/><Relationship Id="rId295" Type="http://schemas.openxmlformats.org/officeDocument/2006/relationships/hyperlink" Target="https://octopart.com/click/track?ai=8078&amp;sig=0fe2519&amp;sid=459&amp;ppid=55402882&amp;vpid=188128906&amp;ct=offers" TargetMode="External"/><Relationship Id="rId296" Type="http://schemas.openxmlformats.org/officeDocument/2006/relationships/hyperlink" Target="https://octopart.com/click/track?ai=8078&amp;sig=0c79d71&amp;sid=11744&amp;ppid=55402882&amp;vpid=508988657&amp;ct=offers" TargetMode="External"/><Relationship Id="rId297" Type="http://schemas.openxmlformats.org/officeDocument/2006/relationships/hyperlink" Target="https://octopart.com/click/track?ai=8078&amp;sig=0fb13ef&amp;sid=2401&amp;ppid=55402882&amp;vpid=187885225&amp;ct=offers" TargetMode="External"/><Relationship Id="rId298" Type="http://schemas.openxmlformats.org/officeDocument/2006/relationships/hyperlink" Target="https://octopart.com/click/track?ai=8078&amp;sig=04c6071&amp;sid=2402&amp;ppid=55402882&amp;vpid=190899751&amp;ct=offers" TargetMode="External"/><Relationship Id="rId299" Type="http://schemas.openxmlformats.org/officeDocument/2006/relationships/hyperlink" Target="https://octopart.com/click/track?ai=8078&amp;sig=0f30183&amp;sid=10022&amp;ppid=55402882&amp;vpid=694057393&amp;ct=offers" TargetMode="External"/><Relationship Id="rId300" Type="http://schemas.openxmlformats.org/officeDocument/2006/relationships/hyperlink" Target="https://octopart.com/click/track?ai=8078&amp;sig=0da4270&amp;sid=1532&amp;ppid=55402882&amp;vpid=709257838&amp;ct=offers" TargetMode="External"/><Relationship Id="rId301" Type="http://schemas.openxmlformats.org/officeDocument/2006/relationships/hyperlink" Target="http://datasheet.octopart.com/RC0603FR-0733RL-Yageo-datasheet-8328172.pdf" TargetMode="External"/><Relationship Id="rId302" Type="http://schemas.openxmlformats.org/officeDocument/2006/relationships/hyperlink" Target="https://octopart.com/click/track?c=1&amp;ai=8078&amp;sig=0aafec3&amp;sid=459&amp;ppid=40946050&amp;vpid=114982939&amp;ct=offers" TargetMode="External"/><Relationship Id="rId303" Type="http://schemas.openxmlformats.org/officeDocument/2006/relationships/hyperlink" Target="https://octopart.com/click/track?c=1&amp;ai=8078&amp;sig=01bc937&amp;sid=11744&amp;ppid=40946050&amp;vpid=480880115&amp;ct=offers" TargetMode="External"/><Relationship Id="rId304" Type="http://schemas.openxmlformats.org/officeDocument/2006/relationships/hyperlink" Target="https://octopart.com/click/track?c=1&amp;ai=8078&amp;sig=0b5a0f3&amp;sid=2401&amp;ppid=40946050&amp;vpid=115540566&amp;ct=offers" TargetMode="External"/><Relationship Id="rId305" Type="http://schemas.openxmlformats.org/officeDocument/2006/relationships/hyperlink" Target="https://octopart.com/click/track?ai=8078&amp;sig=066e7a6&amp;sid=2402&amp;ppid=40946050&amp;vpid=115424148&amp;ct=offers" TargetMode="External"/><Relationship Id="rId306" Type="http://schemas.openxmlformats.org/officeDocument/2006/relationships/hyperlink" Target="https://octopart.com/click/track?ai=8078&amp;sig=07d3767&amp;sid=10022&amp;ppid=40946050&amp;vpid=656930598&amp;ct=offers" TargetMode="External"/><Relationship Id="rId307" Type="http://schemas.openxmlformats.org/officeDocument/2006/relationships/hyperlink" Target="https://octopart.com/click/track?ai=8078&amp;sig=0fffef9&amp;sid=1532&amp;ppid=40946050&amp;vpid=709257921&amp;ct=offers" TargetMode="External"/><Relationship Id="rId308" Type="http://schemas.openxmlformats.org/officeDocument/2006/relationships/hyperlink" Target="http://datasheet.octopart.com/RC0603FR-0730K1L-Yageo-datasheet-8328172.pdf" TargetMode="External"/><Relationship Id="rId309" Type="http://schemas.openxmlformats.org/officeDocument/2006/relationships/hyperlink" Target="https://octopart.com/click/track?ai=8078&amp;sig=0e05a69&amp;sid=459&amp;ppid=55458484&amp;vpid=188128915&amp;ct=offers" TargetMode="External"/><Relationship Id="rId310" Type="http://schemas.openxmlformats.org/officeDocument/2006/relationships/hyperlink" Target="https://octopart.com/click/track?ai=8078&amp;sig=02b2e0e&amp;sid=819&amp;ppid=55458484&amp;vpid=653863357&amp;ct=offers" TargetMode="External"/><Relationship Id="rId311" Type="http://schemas.openxmlformats.org/officeDocument/2006/relationships/hyperlink" Target="https://octopart.com/click/track?ai=8078&amp;sig=019a72a&amp;sid=2401&amp;ppid=55458484&amp;vpid=189038668&amp;ct=offers" TargetMode="External"/><Relationship Id="rId312" Type="http://schemas.openxmlformats.org/officeDocument/2006/relationships/hyperlink" Target="https://octopart.com/click/track?c=1&amp;ai=8078&amp;sig=030854b&amp;sid=2402&amp;ppid=55458484&amp;vpid=658256892&amp;ct=offers" TargetMode="External"/><Relationship Id="rId313" Type="http://schemas.openxmlformats.org/officeDocument/2006/relationships/hyperlink" Target="https://octopart.com/click/track?ai=8078&amp;sig=0955934&amp;sid=1532&amp;ppid=55458484&amp;vpid=709257909&amp;ct=offers" TargetMode="External"/><Relationship Id="rId314" Type="http://schemas.openxmlformats.org/officeDocument/2006/relationships/vmlDrawing" Target="../drawings/vmlDrawing1.vml"/><Relationship Id="rId315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67"/>
  <sheetViews>
    <sheetView tabSelected="1" workbookViewId="0">
      <pane xSplit="8" ySplit="6" topLeftCell="I7" activePane="bottomRight" state="frozen"/>
      <selection pane="topRight" activeCell="I1" sqref="I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 outlineLevel="2"/>
    <col min="5" max="5" width="9.140625" outlineLevel="1"/>
    <col min="6" max="6" width="9.140625" outlineLevel="1"/>
    <col min="7" max="7" width="9.140625"/>
    <col min="8" max="8" width="15.7109375" customWidth="1"/>
    <col min="9" max="9" width="9.140625" outlineLevel="1"/>
    <col min="10" max="10" width="9.140625" outlineLevel="2"/>
    <col min="11" max="11" width="9.140625" outlineLevel="2"/>
    <col min="12" max="12" width="15.7109375" customWidth="1"/>
    <col min="13" max="13" width="15.7109375" customWidth="1" outlineLevel="2"/>
    <col min="14" max="14" width="9.140625" outlineLevel="1"/>
    <col min="15" max="15" width="9.140625" outlineLevel="2"/>
    <col min="16" max="16" width="9.140625" outlineLevel="2"/>
    <col min="17" max="17" width="15.7109375" customWidth="1"/>
    <col min="18" max="18" width="15.7109375" customWidth="1" outlineLevel="2"/>
    <col min="19" max="19" width="9.140625" outlineLevel="1"/>
    <col min="20" max="20" width="9.140625" outlineLevel="2"/>
    <col min="21" max="21" width="9.140625" outlineLevel="2"/>
    <col min="22" max="22" width="15.7109375" customWidth="1"/>
    <col min="23" max="23" width="15.7109375" customWidth="1" outlineLevel="2"/>
    <col min="24" max="24" width="9.140625" outlineLevel="1"/>
    <col min="25" max="25" width="9.140625" outlineLevel="2"/>
    <col min="26" max="26" width="9.140625" outlineLevel="2"/>
    <col min="27" max="27" width="15.7109375" customWidth="1"/>
    <col min="28" max="28" width="15.7109375" customWidth="1" outlineLevel="2"/>
    <col min="29" max="29" width="9.140625" outlineLevel="1"/>
    <col min="30" max="30" width="9.140625" outlineLevel="2"/>
    <col min="31" max="31" width="9.140625" outlineLevel="2"/>
    <col min="32" max="32" width="15.7109375" customWidth="1"/>
    <col min="33" max="33" width="15.7109375" customWidth="1" outlineLevel="2"/>
    <col min="34" max="34" width="9.140625" outlineLevel="1"/>
    <col min="35" max="35" width="9.140625" outlineLevel="2"/>
    <col min="36" max="36" width="9.140625" outlineLevel="2"/>
    <col min="37" max="37" width="15.7109375" customWidth="1"/>
    <col min="38" max="38" width="15.7109375" customWidth="1" outlineLevel="2"/>
    <col min="39" max="39" width="9.140625" outlineLevel="1"/>
    <col min="40" max="40" width="9.140625" outlineLevel="2"/>
    <col min="41" max="41" width="9.140625" outlineLevel="2"/>
    <col min="42" max="42" width="15.7109375" customWidth="1"/>
    <col min="43" max="43" width="15.7109375" customWidth="1" outlineLevel="2"/>
    <col min="44" max="44" width="9.140625" outlineLevel="1"/>
    <col min="45" max="45" width="9.140625" outlineLevel="2"/>
    <col min="46" max="46" width="9.140625" outlineLevel="2"/>
    <col min="47" max="47" width="15.7109375" customWidth="1"/>
    <col min="48" max="48" width="15.7109375" customWidth="1" outlineLevel="2"/>
  </cols>
  <sheetData>
    <row r="1" spans="1:48">
      <c r="A1" s="1" t="s">
        <v>249</v>
      </c>
      <c r="B1" s="2" t="s">
        <v>250</v>
      </c>
      <c r="G1" s="3" t="s">
        <v>254</v>
      </c>
      <c r="H1" s="3">
        <v>100</v>
      </c>
    </row>
    <row r="2" spans="1:48">
      <c r="A2" s="1" t="s">
        <v>251</v>
      </c>
      <c r="B2" s="2"/>
      <c r="G2" s="1" t="s">
        <v>256</v>
      </c>
      <c r="H2" s="4">
        <f>TotalCost/BoardQty</f>
        <v>0</v>
      </c>
    </row>
    <row r="3" spans="1:48">
      <c r="A3" s="1" t="s">
        <v>252</v>
      </c>
      <c r="B3" s="2" t="s">
        <v>253</v>
      </c>
      <c r="G3" s="1" t="s">
        <v>255</v>
      </c>
      <c r="H3" s="5">
        <f>SUM(H7:H85)</f>
        <v>0</v>
      </c>
      <c r="L3" s="5">
        <f>SUM(L7:L85)</f>
        <v>0</v>
      </c>
      <c r="M3" s="6">
        <f>(COUNTA(L7:L85)&amp;" of "&amp;ROWS(L7:L85)&amp;" parts found"</f>
        <v>0</v>
      </c>
      <c r="Q3" s="5">
        <f>SUM(Q7:Q85)</f>
        <v>0</v>
      </c>
      <c r="R3" s="6">
        <f>(COUNTA(Q7:Q85)&amp;" of "&amp;ROWS(Q7:Q85)&amp;" parts found"</f>
        <v>0</v>
      </c>
      <c r="V3" s="5">
        <f>SUM(V7:V85)</f>
        <v>0</v>
      </c>
      <c r="W3" s="6">
        <f>(COUNTA(V7:V85)&amp;" of "&amp;ROWS(V7:V85)&amp;" parts found"</f>
        <v>0</v>
      </c>
      <c r="AA3" s="5">
        <f>SUM(AA7:AA85)</f>
        <v>0</v>
      </c>
      <c r="AB3" s="6">
        <f>(COUNTA(AA7:AA85)&amp;" of "&amp;ROWS(AA7:AA85)&amp;" parts found"</f>
        <v>0</v>
      </c>
      <c r="AF3" s="5">
        <f>SUM(AF7:AF85)</f>
        <v>0</v>
      </c>
      <c r="AG3" s="6">
        <f>(COUNTA(AF7:AF85)&amp;" of "&amp;ROWS(AF7:AF85)&amp;" parts found"</f>
        <v>0</v>
      </c>
      <c r="AK3" s="5">
        <f>SUM(AK7:AK85)</f>
        <v>0</v>
      </c>
      <c r="AL3" s="6">
        <f>(COUNTA(AK7:AK85)&amp;" of "&amp;ROWS(AK7:AK85)&amp;" parts found"</f>
        <v>0</v>
      </c>
      <c r="AP3" s="5">
        <f>SUM(AP7:AP85)</f>
        <v>0</v>
      </c>
      <c r="AQ3" s="6">
        <f>(COUNTA(AP7:AP85)&amp;" of "&amp;ROWS(AP7:AP85)&amp;" parts found"</f>
        <v>0</v>
      </c>
      <c r="AU3" s="5">
        <f>SUM(AU7:AU85)</f>
        <v>0</v>
      </c>
      <c r="AV3" s="6">
        <f>(COUNTA(AU7:AU85)&amp;" of "&amp;ROWS(AU7:AU85)&amp;" parts found"</f>
        <v>0</v>
      </c>
    </row>
    <row r="4" spans="1:48">
      <c r="A4" s="1" t="s">
        <v>257</v>
      </c>
      <c r="B4" s="2" t="s">
        <v>258</v>
      </c>
    </row>
    <row r="5" spans="1:48">
      <c r="A5" s="7" t="s">
        <v>0</v>
      </c>
      <c r="B5" s="7"/>
      <c r="C5" s="7"/>
      <c r="D5" s="7"/>
      <c r="E5" s="7"/>
      <c r="F5" s="7"/>
      <c r="G5" s="7"/>
      <c r="H5" s="7"/>
      <c r="I5" s="8" t="s">
        <v>259</v>
      </c>
      <c r="J5" s="8"/>
      <c r="K5" s="8"/>
      <c r="L5" s="8"/>
      <c r="M5" s="8"/>
      <c r="N5" s="9" t="s">
        <v>263</v>
      </c>
      <c r="O5" s="9"/>
      <c r="P5" s="9"/>
      <c r="Q5" s="9"/>
      <c r="R5" s="9"/>
      <c r="S5" s="10" t="s">
        <v>325</v>
      </c>
      <c r="T5" s="10"/>
      <c r="U5" s="10"/>
      <c r="V5" s="10"/>
      <c r="W5" s="10"/>
      <c r="X5" s="11" t="s">
        <v>364</v>
      </c>
      <c r="Y5" s="11"/>
      <c r="Z5" s="11"/>
      <c r="AA5" s="11"/>
      <c r="AB5" s="11"/>
      <c r="AC5" s="12" t="s">
        <v>372</v>
      </c>
      <c r="AD5" s="12"/>
      <c r="AE5" s="12"/>
      <c r="AF5" s="12"/>
      <c r="AG5" s="12"/>
      <c r="AH5" s="13" t="s">
        <v>431</v>
      </c>
      <c r="AI5" s="13"/>
      <c r="AJ5" s="13"/>
      <c r="AK5" s="13"/>
      <c r="AL5" s="13"/>
      <c r="AM5" s="14" t="s">
        <v>469</v>
      </c>
      <c r="AN5" s="14"/>
      <c r="AO5" s="14"/>
      <c r="AP5" s="14"/>
      <c r="AQ5" s="14"/>
      <c r="AR5" s="15" t="s">
        <v>490</v>
      </c>
      <c r="AS5" s="15"/>
      <c r="AT5" s="15"/>
      <c r="AU5" s="15"/>
      <c r="AV5" s="15"/>
    </row>
    <row r="6" spans="1:48">
      <c r="A6" s="16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6" t="s">
        <v>7</v>
      </c>
      <c r="H6" s="16" t="s">
        <v>8</v>
      </c>
      <c r="I6" s="16" t="s">
        <v>260</v>
      </c>
      <c r="J6" s="16" t="s">
        <v>261</v>
      </c>
      <c r="K6" s="16" t="s">
        <v>7</v>
      </c>
      <c r="L6" s="16" t="s">
        <v>8</v>
      </c>
      <c r="M6" s="16" t="s">
        <v>262</v>
      </c>
      <c r="N6" s="16" t="s">
        <v>260</v>
      </c>
      <c r="O6" s="16" t="s">
        <v>261</v>
      </c>
      <c r="P6" s="16" t="s">
        <v>7</v>
      </c>
      <c r="Q6" s="16" t="s">
        <v>8</v>
      </c>
      <c r="R6" s="16" t="s">
        <v>262</v>
      </c>
      <c r="S6" s="16" t="s">
        <v>260</v>
      </c>
      <c r="T6" s="16" t="s">
        <v>261</v>
      </c>
      <c r="U6" s="16" t="s">
        <v>7</v>
      </c>
      <c r="V6" s="16" t="s">
        <v>8</v>
      </c>
      <c r="W6" s="16" t="s">
        <v>262</v>
      </c>
      <c r="X6" s="16" t="s">
        <v>260</v>
      </c>
      <c r="Y6" s="16" t="s">
        <v>261</v>
      </c>
      <c r="Z6" s="16" t="s">
        <v>7</v>
      </c>
      <c r="AA6" s="16" t="s">
        <v>8</v>
      </c>
      <c r="AB6" s="16" t="s">
        <v>262</v>
      </c>
      <c r="AC6" s="16" t="s">
        <v>260</v>
      </c>
      <c r="AD6" s="16" t="s">
        <v>261</v>
      </c>
      <c r="AE6" s="16" t="s">
        <v>7</v>
      </c>
      <c r="AF6" s="16" t="s">
        <v>8</v>
      </c>
      <c r="AG6" s="16" t="s">
        <v>262</v>
      </c>
      <c r="AH6" s="16" t="s">
        <v>260</v>
      </c>
      <c r="AI6" s="16" t="s">
        <v>261</v>
      </c>
      <c r="AJ6" s="16" t="s">
        <v>7</v>
      </c>
      <c r="AK6" s="16" t="s">
        <v>8</v>
      </c>
      <c r="AL6" s="16" t="s">
        <v>262</v>
      </c>
      <c r="AM6" s="16" t="s">
        <v>260</v>
      </c>
      <c r="AN6" s="16" t="s">
        <v>261</v>
      </c>
      <c r="AO6" s="16" t="s">
        <v>7</v>
      </c>
      <c r="AP6" s="16" t="s">
        <v>8</v>
      </c>
      <c r="AQ6" s="16" t="s">
        <v>262</v>
      </c>
      <c r="AR6" s="16" t="s">
        <v>260</v>
      </c>
      <c r="AS6" s="16" t="s">
        <v>261</v>
      </c>
      <c r="AT6" s="16" t="s">
        <v>7</v>
      </c>
      <c r="AU6" s="16" t="s">
        <v>8</v>
      </c>
      <c r="AV6" s="16" t="s">
        <v>262</v>
      </c>
    </row>
    <row r="7" spans="1:48">
      <c r="A7" s="17" t="s">
        <v>9</v>
      </c>
      <c r="B7" s="17" t="s">
        <v>10</v>
      </c>
      <c r="D7" s="17" t="s">
        <v>11</v>
      </c>
      <c r="E7" s="17" t="s">
        <v>12</v>
      </c>
      <c r="F7" s="17">
        <f>BoardQty*103</f>
        <v>0</v>
      </c>
      <c r="G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7" s="18">
        <f>iferror(F7*G7,"")</f>
        <v>0</v>
      </c>
      <c r="N7" s="19" t="s">
        <v>265</v>
      </c>
      <c r="P7" s="18">
        <f>iferror(lookup(if(O7="",F7,O7),{0,1,10,50,100,500,1000,4000},{0.0,0.1,0.06,0.033,0.0269,0.01924,0.01512,0.01264}),"")</f>
        <v>0</v>
      </c>
      <c r="Q7" s="18">
        <f>iferror(if(O7="",F7,O7)*P7,"")</f>
        <v>0</v>
      </c>
      <c r="R7" s="20" t="s">
        <v>264</v>
      </c>
      <c r="S7" s="19" t="s">
        <v>265</v>
      </c>
      <c r="U7" s="18">
        <f>iferror(USD_GBP*lookup(if(T7="",F7,T7),{0,1,4000},{0.0,0.009,0.009}),"")</f>
        <v>0</v>
      </c>
      <c r="V7" s="18">
        <f>iferror(if(T7="",F7,T7)*U7,"")</f>
        <v>0</v>
      </c>
      <c r="W7" s="20" t="s">
        <v>326</v>
      </c>
      <c r="AC7" s="17">
        <v>5086</v>
      </c>
      <c r="AE7" s="18">
        <f>iferror(lookup(if(AD7="",F7,AD7),{0,1,10,50,100,1000,10000},{0.0,0.1,0.033,0.033,0.02,0.016,0.014}),"")</f>
        <v>0</v>
      </c>
      <c r="AF7" s="18">
        <f>iferror(if(AD7="",F7,AD7)*AE7,"")</f>
        <v>0</v>
      </c>
      <c r="AG7" s="20" t="s">
        <v>373</v>
      </c>
      <c r="AH7" s="19" t="s">
        <v>265</v>
      </c>
      <c r="AJ7" s="18">
        <f>iferror(lookup(if(AI7="",F7,AI7),{0,1,4000,8000},{0.0,0.018,0.018,0.013}),"")</f>
        <v>0</v>
      </c>
      <c r="AK7" s="18">
        <f>iferror(if(AI7="",F7,AI7)*AJ7,"")</f>
        <v>0</v>
      </c>
      <c r="AL7" s="20" t="s">
        <v>432</v>
      </c>
    </row>
    <row r="8" spans="1:48">
      <c r="A8" s="17" t="s">
        <v>13</v>
      </c>
      <c r="B8" s="17" t="s">
        <v>14</v>
      </c>
      <c r="D8" s="17" t="s">
        <v>11</v>
      </c>
      <c r="E8" s="17" t="s">
        <v>15</v>
      </c>
      <c r="F8" s="17">
        <f>BoardQty*7</f>
        <v>0</v>
      </c>
      <c r="G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8" s="18">
        <f>iferror(F8*G8,"")</f>
        <v>0</v>
      </c>
      <c r="N8" s="17">
        <v>130</v>
      </c>
      <c r="P8" s="18">
        <f>iferror(lookup(if(O8="",F8,O8),{0,1,10,50,100,500,1000,4000},{0.0,0.1,0.049,0.0266,0.0217,0.0155,0.01218,0.01018}),"")</f>
        <v>0</v>
      </c>
      <c r="Q8" s="18">
        <f>iferror(if(O8="",F8,O8)*P8,"")</f>
        <v>0</v>
      </c>
      <c r="R8" s="20" t="s">
        <v>266</v>
      </c>
      <c r="S8" s="17">
        <v>44000</v>
      </c>
      <c r="U8" s="18">
        <f>iferror(USD_GBP*lookup(if(T8="",F8,T8),{0,1,10,100,150,500,1000,2000,4000,20000},{0.0,0.0261,0.0261,0.0213,0.0213,0.0146,0.0117,0.0111,0.0083,0.0063}),"")</f>
        <v>0</v>
      </c>
      <c r="V8" s="18">
        <f>iferror(if(T8="",F8,T8)*U8,"")</f>
        <v>0</v>
      </c>
      <c r="W8" s="20" t="s">
        <v>327</v>
      </c>
      <c r="X8" s="17">
        <v>204650</v>
      </c>
      <c r="Z8" s="18">
        <f>iferror(lookup(if(Y8="",F8,Y8),{0,1,50,500,1500,5000,25000,50000},{0.0,0.006,0.006,0.0045,0.0042,0.0039,0.0038,0.0037}),"")</f>
        <v>0</v>
      </c>
      <c r="AA8" s="18">
        <f>iferror(if(Y8="",F8,Y8)*Z8,"")</f>
        <v>0</v>
      </c>
      <c r="AB8" s="20" t="s">
        <v>365</v>
      </c>
      <c r="AC8" s="19" t="s">
        <v>265</v>
      </c>
      <c r="AE8" s="18">
        <f>iferror(lookup(if(AD8="",F8,AD8),{0,1,10,50,100,1000,10000},{0.0,0.1,0.05,0.05,0.022,0.012,0.008}),"")</f>
        <v>0</v>
      </c>
      <c r="AF8" s="18">
        <f>iferror(if(AD8="",F8,AD8)*AE8,"")</f>
        <v>0</v>
      </c>
      <c r="AG8" s="20" t="s">
        <v>374</v>
      </c>
      <c r="AH8" s="17">
        <v>92000</v>
      </c>
      <c r="AJ8" s="18">
        <f>iferror(lookup(if(AI8="",F8,AI8),{0,1,25,50,100,250,500,4000},{0.0,0.125,0.059,0.031,0.026,0.023,0.019,0.011}),"")</f>
        <v>0</v>
      </c>
      <c r="AK8" s="18">
        <f>iferror(if(AI8="",F8,AI8)*AJ8,"")</f>
        <v>0</v>
      </c>
      <c r="AL8" s="20" t="s">
        <v>433</v>
      </c>
      <c r="AR8" s="17">
        <v>15900</v>
      </c>
      <c r="AT8" s="18">
        <f>iferror(USD_GBP*lookup(if(AS8="",F8,AS8),{0,1,100,300,1000,4000,20000},{0.0,0.01187,0.01187,0.00758,0.00546,0.00428,0.00412}),"")</f>
        <v>0</v>
      </c>
      <c r="AU8" s="18">
        <f>iferror(if(AS8="",F8,AS8)*AT8,"")</f>
        <v>0</v>
      </c>
      <c r="AV8" s="20" t="s">
        <v>15</v>
      </c>
    </row>
    <row r="9" spans="1:48">
      <c r="A9" s="17" t="s">
        <v>16</v>
      </c>
      <c r="B9" s="17" t="s">
        <v>17</v>
      </c>
      <c r="D9" s="17" t="s">
        <v>11</v>
      </c>
      <c r="E9" s="17" t="s">
        <v>18</v>
      </c>
      <c r="F9" s="17">
        <f>BoardQty*3</f>
        <v>0</v>
      </c>
      <c r="G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9" s="18">
        <f>iferror(F9*G9,"")</f>
        <v>0</v>
      </c>
      <c r="N9" s="17">
        <v>1413</v>
      </c>
      <c r="P9" s="18">
        <f>iferror(lookup(if(O9="",F9,O9),{0,1,10,50,100,500,1000,4000},{0.0,0.17,0.123,0.0696,0.0576,0.0404,0.03345,0.02848}),"")</f>
        <v>0</v>
      </c>
      <c r="Q9" s="18">
        <f>iferror(if(O9="",F9,O9)*P9,"")</f>
        <v>0</v>
      </c>
      <c r="R9" s="20" t="s">
        <v>267</v>
      </c>
      <c r="S9" s="19" t="s">
        <v>265</v>
      </c>
      <c r="U9" s="18">
        <f>iferror(USD_GBP*lookup(if(T9="",F9,T9),{0,1,4000},{0.0,0.021,0.021}),"")</f>
        <v>0</v>
      </c>
      <c r="V9" s="18">
        <f>iferror(if(T9="",F9,T9)*U9,"")</f>
        <v>0</v>
      </c>
      <c r="W9" s="20" t="s">
        <v>328</v>
      </c>
      <c r="AC9" s="17">
        <v>13307</v>
      </c>
      <c r="AE9" s="18">
        <f>iferror(lookup(if(AD9="",F9,AD9),{0,1,10,50,100,1000,10000},{0.0,0.17,0.07,0.07,0.041,0.033,0.019}),"")</f>
        <v>0</v>
      </c>
      <c r="AF9" s="18">
        <f>iferror(if(AD9="",F9,AD9)*AE9,"")</f>
        <v>0</v>
      </c>
      <c r="AG9" s="20" t="s">
        <v>375</v>
      </c>
      <c r="AH9" s="19" t="s">
        <v>265</v>
      </c>
      <c r="AJ9" s="18">
        <f>iferror(lookup(if(AI9="",F9,AI9),{0,1,4000,8000,16000,24000},{0.0,0.032,0.032,0.028,0.024,0.019}),"")</f>
        <v>0</v>
      </c>
      <c r="AK9" s="18">
        <f>iferror(if(AI9="",F9,AI9)*AJ9,"")</f>
        <v>0</v>
      </c>
      <c r="AL9" s="20" t="s">
        <v>434</v>
      </c>
    </row>
    <row r="10" spans="1:48">
      <c r="A10" s="17" t="s">
        <v>19</v>
      </c>
      <c r="B10" s="17" t="s">
        <v>20</v>
      </c>
      <c r="D10" s="17" t="s">
        <v>11</v>
      </c>
      <c r="E10" s="17" t="s">
        <v>21</v>
      </c>
      <c r="F10" s="17">
        <f>BoardQty*1</f>
        <v>0</v>
      </c>
      <c r="G1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10" s="18">
        <f>iferror(F10*G10,"")</f>
        <v>0</v>
      </c>
      <c r="N10" s="19" t="s">
        <v>265</v>
      </c>
      <c r="P10" s="18">
        <f>iferror(lookup(if(O10="",F10,O10),{0,1,10,50,100,500,1000,4000},{0.0,0.1,0.071,0.0388,0.0316,0.02258,0.01774,0.01484}),"")</f>
        <v>0</v>
      </c>
      <c r="Q10" s="18">
        <f>iferror(if(O10="",F10,O10)*P10,"")</f>
        <v>0</v>
      </c>
      <c r="R10" s="20" t="s">
        <v>268</v>
      </c>
      <c r="S10" s="19" t="s">
        <v>265</v>
      </c>
      <c r="U10" s="18">
        <f>iferror(USD_GBP*lookup(if(T10="",F10,T10),{0,1,4000},{0.0,0.008,0.008}),"")</f>
        <v>0</v>
      </c>
      <c r="V10" s="18">
        <f>iferror(if(T10="",F10,T10)*U10,"")</f>
        <v>0</v>
      </c>
      <c r="W10" s="20" t="s">
        <v>329</v>
      </c>
      <c r="AC10" s="17">
        <v>4410</v>
      </c>
      <c r="AE10" s="18">
        <f>iferror(lookup(if(AD10="",F10,AD10),{0,1,10,50,100,1000,10000},{0.0,0.1,0.059,0.059,0.024,0.02,0.014}),"")</f>
        <v>0</v>
      </c>
      <c r="AF10" s="18">
        <f>iferror(if(AD10="",F10,AD10)*AE10,"")</f>
        <v>0</v>
      </c>
      <c r="AG10" s="20" t="s">
        <v>376</v>
      </c>
      <c r="AH10" s="19" t="s">
        <v>265</v>
      </c>
      <c r="AJ10" s="18">
        <f>iferror(lookup(if(AI10="",F10,AI10),{0,1,4000,8000},{0.0,0.015,0.015,0.011}),"")</f>
        <v>0</v>
      </c>
      <c r="AK10" s="18">
        <f>iferror(if(AI10="",F10,AI10)*AJ10,"")</f>
        <v>0</v>
      </c>
      <c r="AL10" s="20" t="s">
        <v>435</v>
      </c>
    </row>
    <row r="11" spans="1:48">
      <c r="A11" s="17" t="s">
        <v>22</v>
      </c>
      <c r="B11" s="17" t="s">
        <v>23</v>
      </c>
      <c r="D11" s="17" t="s">
        <v>11</v>
      </c>
      <c r="F11" s="17">
        <f>BoardQty*1</f>
        <v>0</v>
      </c>
      <c r="G1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11" s="18">
        <f>iferror(F11*G11,"")</f>
        <v>0</v>
      </c>
    </row>
    <row r="12" spans="1:48">
      <c r="A12" s="17" t="s">
        <v>24</v>
      </c>
      <c r="B12" s="17" t="s">
        <v>25</v>
      </c>
      <c r="D12" s="17" t="s">
        <v>11</v>
      </c>
      <c r="E12" s="17" t="s">
        <v>26</v>
      </c>
      <c r="F12" s="17">
        <f>BoardQty*1</f>
        <v>0</v>
      </c>
      <c r="G1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12" s="18">
        <f>iferror(F12*G12,"")</f>
        <v>0</v>
      </c>
      <c r="N12" s="17">
        <v>327064</v>
      </c>
      <c r="P12" s="18">
        <f>iferror(lookup(if(O12="",F12,O12),{0,1,10,50,100,500,1000,4000},{0.0,0.1,0.044,0.0242,0.0198,0.01412,0.0111,0.00929}),"")</f>
        <v>0</v>
      </c>
      <c r="Q12" s="18">
        <f>iferror(if(O12="",F12,O12)*P12,"")</f>
        <v>0</v>
      </c>
      <c r="R12" s="20" t="s">
        <v>269</v>
      </c>
      <c r="S12" s="17">
        <v>224000</v>
      </c>
      <c r="U12" s="18">
        <f>iferror(USD_GBP*lookup(if(T12="",F12,T12),{0,1,10,100,150,500,1000,2000,4000,20000},{0.0,0.0226,0.0226,0.014,0.014,0.0127,0.0097,0.0094,0.007,0.0059}),"")</f>
        <v>0</v>
      </c>
      <c r="V12" s="18">
        <f>iferror(if(T12="",F12,T12)*U12,"")</f>
        <v>0</v>
      </c>
      <c r="W12" s="20" t="s">
        <v>330</v>
      </c>
      <c r="AC12" s="17">
        <v>141096</v>
      </c>
      <c r="AE12" s="18">
        <f>iferror(lookup(if(AD12="",F12,AD12),{0,1,10,50,100,1000,10000},{0.0,0.1,0.042,0.042,0.019,0.015,0.009}),"")</f>
        <v>0</v>
      </c>
      <c r="AF12" s="18">
        <f>iferror(if(AD12="",F12,AD12)*AE12,"")</f>
        <v>0</v>
      </c>
      <c r="AG12" s="20" t="s">
        <v>377</v>
      </c>
      <c r="AH12" s="17">
        <v>104000</v>
      </c>
      <c r="AJ12" s="18">
        <f>iferror(lookup(if(AI12="",F12,AI12),{0,1,10,25,50,100,4000,8000},{0.0,0.042,0.042,0.034,0.027,0.019,0.011,0.01}),"")</f>
        <v>0</v>
      </c>
      <c r="AK12" s="18">
        <f>iferror(if(AI12="",F12,AI12)*AJ12,"")</f>
        <v>0</v>
      </c>
      <c r="AL12" s="20" t="s">
        <v>436</v>
      </c>
      <c r="AM12" s="17">
        <v>6750</v>
      </c>
      <c r="AO12" s="18">
        <f>iferror(USD_GBP*lookup(if(AN12="",F12,AN12),{0,1,4000,12000},{0.0,0.008,0.008,0.008}),"")</f>
        <v>0</v>
      </c>
      <c r="AP12" s="18">
        <f>iferror(if(AN12="",F12,AN12)*AO12,"")</f>
        <v>0</v>
      </c>
      <c r="AQ12" s="20" t="s">
        <v>470</v>
      </c>
      <c r="AR12" s="17">
        <v>316400</v>
      </c>
      <c r="AT12" s="18">
        <f>iferror(USD_GBP*lookup(if(AS12="",F12,AS12),{0,1,100,300,1000,4000,12000},{0.0,0.01066,0.01066,0.00758,0.00476,0.00303,0.00293}),"")</f>
        <v>0</v>
      </c>
      <c r="AU12" s="18">
        <f>iferror(if(AS12="",F12,AS12)*AT12,"")</f>
        <v>0</v>
      </c>
      <c r="AV12" s="20" t="s">
        <v>491</v>
      </c>
    </row>
    <row r="13" spans="1:48">
      <c r="A13" s="17" t="s">
        <v>27</v>
      </c>
      <c r="B13" s="17" t="s">
        <v>28</v>
      </c>
      <c r="D13" s="17" t="s">
        <v>11</v>
      </c>
      <c r="E13" s="17" t="s">
        <v>29</v>
      </c>
      <c r="F13" s="17">
        <f>BoardQty*2</f>
        <v>0</v>
      </c>
      <c r="G1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13" s="18">
        <f>iferror(F13*G13,"")</f>
        <v>0</v>
      </c>
      <c r="N13" s="19" t="s">
        <v>265</v>
      </c>
      <c r="P13" s="18">
        <f>iferror(lookup(if(O13="",F13,O13),{0,1,10,50,100,500,1000,4000},{0.0,0.1,0.038,0.021,0.0171,0.01224,0.00961,0.00804}),"")</f>
        <v>0</v>
      </c>
      <c r="Q13" s="18">
        <f>iferror(if(O13="",F13,O13)*P13,"")</f>
        <v>0</v>
      </c>
      <c r="R13" s="20" t="s">
        <v>270</v>
      </c>
      <c r="S13" s="17">
        <v>6814000</v>
      </c>
      <c r="U13" s="18">
        <f>iferror(USD_GBP*lookup(if(T13="",F13,T13),{0,1,3,10,100,150,500,1000,2000,4000,20000},{0.0,28.96,26.25,0.0184,0.0138,0.0138,0.0105,0.009,0.008,0.0099,0.0078}),"")</f>
        <v>0</v>
      </c>
      <c r="V13" s="18">
        <f>iferror(if(T13="",F13,T13)*U13,"")</f>
        <v>0</v>
      </c>
      <c r="W13" s="20" t="s">
        <v>331</v>
      </c>
      <c r="AC13" s="19" t="s">
        <v>265</v>
      </c>
      <c r="AE13" s="18">
        <f>iferror(lookup(if(AD13="",F13,AD13),{0,1,10,50,100,1000,10000},{0.0,0.1,0.02,0.02,0.012,0.01,0.007}),"")</f>
        <v>0</v>
      </c>
      <c r="AF13" s="18">
        <f>iferror(if(AD13="",F13,AD13)*AE13,"")</f>
        <v>0</v>
      </c>
      <c r="AG13" s="20" t="s">
        <v>378</v>
      </c>
      <c r="AH13" s="17">
        <v>296000</v>
      </c>
      <c r="AJ13" s="18">
        <f>iferror(lookup(if(AI13="",F13,AI13),{0,1,10,25,50,100,4000,8000},{0.0,0.1,0.1,0.014,0.013,0.012,0.007,0.006}),"")</f>
        <v>0</v>
      </c>
      <c r="AK13" s="18">
        <f>iferror(if(AI13="",F13,AI13)*AJ13,"")</f>
        <v>0</v>
      </c>
      <c r="AL13" s="20" t="s">
        <v>437</v>
      </c>
      <c r="AM13" s="17">
        <v>20000</v>
      </c>
      <c r="AO13" s="18">
        <f>iferror(USD_GBP*lookup(if(AN13="",F13,AN13),{0,1,4000,12000},{0.0,0.005,0.005,0.005}),"")</f>
        <v>0</v>
      </c>
      <c r="AP13" s="18">
        <f>iferror(if(AN13="",F13,AN13)*AO13,"")</f>
        <v>0</v>
      </c>
      <c r="AQ13" s="20" t="s">
        <v>471</v>
      </c>
      <c r="AR13" s="17">
        <v>21950</v>
      </c>
      <c r="AT13" s="18">
        <f>iferror(USD_GBP*lookup(if(AS13="",F13,AS13),{0,1,50,300,1000,4000,12000},{0.0,0.02235,0.02235,0.00797,0.00383,0.00338,0.00327}),"")</f>
        <v>0</v>
      </c>
      <c r="AU13" s="18">
        <f>iferror(if(AS13="",F13,AS13)*AT13,"")</f>
        <v>0</v>
      </c>
      <c r="AV13" s="20" t="s">
        <v>492</v>
      </c>
    </row>
    <row r="14" spans="1:48">
      <c r="A14" s="17" t="s">
        <v>30</v>
      </c>
      <c r="B14" s="17" t="s">
        <v>31</v>
      </c>
      <c r="D14" s="17" t="s">
        <v>11</v>
      </c>
      <c r="F14" s="17">
        <f>BoardQty*21</f>
        <v>0</v>
      </c>
      <c r="G1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14" s="18">
        <f>iferror(F14*G14,"")</f>
        <v>0</v>
      </c>
    </row>
    <row r="15" spans="1:48">
      <c r="A15" s="17" t="s">
        <v>32</v>
      </c>
      <c r="B15" s="17" t="s">
        <v>33</v>
      </c>
      <c r="D15" s="17" t="s">
        <v>11</v>
      </c>
      <c r="E15" s="17" t="s">
        <v>34</v>
      </c>
      <c r="F15" s="17">
        <f>BoardQty*1</f>
        <v>0</v>
      </c>
      <c r="G1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15" s="18">
        <f>iferror(F15*G15,"")</f>
        <v>0</v>
      </c>
      <c r="N15" s="19" t="s">
        <v>265</v>
      </c>
      <c r="P15" s="18">
        <f>iferror(lookup(if(O15="",F15,O15),{0,1,10,50,100,500,1000,4000},{0.0,0.13,0.096,0.0542,0.045,0.03154,0.02611,0.02223}),"")</f>
        <v>0</v>
      </c>
      <c r="Q15" s="18">
        <f>iferror(if(O15="",F15,O15)*P15,"")</f>
        <v>0</v>
      </c>
      <c r="R15" s="20" t="s">
        <v>271</v>
      </c>
      <c r="S15" s="19" t="s">
        <v>265</v>
      </c>
      <c r="U15" s="18">
        <f>iferror(USD_GBP*lookup(if(T15="",F15,T15),{0,1,25,50,100,250,500},{0.0,0.153,0.0849,0.0664,0.0505,0.0401,0.0318}),"")</f>
        <v>0</v>
      </c>
      <c r="V15" s="18">
        <f>iferror(if(T15="",F15,T15)*U15,"")</f>
        <v>0</v>
      </c>
      <c r="W15" s="20" t="s">
        <v>332</v>
      </c>
      <c r="X15" s="17">
        <v>726150</v>
      </c>
      <c r="Z15" s="18">
        <f>iferror(lookup(if(Y15="",F15,Y15),{0,1,50,500,1500,5000,25000,50000},{0.0,0.0136,0.0136,0.01,0.0094,0.0087,0.0084,0.0083}),"")</f>
        <v>0</v>
      </c>
      <c r="AA15" s="18">
        <f>iferror(if(Y15="",F15,Y15)*Z15,"")</f>
        <v>0</v>
      </c>
      <c r="AB15" s="20" t="s">
        <v>366</v>
      </c>
      <c r="AC15" s="19" t="s">
        <v>265</v>
      </c>
      <c r="AE15" s="18">
        <f>iferror(lookup(if(AD15="",F15,AD15),{0,1,10,50,100,1000,10000},{0.0,0.15,0.105,0.105,0.049,0.028,0.019}),"")</f>
        <v>0</v>
      </c>
      <c r="AF15" s="18">
        <f>iferror(if(AD15="",F15,AD15)*AE15,"")</f>
        <v>0</v>
      </c>
      <c r="AG15" s="20" t="s">
        <v>379</v>
      </c>
      <c r="AH15" s="19" t="s">
        <v>265</v>
      </c>
      <c r="AJ15" s="18">
        <f>iferror(lookup(if(AI15="",F15,AI15),{0,1,25,50,100,250,500,4000,5000,10000,20000},{0.0,0.188,0.131,0.096,0.061,0.053,0.043,0.037,0.032,0.025,0.019}),"")</f>
        <v>0</v>
      </c>
      <c r="AK15" s="18">
        <f>iferror(if(AI15="",F15,AI15)*AJ15,"")</f>
        <v>0</v>
      </c>
      <c r="AL15" s="20" t="s">
        <v>438</v>
      </c>
      <c r="AM15" s="17">
        <v>1700</v>
      </c>
      <c r="AO15" s="18">
        <f>iferror(USD_GBP*lookup(if(AN15="",F15,AN15),{0,1,100,200,500},{0.0,0.04,0.04,0.037,0.029}),"")</f>
        <v>0</v>
      </c>
      <c r="AP15" s="18">
        <f>iferror(if(AN15="",F15,AN15)*AO15,"")</f>
        <v>0</v>
      </c>
      <c r="AQ15" s="20" t="s">
        <v>472</v>
      </c>
    </row>
    <row r="16" spans="1:48">
      <c r="A16" s="17" t="s">
        <v>35</v>
      </c>
      <c r="B16" s="17" t="s">
        <v>36</v>
      </c>
      <c r="D16" s="17" t="s">
        <v>37</v>
      </c>
      <c r="E16" s="17" t="s">
        <v>38</v>
      </c>
      <c r="F16" s="17">
        <f>BoardQty*2</f>
        <v>0</v>
      </c>
      <c r="G1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16" s="18">
        <f>iferror(F16*G16,"")</f>
        <v>0</v>
      </c>
      <c r="X16" s="17">
        <v>500</v>
      </c>
      <c r="Z16" s="18">
        <f>iferror(lookup(if(Y16="",F16,Y16),{0,1,20,200,600,2000,10000,20000},{0.0,0.0206,0.0206,0.0156,0.0147,0.0138,0.0133,0.0131}),"")</f>
        <v>0</v>
      </c>
      <c r="AA16" s="18">
        <f>iferror(if(Y16="",F16,Y16)*Z16,"")</f>
        <v>0</v>
      </c>
      <c r="AB16" s="20" t="s">
        <v>367</v>
      </c>
    </row>
    <row r="17" spans="1:48">
      <c r="A17" s="17" t="s">
        <v>39</v>
      </c>
      <c r="B17" s="17" t="s">
        <v>40</v>
      </c>
      <c r="D17" s="17" t="s">
        <v>41</v>
      </c>
      <c r="E17" s="17" t="s">
        <v>42</v>
      </c>
      <c r="F17" s="17">
        <f>BoardQty*2</f>
        <v>0</v>
      </c>
      <c r="G1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17" s="18">
        <f>iferror(F17*G17,"")</f>
        <v>0</v>
      </c>
      <c r="N17" s="17">
        <v>152381</v>
      </c>
      <c r="P17" s="18">
        <f>iferror(lookup(if(O17="",F17,O17),{0,1,10,25,50,100,250,500,1000,3000,6000,9000},{0.0,0.28,0.219,0.1812,0.1562,0.1406,0.11876,0.10624,0.09062,0.0875,0.08438,0.08312}),"")</f>
        <v>0</v>
      </c>
      <c r="Q17" s="18">
        <f>iferror(if(O17="",F17,O17)*P17,"")</f>
        <v>0</v>
      </c>
      <c r="R17" s="20" t="s">
        <v>272</v>
      </c>
      <c r="S17" s="17">
        <v>9000</v>
      </c>
      <c r="U17" s="18">
        <f>iferror(USD_GBP*lookup(if(T17="",F17,T17),{0,1,3000,15000},{0.0,0.0556,0.0556,0.0515}),"")</f>
        <v>0</v>
      </c>
      <c r="V17" s="18">
        <f>iferror(if(T17="",F17,T17)*U17,"")</f>
        <v>0</v>
      </c>
      <c r="W17" s="20" t="s">
        <v>333</v>
      </c>
      <c r="AC17" s="17">
        <v>163705</v>
      </c>
      <c r="AE17" s="18">
        <f>iferror(lookup(if(AD17="",F17,AD17),{0,1,10,50,100,1000,10000},{0.0,0.28,0.157,0.157,0.119,0.088,0.08}),"")</f>
        <v>0</v>
      </c>
      <c r="AF17" s="18">
        <f>iferror(if(AD17="",F17,AD17)*AE17,"")</f>
        <v>0</v>
      </c>
      <c r="AG17" s="20" t="s">
        <v>380</v>
      </c>
      <c r="AM17" s="17">
        <v>650</v>
      </c>
      <c r="AO17" s="18">
        <f>iferror(USD_GBP*lookup(if(AN17="",F17,AN17),{0,1,25,50,100,500,2000},{0.0,0.166,0.166,0.141,0.124,0.108,0.1}),"")</f>
        <v>0</v>
      </c>
      <c r="AP17" s="18">
        <f>iferror(if(AN17="",F17,AN17)*AO17,"")</f>
        <v>0</v>
      </c>
      <c r="AQ17" s="20" t="s">
        <v>473</v>
      </c>
      <c r="AR17" s="17">
        <v>22735</v>
      </c>
      <c r="AT17" s="18">
        <f>iferror(USD_GBP*lookup(if(AS17="",F17,AS17),{0,1,10,100,1000,3000,9000},{0.0,0.2027,0.2027,0.1126,0.0811,0.0658,0.0639}),"")</f>
        <v>0</v>
      </c>
      <c r="AU17" s="18">
        <f>iferror(if(AS17="",F17,AS17)*AT17,"")</f>
        <v>0</v>
      </c>
      <c r="AV17" s="20" t="s">
        <v>42</v>
      </c>
    </row>
    <row r="18" spans="1:48">
      <c r="A18" s="17" t="s">
        <v>43</v>
      </c>
      <c r="B18" s="17" t="s">
        <v>44</v>
      </c>
      <c r="D18" s="17" t="s">
        <v>45</v>
      </c>
      <c r="E18" s="17" t="s">
        <v>46</v>
      </c>
      <c r="F18" s="17">
        <f>BoardQty*6</f>
        <v>0</v>
      </c>
      <c r="G1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18" s="18">
        <f>iferror(F18*G18,"")</f>
        <v>0</v>
      </c>
      <c r="N18" s="17">
        <v>1</v>
      </c>
      <c r="P18" s="18">
        <f>iferror(lookup(if(O18="",F18,O18),{0,1,10,25,100,250,500,1000,2500},{0.0,2.06,1.854,1.7488,1.4901,1.3992,1.2243,1.1022,1.1022}),"")</f>
        <v>0</v>
      </c>
      <c r="Q18" s="18">
        <f>iferror(if(O18="",F18,O18)*P18,"")</f>
        <v>0</v>
      </c>
      <c r="R18" s="20" t="s">
        <v>273</v>
      </c>
      <c r="S18" s="17">
        <v>184</v>
      </c>
      <c r="U18" s="18">
        <f>iferror(USD_GBP*lookup(if(T18="",F18,T18),{0,1,10,50,100,250,500,1000,2500},{0.0,1.96,1.46,1.34,1.21,1.09,1.01,0.847,0.788}),"")</f>
        <v>0</v>
      </c>
      <c r="V18" s="18">
        <f>iferror(if(T18="",F18,T18)*U18,"")</f>
        <v>0</v>
      </c>
      <c r="W18" s="20" t="s">
        <v>334</v>
      </c>
      <c r="AC18" s="19" t="s">
        <v>265</v>
      </c>
      <c r="AE18" s="18">
        <f>iferror(lookup(if(AD18="",F18,AD18),{0,1,10,50,100,1000,10000},{0.0,2.06,1.86,1.75,1.44,1.01,0.939}),"")</f>
        <v>0</v>
      </c>
      <c r="AF18" s="18">
        <f>iferror(if(AD18="",F18,AD18)*AE18,"")</f>
        <v>0</v>
      </c>
      <c r="AG18" s="20" t="s">
        <v>381</v>
      </c>
      <c r="AH18" s="17">
        <v>184</v>
      </c>
      <c r="AJ18" s="18">
        <f>iferror(lookup(if(AI18="",F18,AI18),{0,1,10,25,50,100,250},{0.0,2.9,2.7,2.54,2.39,2.23,2.05}),"")</f>
        <v>0</v>
      </c>
      <c r="AK18" s="18">
        <f>iferror(if(AI18="",F18,AI18)*AJ18,"")</f>
        <v>0</v>
      </c>
      <c r="AL18" s="20" t="s">
        <v>439</v>
      </c>
    </row>
    <row r="19" spans="1:48">
      <c r="A19" s="17" t="s">
        <v>47</v>
      </c>
      <c r="B19" s="17" t="s">
        <v>48</v>
      </c>
      <c r="C19" s="17" t="s">
        <v>49</v>
      </c>
      <c r="D19" s="17" t="s">
        <v>50</v>
      </c>
      <c r="E19" s="17" t="s">
        <v>48</v>
      </c>
      <c r="F19" s="17">
        <f>BoardQty*1</f>
        <v>0</v>
      </c>
      <c r="G1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19" s="18">
        <f>iferror(F19*G19,"")</f>
        <v>0</v>
      </c>
      <c r="N19" s="19" t="s">
        <v>265</v>
      </c>
      <c r="P19" s="18">
        <f>iferror(lookup(if(O19="",F19,O19),{0,1,10,25,100,1000},{0.0,20.7,19.094,18.2364,16.9004,16.9004}),"")</f>
        <v>0</v>
      </c>
      <c r="Q19" s="18">
        <f>iferror(if(O19="",F19,O19)*P19,"")</f>
        <v>0</v>
      </c>
      <c r="R19" s="20" t="s">
        <v>274</v>
      </c>
      <c r="AC19" s="17">
        <v>10</v>
      </c>
      <c r="AE19" s="18">
        <f>iferror(lookup(if(AD19="",F19,AD19),{0,1,10,50,100,1000,10000},{0.0,20.7,19.1,18.24,16.91,16.9,16.9}),"")</f>
        <v>0</v>
      </c>
      <c r="AF19" s="18">
        <f>iferror(if(AD19="",F19,AD19)*AE19,"")</f>
        <v>0</v>
      </c>
      <c r="AG19" s="20" t="s">
        <v>382</v>
      </c>
    </row>
    <row r="20" spans="1:48">
      <c r="A20" s="17" t="s">
        <v>51</v>
      </c>
      <c r="B20" s="17" t="s">
        <v>52</v>
      </c>
      <c r="D20" s="17" t="s">
        <v>37</v>
      </c>
      <c r="E20" s="17" t="s">
        <v>53</v>
      </c>
      <c r="F20" s="17">
        <f>BoardQty*4</f>
        <v>0</v>
      </c>
      <c r="G2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20" s="18">
        <f>iferror(F20*G20,"")</f>
        <v>0</v>
      </c>
    </row>
    <row r="21" spans="1:48">
      <c r="A21" s="17" t="s">
        <v>54</v>
      </c>
      <c r="B21" s="17" t="s">
        <v>55</v>
      </c>
      <c r="D21" s="17" t="s">
        <v>37</v>
      </c>
      <c r="F21" s="17">
        <f>BoardQty*1</f>
        <v>0</v>
      </c>
      <c r="G2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21" s="18">
        <f>iferror(F21*G21,"")</f>
        <v>0</v>
      </c>
    </row>
    <row r="22" spans="1:48">
      <c r="A22" s="17" t="s">
        <v>56</v>
      </c>
      <c r="B22" s="17" t="s">
        <v>57</v>
      </c>
      <c r="D22" s="17" t="s">
        <v>37</v>
      </c>
      <c r="F22" s="17">
        <f>BoardQty*2</f>
        <v>0</v>
      </c>
      <c r="G2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22" s="18">
        <f>iferror(F22*G22,"")</f>
        <v>0</v>
      </c>
    </row>
    <row r="23" spans="1:48">
      <c r="A23" s="17" t="s">
        <v>58</v>
      </c>
      <c r="B23" s="17" t="s">
        <v>59</v>
      </c>
      <c r="D23" s="17" t="s">
        <v>60</v>
      </c>
      <c r="E23" s="17" t="s">
        <v>61</v>
      </c>
      <c r="F23" s="17">
        <f>BoardQty*1</f>
        <v>0</v>
      </c>
      <c r="G2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23" s="18">
        <f>iferror(F23*G23,"")</f>
        <v>0</v>
      </c>
      <c r="N23" s="19" t="s">
        <v>265</v>
      </c>
      <c r="P23" s="18">
        <f>iferror(lookup(if(O23="",F23,O23),{0,1},{0.0,0.5}),"")</f>
        <v>0</v>
      </c>
      <c r="Q23" s="18">
        <f>iferror(if(O23="",F23,O23)*P23,"")</f>
        <v>0</v>
      </c>
      <c r="R23" s="20" t="s">
        <v>275</v>
      </c>
      <c r="AC23" s="17">
        <v>482</v>
      </c>
      <c r="AE23" s="18">
        <f>iferror(lookup(if(AD23="",F23,AD23),{0,1,10,50,100,1000,10000},{0.0,0.5,0.5,0.5,0.5,0.5,0.5}),"")</f>
        <v>0</v>
      </c>
      <c r="AF23" s="18">
        <f>iferror(if(AD23="",F23,AD23)*AE23,"")</f>
        <v>0</v>
      </c>
      <c r="AG23" s="20" t="s">
        <v>383</v>
      </c>
    </row>
    <row r="24" spans="1:48">
      <c r="A24" s="17" t="s">
        <v>62</v>
      </c>
      <c r="B24" s="17" t="s">
        <v>63</v>
      </c>
      <c r="D24" s="17" t="s">
        <v>37</v>
      </c>
      <c r="F24" s="17">
        <f>BoardQty*4</f>
        <v>0</v>
      </c>
      <c r="G2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24" s="18">
        <f>iferror(F24*G24,"")</f>
        <v>0</v>
      </c>
    </row>
    <row r="25" spans="1:48">
      <c r="A25" s="17" t="s">
        <v>64</v>
      </c>
      <c r="B25" s="17" t="s">
        <v>65</v>
      </c>
      <c r="D25" s="17" t="s">
        <v>37</v>
      </c>
      <c r="F25" s="17">
        <f>BoardQty*3</f>
        <v>0</v>
      </c>
      <c r="G2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25" s="18">
        <f>iferror(F25*G25,"")</f>
        <v>0</v>
      </c>
    </row>
    <row r="26" spans="1:48">
      <c r="A26" s="17" t="s">
        <v>66</v>
      </c>
      <c r="B26" s="17" t="s">
        <v>67</v>
      </c>
      <c r="D26" s="17" t="s">
        <v>68</v>
      </c>
      <c r="E26" s="17" t="s">
        <v>67</v>
      </c>
      <c r="F26" s="17">
        <f>BoardQty*1</f>
        <v>0</v>
      </c>
      <c r="G2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26" s="18">
        <f>iferror(F26*G26,"")</f>
        <v>0</v>
      </c>
      <c r="N26" s="17">
        <v>74006</v>
      </c>
      <c r="P26" s="18">
        <f>iferror(lookup(if(O26="",F26,O26),{0,1,10,25,50,100,250,500,1000,2500},{0.0,0.6,0.567,0.51,0.4532,0.4344,0.39664,0.37774,0.31164,0.2833}),"")</f>
        <v>0</v>
      </c>
      <c r="Q26" s="18">
        <f>iferror(if(O26="",F26,O26)*P26,"")</f>
        <v>0</v>
      </c>
      <c r="R26" s="20" t="s">
        <v>276</v>
      </c>
      <c r="AC26" s="17">
        <v>6720</v>
      </c>
      <c r="AE26" s="18">
        <f>iferror(lookup(if(AD26="",F26,AD26),{0,1,10,50,100,1000,10000},{0.0,0.59,0.448,0.448,0.392,0.308,0.268}),"")</f>
        <v>0</v>
      </c>
      <c r="AF26" s="18">
        <f>iferror(if(AD26="",F26,AD26)*AE26,"")</f>
        <v>0</v>
      </c>
      <c r="AG26" s="20" t="s">
        <v>384</v>
      </c>
    </row>
    <row r="27" spans="1:48">
      <c r="A27" s="17" t="s">
        <v>69</v>
      </c>
      <c r="B27" s="17" t="s">
        <v>70</v>
      </c>
      <c r="D27" s="17" t="s">
        <v>37</v>
      </c>
      <c r="F27" s="17">
        <f>BoardQty*2</f>
        <v>0</v>
      </c>
      <c r="G2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27" s="18">
        <f>iferror(F27*G27,"")</f>
        <v>0</v>
      </c>
    </row>
    <row r="28" spans="1:48">
      <c r="A28" s="17" t="s">
        <v>71</v>
      </c>
      <c r="B28" s="17" t="s">
        <v>72</v>
      </c>
      <c r="D28" s="17" t="s">
        <v>37</v>
      </c>
      <c r="F28" s="17">
        <f>BoardQty*1</f>
        <v>0</v>
      </c>
      <c r="G2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28" s="18">
        <f>iferror(F28*G28,"")</f>
        <v>0</v>
      </c>
    </row>
    <row r="29" spans="1:48">
      <c r="A29" s="17" t="s">
        <v>73</v>
      </c>
      <c r="B29" s="17" t="s">
        <v>74</v>
      </c>
      <c r="D29" s="17" t="s">
        <v>37</v>
      </c>
      <c r="E29" s="17" t="s">
        <v>75</v>
      </c>
      <c r="F29" s="17">
        <f>BoardQty*1</f>
        <v>0</v>
      </c>
      <c r="G2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29" s="18">
        <f>iferror(F29*G29,"")</f>
        <v>0</v>
      </c>
      <c r="N29" s="19" t="s">
        <v>265</v>
      </c>
      <c r="P29" s="18">
        <f>iferror(lookup(if(O29="",F29,O29),{0,1,10,25,50,100,250,500,1000},{0.0,0.88,0.772,0.7168,0.6064,0.5512,0.51816,0.46304,0.37485}),"")</f>
        <v>0</v>
      </c>
      <c r="Q29" s="18">
        <f>iferror(if(O29="",F29,O29)*P29,"")</f>
        <v>0</v>
      </c>
      <c r="R29" s="20" t="s">
        <v>277</v>
      </c>
      <c r="AC29" s="19" t="s">
        <v>265</v>
      </c>
      <c r="AE29" s="18">
        <f>iferror(lookup(if(AD29="",F29,AD29),{0,1,10,50,100,1000,10000},{0.0,0.84,0.578,0.578,0.441,0.348,0.348}),"")</f>
        <v>0</v>
      </c>
      <c r="AF29" s="18">
        <f>iferror(if(AD29="",F29,AD29)*AE29,"")</f>
        <v>0</v>
      </c>
      <c r="AG29" s="20" t="s">
        <v>385</v>
      </c>
    </row>
    <row r="30" spans="1:48">
      <c r="A30" s="17" t="s">
        <v>76</v>
      </c>
      <c r="B30" s="17" t="s">
        <v>77</v>
      </c>
      <c r="D30" s="17" t="s">
        <v>37</v>
      </c>
      <c r="E30" s="17" t="s">
        <v>75</v>
      </c>
      <c r="F30" s="17">
        <f>BoardQty*1</f>
        <v>0</v>
      </c>
      <c r="G3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30" s="18">
        <f>iferror(F30*G30,"")</f>
        <v>0</v>
      </c>
      <c r="N30" s="19" t="s">
        <v>265</v>
      </c>
      <c r="P30" s="18">
        <f>iferror(lookup(if(O30="",F30,O30),{0,1,10,25,50,100,250,500,1000},{0.0,0.88,0.772,0.7168,0.6064,0.5512,0.51816,0.46304,0.37485}),"")</f>
        <v>0</v>
      </c>
      <c r="Q30" s="18">
        <f>iferror(if(O30="",F30,O30)*P30,"")</f>
        <v>0</v>
      </c>
      <c r="R30" s="20" t="s">
        <v>277</v>
      </c>
      <c r="AC30" s="19" t="s">
        <v>265</v>
      </c>
      <c r="AE30" s="18">
        <f>iferror(lookup(if(AD30="",F30,AD30),{0,1,10,50,100,1000,10000},{0.0,0.84,0.578,0.578,0.441,0.348,0.348}),"")</f>
        <v>0</v>
      </c>
      <c r="AF30" s="18">
        <f>iferror(if(AD30="",F30,AD30)*AE30,"")</f>
        <v>0</v>
      </c>
      <c r="AG30" s="20" t="s">
        <v>385</v>
      </c>
    </row>
    <row r="31" spans="1:48">
      <c r="A31" s="17" t="s">
        <v>78</v>
      </c>
      <c r="B31" s="17" t="s">
        <v>79</v>
      </c>
      <c r="D31" s="17" t="s">
        <v>11</v>
      </c>
      <c r="E31" s="17" t="s">
        <v>80</v>
      </c>
      <c r="F31" s="17">
        <f>BoardQty*8</f>
        <v>0</v>
      </c>
      <c r="G3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31" s="18">
        <f>iferror(F31*G31,"")</f>
        <v>0</v>
      </c>
      <c r="N31" s="17">
        <v>9364</v>
      </c>
      <c r="P31" s="18">
        <f>iferror(lookup(if(O31="",F31,O31),{0,1,10,50,100,500,1000,4000},{0.0,0.1,0.062,0.034,0.0278,0.01984,0.01559,0.01304}),"")</f>
        <v>0</v>
      </c>
      <c r="Q31" s="18">
        <f>iferror(if(O31="",F31,O31)*P31,"")</f>
        <v>0</v>
      </c>
      <c r="R31" s="20" t="s">
        <v>278</v>
      </c>
      <c r="AC31" s="17">
        <v>11631</v>
      </c>
      <c r="AE31" s="18">
        <f>iferror(lookup(if(AD31="",F31,AD31),{0,1,10,50,100,1000,10000},{0.0,0.16,0.078,0.078,0.035,0.029,0.02}),"")</f>
        <v>0</v>
      </c>
      <c r="AF31" s="18">
        <f>iferror(if(AD31="",F31,AD31)*AE31,"")</f>
        <v>0</v>
      </c>
      <c r="AG31" s="20" t="s">
        <v>386</v>
      </c>
    </row>
    <row r="32" spans="1:48">
      <c r="A32" s="17" t="s">
        <v>81</v>
      </c>
      <c r="B32" s="17" t="s">
        <v>82</v>
      </c>
      <c r="D32" s="17" t="s">
        <v>37</v>
      </c>
      <c r="E32" s="17" t="s">
        <v>75</v>
      </c>
      <c r="F32" s="17">
        <f>BoardQty*1</f>
        <v>0</v>
      </c>
      <c r="G3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32" s="18">
        <f>iferror(F32*G32,"")</f>
        <v>0</v>
      </c>
      <c r="N32" s="19" t="s">
        <v>265</v>
      </c>
      <c r="P32" s="18">
        <f>iferror(lookup(if(O32="",F32,O32),{0,1,10,25,50,100,250,500,1000},{0.0,0.88,0.772,0.7168,0.6064,0.5512,0.51816,0.46304,0.37485}),"")</f>
        <v>0</v>
      </c>
      <c r="Q32" s="18">
        <f>iferror(if(O32="",F32,O32)*P32,"")</f>
        <v>0</v>
      </c>
      <c r="R32" s="20" t="s">
        <v>277</v>
      </c>
      <c r="AC32" s="19" t="s">
        <v>265</v>
      </c>
      <c r="AE32" s="18">
        <f>iferror(lookup(if(AD32="",F32,AD32),{0,1,10,50,100,1000,10000},{0.0,0.84,0.578,0.578,0.441,0.348,0.348}),"")</f>
        <v>0</v>
      </c>
      <c r="AF32" s="18">
        <f>iferror(if(AD32="",F32,AD32)*AE32,"")</f>
        <v>0</v>
      </c>
      <c r="AG32" s="20" t="s">
        <v>385</v>
      </c>
    </row>
    <row r="33" spans="1:48">
      <c r="A33" s="17" t="s">
        <v>83</v>
      </c>
      <c r="B33" s="17" t="s">
        <v>84</v>
      </c>
      <c r="D33" s="17" t="s">
        <v>85</v>
      </c>
      <c r="E33" s="17" t="s">
        <v>86</v>
      </c>
      <c r="F33" s="17">
        <f>BoardQty*1</f>
        <v>0</v>
      </c>
      <c r="G3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33" s="18">
        <f>iferror(F33*G33,"")</f>
        <v>0</v>
      </c>
      <c r="N33" s="17">
        <v>186</v>
      </c>
      <c r="P33" s="18">
        <f>iferror(lookup(if(O33="",F33,O33),{0,1,60,120,480,960},{0.0,8.12,6.767,6.42867,5.4136,4.7369}),"")</f>
        <v>0</v>
      </c>
      <c r="Q33" s="18">
        <f>iferror(if(O33="",F33,O33)*P33,"")</f>
        <v>0</v>
      </c>
      <c r="R33" s="20" t="s">
        <v>279</v>
      </c>
      <c r="S33" s="19" t="s">
        <v>265</v>
      </c>
      <c r="U33" s="18">
        <f>iferror(USD_GBP*lookup(if(T33="",F33,T33),{0,1,5,10,25,50},{0.0,9.2,7.92,7.33,6.82,6.18}),"")</f>
        <v>0</v>
      </c>
      <c r="V33" s="18">
        <f>iferror(if(T33="",F33,T33)*U33,"")</f>
        <v>0</v>
      </c>
      <c r="W33" s="20" t="s">
        <v>335</v>
      </c>
      <c r="AC33" s="17">
        <v>606</v>
      </c>
      <c r="AE33" s="18">
        <f>iferror(lookup(if(AD33="",F33,AD33),{0,1,10,50,100,1000,10000},{0.0,8.04,7.71,7.71,6.36,4.68,4.68}),"")</f>
        <v>0</v>
      </c>
      <c r="AF33" s="18">
        <f>iferror(if(AD33="",F33,AD33)*AE33,"")</f>
        <v>0</v>
      </c>
      <c r="AG33" s="20" t="s">
        <v>387</v>
      </c>
      <c r="AH33" s="19" t="s">
        <v>265</v>
      </c>
      <c r="AJ33" s="18">
        <f>iferror(lookup(if(AI33="",F33,AI33),{0,1,60,100,500},{0.0,7.21,7.21,5.87,4.46}),"")</f>
        <v>0</v>
      </c>
      <c r="AK33" s="18">
        <f>iferror(if(AI33="",F33,AI33)*AJ33,"")</f>
        <v>0</v>
      </c>
      <c r="AL33" s="20" t="s">
        <v>440</v>
      </c>
      <c r="AM33" s="17">
        <v>32</v>
      </c>
      <c r="AO33" s="18">
        <f>iferror(USD_GBP*lookup(if(AN33="",F33,AN33),{0,1,60},{0.0,4.007,4.007}),"")</f>
        <v>0</v>
      </c>
      <c r="AP33" s="18">
        <f>iferror(if(AN33="",F33,AN33)*AO33,"")</f>
        <v>0</v>
      </c>
      <c r="AQ33" s="20" t="s">
        <v>474</v>
      </c>
    </row>
    <row r="34" spans="1:48">
      <c r="A34" s="17" t="s">
        <v>87</v>
      </c>
      <c r="B34" s="17" t="s">
        <v>88</v>
      </c>
      <c r="D34" s="17" t="s">
        <v>89</v>
      </c>
      <c r="E34" s="17" t="s">
        <v>90</v>
      </c>
      <c r="F34" s="17">
        <f>BoardQty*2</f>
        <v>0</v>
      </c>
      <c r="G3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34" s="18">
        <f>iferror(F34*G34,"")</f>
        <v>0</v>
      </c>
      <c r="N34" s="17">
        <v>33600</v>
      </c>
      <c r="P34" s="18">
        <f>iferror(lookup(if(O34="",F34,O34),{0,1,10,25,100,500,1000,3000,6000,15000,30000,75000},{0.0,0.2,0.181,0.1724,0.0985,0.06064,0.04134,0.03514,0.03169,0.02756,0.0248,0.02205}),"")</f>
        <v>0</v>
      </c>
      <c r="Q34" s="18">
        <f>iferror(if(O34="",F34,O34)*P34,"")</f>
        <v>0</v>
      </c>
      <c r="R34" s="20" t="s">
        <v>280</v>
      </c>
      <c r="S34" s="17">
        <v>11194</v>
      </c>
      <c r="U34" s="18">
        <f>iferror(USD_GBP*lookup(if(T34="",F34,T34),{0,1,5,10,100,150,500,1000},{0.0,0.24,0.24,0.164,0.087,0.087,0.0633,0.033}),"")</f>
        <v>0</v>
      </c>
      <c r="V34" s="18">
        <f>iferror(if(T34="",F34,T34)*U34,"")</f>
        <v>0</v>
      </c>
      <c r="W34" s="20" t="s">
        <v>336</v>
      </c>
      <c r="X34" s="17">
        <v>40480</v>
      </c>
      <c r="Z34" s="18">
        <f>iferror(lookup(if(Y34="",F34,Y34),{0,1,20,200,600,2000,10000,20000},{0.0,0.0232,0.0232,0.0178,0.0168,0.0158,0.0154,0.0152}),"")</f>
        <v>0</v>
      </c>
      <c r="AA34" s="18">
        <f>iferror(if(Y34="",F34,Y34)*Z34,"")</f>
        <v>0</v>
      </c>
      <c r="AB34" s="20" t="s">
        <v>368</v>
      </c>
      <c r="AC34" s="17">
        <v>5128</v>
      </c>
      <c r="AE34" s="18">
        <f>iferror(lookup(if(AD34="",F34,AD34),{0,1,10,50,100,1000,10000},{0.0,0.19,0.182,0.182,0.099,0.042,0.027}),"")</f>
        <v>0</v>
      </c>
      <c r="AF34" s="18">
        <f>iferror(if(AD34="",F34,AD34)*AE34,"")</f>
        <v>0</v>
      </c>
      <c r="AG34" s="20" t="s">
        <v>388</v>
      </c>
      <c r="AH34" s="17">
        <v>3275</v>
      </c>
      <c r="AJ34" s="18">
        <f>iferror(lookup(if(AI34="",F34,AI34),{0,1,10,25,50,100,250,500,1000,3000,6000,12000,18000,30000},{0.0,0.01,0.01,0.01,0.01,0.01,0.01,0.01,0.01,0.014,0.013,0.013,0.012,0.012}),"")</f>
        <v>0</v>
      </c>
      <c r="AK34" s="18">
        <f>iferror(if(AI34="",F34,AI34)*AJ34,"")</f>
        <v>0</v>
      </c>
      <c r="AL34" s="20" t="s">
        <v>441</v>
      </c>
      <c r="AM34" s="17">
        <v>22500</v>
      </c>
      <c r="AO34" s="18">
        <f>iferror(USD_GBP*lookup(if(AN34="",F34,AN34),{0,1,100,500,1000,2000,4000},{0.0,0.057,0.057,0.054,0.043,0.041,0.029}),"")</f>
        <v>0</v>
      </c>
      <c r="AP34" s="18">
        <f>iferror(if(AN34="",F34,AN34)*AO34,"")</f>
        <v>0</v>
      </c>
      <c r="AQ34" s="20" t="s">
        <v>475</v>
      </c>
      <c r="AR34" s="17">
        <v>1610</v>
      </c>
      <c r="AT34" s="18">
        <f>iferror(USD_GBP*lookup(if(AS34="",F34,AS34),{0,1,20,100,500,3000,12000},{0.0,0.03032,0.03032,0.01455,0.01308,0.01161,0.0104}),"")</f>
        <v>0</v>
      </c>
      <c r="AU34" s="18">
        <f>iferror(if(AS34="",F34,AS34)*AT34,"")</f>
        <v>0</v>
      </c>
      <c r="AV34" s="20" t="s">
        <v>493</v>
      </c>
    </row>
    <row r="35" spans="1:48">
      <c r="A35" s="17" t="s">
        <v>91</v>
      </c>
      <c r="B35" s="17" t="s">
        <v>92</v>
      </c>
      <c r="D35" s="17" t="s">
        <v>93</v>
      </c>
      <c r="E35" s="17" t="s">
        <v>94</v>
      </c>
      <c r="F35" s="17">
        <f>BoardQty*36</f>
        <v>0</v>
      </c>
      <c r="G3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35" s="18">
        <f>iferror(F35*G35,"")</f>
        <v>0</v>
      </c>
      <c r="N35" s="17">
        <v>1506771</v>
      </c>
      <c r="P35" s="18">
        <f>iferror(lookup(if(O35="",F35,O35),{0,1,10,25,50,100,250,500,1000,5000,10000,25000,50000},{0.0,0.1,0.018,0.0128,0.0098,0.0073,0.00552,0.00442,0.00326,0.00234,0.00203,0.00178,0.00167}),"")</f>
        <v>0</v>
      </c>
      <c r="Q35" s="18">
        <f>iferror(if(O35="",F35,O35)*P35,"")</f>
        <v>0</v>
      </c>
      <c r="R35" s="20" t="s">
        <v>281</v>
      </c>
      <c r="S35" s="17">
        <v>108676</v>
      </c>
      <c r="U35" s="18">
        <f>iferror(USD_GBP*lookup(if(T35="",F35,T35),{0,1,10,100,150,500,1000,2500,5000,25000},{0.0,0.0094,0.0094,0.0077,0.0077,0.0064,0.0054,0.0047,0.0034,0.0027}),"")</f>
        <v>0</v>
      </c>
      <c r="V35" s="18">
        <f>iferror(if(T35="",F35,T35)*U35,"")</f>
        <v>0</v>
      </c>
      <c r="W35" s="20" t="s">
        <v>337</v>
      </c>
      <c r="AC35" s="19" t="s">
        <v>265</v>
      </c>
      <c r="AE35" s="18">
        <f>iferror(lookup(if(AD35="",F35,AD35),{0,1,10,50,100,1000,10000},{0.0,0.1,0.01,0.01,0.004,0.003,0.002}),"")</f>
        <v>0</v>
      </c>
      <c r="AF35" s="18">
        <f>iferror(if(AD35="",F35,AD35)*AE35,"")</f>
        <v>0</v>
      </c>
      <c r="AG35" s="20" t="s">
        <v>389</v>
      </c>
      <c r="AH35" s="17">
        <v>95107</v>
      </c>
      <c r="AJ35" s="18">
        <f>iferror(lookup(if(AI35="",F35,AI35),{0,1,10,25,50,100,5000},{0.0,0.1,0.01,0.008,0.006,0.004,0.002}),"")</f>
        <v>0</v>
      </c>
      <c r="AK35" s="18">
        <f>iferror(if(AI35="",F35,AI35)*AJ35,"")</f>
        <v>0</v>
      </c>
      <c r="AL35" s="20" t="s">
        <v>442</v>
      </c>
      <c r="AR35" s="19" t="s">
        <v>265</v>
      </c>
      <c r="AT35" s="18">
        <f>iferror(USD_GBP*lookup(if(AS35="",F35,AS35),{0,1,100,1000,5000,15000},{0.0,0.01559,0.01559,0.00277,0.0012,0.0011}),"")</f>
        <v>0</v>
      </c>
      <c r="AU35" s="18">
        <f>iferror(if(AS35="",F35,AS35)*AT35,"")</f>
        <v>0</v>
      </c>
      <c r="AV35" s="20" t="s">
        <v>494</v>
      </c>
    </row>
    <row r="36" spans="1:48">
      <c r="A36" s="17" t="s">
        <v>95</v>
      </c>
      <c r="B36" s="17" t="s">
        <v>96</v>
      </c>
      <c r="D36" s="17" t="s">
        <v>93</v>
      </c>
      <c r="E36" s="17" t="s">
        <v>97</v>
      </c>
      <c r="F36" s="17">
        <f>BoardQty*16</f>
        <v>0</v>
      </c>
      <c r="G3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36" s="18">
        <f>iferror(F36*G36,"")</f>
        <v>0</v>
      </c>
      <c r="N36" s="17">
        <v>1192528</v>
      </c>
      <c r="P36" s="18">
        <f>iferror(lookup(if(O36="",F36,O36),{0,1,10,100,1000,2500,5000},{0.0,0.1,0.024,0.0097,0.00436,0.00378,0.00312}),"")</f>
        <v>0</v>
      </c>
      <c r="Q36" s="18">
        <f>iferror(if(O36="",F36,O36)*P36,"")</f>
        <v>0</v>
      </c>
      <c r="R36" s="20" t="s">
        <v>282</v>
      </c>
      <c r="S36" s="17">
        <v>441388</v>
      </c>
      <c r="U36" s="18">
        <f>iferror(USD_GBP*lookup(if(T36="",F36,T36),{0,1,10,100,150,500,1000,2500,5000,25000},{0.0,0.0211,0.0211,0.0076,0.0076,0.0063,0.005,0.0044,0.0035,0.003}),"")</f>
        <v>0</v>
      </c>
      <c r="V36" s="18">
        <f>iferror(if(T36="",F36,T36)*U36,"")</f>
        <v>0</v>
      </c>
      <c r="W36" s="20" t="s">
        <v>338</v>
      </c>
      <c r="AC36" s="19" t="s">
        <v>265</v>
      </c>
      <c r="AE36" s="18">
        <f>iferror(lookup(if(AD36="",F36,AD36),{0,1,10,50,100,1000,10000},{0.0,0.1,0.018,0.018,0.007,0.004,0.002}),"")</f>
        <v>0</v>
      </c>
      <c r="AF36" s="18">
        <f>iferror(if(AD36="",F36,AD36)*AE36,"")</f>
        <v>0</v>
      </c>
      <c r="AG36" s="20" t="s">
        <v>390</v>
      </c>
      <c r="AH36" s="17">
        <v>1344</v>
      </c>
      <c r="AJ36" s="18">
        <f>iferror(lookup(if(AI36="",F36,AI36),{0,1,25,50,100,5000},{0.0,0.1,0.018,0.012,0.006,0.003}),"")</f>
        <v>0</v>
      </c>
      <c r="AK36" s="18">
        <f>iferror(if(AI36="",F36,AI36)*AJ36,"")</f>
        <v>0</v>
      </c>
      <c r="AL36" s="20" t="s">
        <v>443</v>
      </c>
      <c r="AM36" s="17">
        <v>300</v>
      </c>
      <c r="AO36" s="18">
        <f>iferror(USD_GBP*lookup(if(AN36="",F36,AN36),{0,1,5000},{0.0,0.003,0.003}),"")</f>
        <v>0</v>
      </c>
      <c r="AP36" s="18">
        <f>iferror(if(AN36="",F36,AN36)*AO36,"")</f>
        <v>0</v>
      </c>
      <c r="AQ36" s="20" t="s">
        <v>476</v>
      </c>
      <c r="AR36" s="17">
        <v>1100</v>
      </c>
      <c r="AT36" s="18">
        <f>iferror(USD_GBP*lookup(if(AS36="",F36,AS36),{0,1,100,1000,5000,15000,50000},{0.0,0.0266,0.0266,0.00958,0.00388,0.00327,0.00279}),"")</f>
        <v>0</v>
      </c>
      <c r="AU36" s="18">
        <f>iferror(if(AS36="",F36,AS36)*AT36,"")</f>
        <v>0</v>
      </c>
      <c r="AV36" s="20" t="s">
        <v>495</v>
      </c>
    </row>
    <row r="37" spans="1:48">
      <c r="A37" s="17" t="s">
        <v>98</v>
      </c>
      <c r="B37" s="17" t="s">
        <v>74</v>
      </c>
      <c r="D37" s="17" t="s">
        <v>11</v>
      </c>
      <c r="E37" s="17" t="s">
        <v>99</v>
      </c>
      <c r="F37" s="17">
        <f>BoardQty*3</f>
        <v>0</v>
      </c>
      <c r="G3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37" s="18">
        <f>iferror(F37*G37,"")</f>
        <v>0</v>
      </c>
      <c r="N37" s="17">
        <v>87696</v>
      </c>
      <c r="P37" s="18">
        <f>iferror(lookup(if(O37="",F37,O37),{0,1,10,50,100,500,1000,4000},{0.0,0.2,0.144,0.082,0.0679,0.04764,0.03944,0.03358}),"")</f>
        <v>0</v>
      </c>
      <c r="Q37" s="18">
        <f>iferror(if(O37="",F37,O37)*P37,"")</f>
        <v>0</v>
      </c>
      <c r="R37" s="20" t="s">
        <v>283</v>
      </c>
      <c r="AC37" s="17">
        <v>5863</v>
      </c>
      <c r="AE37" s="18">
        <f>iferror(lookup(if(AD37="",F37,AD37),{0,1,10,50,100,1000,10000},{0.0,0.21,0.098,0.098,0.066,0.044,0.032}),"")</f>
        <v>0</v>
      </c>
      <c r="AF37" s="18">
        <f>iferror(if(AD37="",F37,AD37)*AE37,"")</f>
        <v>0</v>
      </c>
      <c r="AG37" s="20" t="s">
        <v>391</v>
      </c>
      <c r="AH37" s="19" t="s">
        <v>265</v>
      </c>
      <c r="AJ37" s="18">
        <f>iferror(lookup(if(AI37="",F37,AI37),{0,1,4000,8000,16000,24000,40000},{0.0,0.029,0.029,0.027,0.025,0.023,0.02}),"")</f>
        <v>0</v>
      </c>
      <c r="AK37" s="18">
        <f>iferror(if(AI37="",F37,AI37)*AJ37,"")</f>
        <v>0</v>
      </c>
      <c r="AL37" s="20" t="s">
        <v>444</v>
      </c>
      <c r="AM37" s="17">
        <v>200</v>
      </c>
      <c r="AO37" s="18">
        <f>iferror(USD_GBP*lookup(if(AN37="",F37,AN37),{0,1,100,200,500},{0.0,0.05,0.05,0.045,0.035}),"")</f>
        <v>0</v>
      </c>
      <c r="AP37" s="18">
        <f>iferror(if(AN37="",F37,AN37)*AO37,"")</f>
        <v>0</v>
      </c>
      <c r="AQ37" s="20" t="s">
        <v>477</v>
      </c>
    </row>
    <row r="38" spans="1:48">
      <c r="A38" s="17" t="s">
        <v>100</v>
      </c>
      <c r="B38" s="17" t="s">
        <v>101</v>
      </c>
      <c r="D38" s="17" t="s">
        <v>93</v>
      </c>
      <c r="E38" s="17" t="s">
        <v>102</v>
      </c>
      <c r="F38" s="17">
        <f>BoardQty*7</f>
        <v>0</v>
      </c>
      <c r="G3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38" s="18">
        <f>iferror(F38*G38,"")</f>
        <v>0</v>
      </c>
      <c r="N38" s="17">
        <v>11394393</v>
      </c>
      <c r="P38" s="18">
        <f>iferror(lookup(if(O38="",F38,O38),{0,1,10,100,1000,2500,5000},{0.0,0.1,0.024,0.0097,0.00436,0.00378,0.00312}),"")</f>
        <v>0</v>
      </c>
      <c r="Q38" s="18">
        <f>iferror(if(O38="",F38,O38)*P38,"")</f>
        <v>0</v>
      </c>
      <c r="R38" s="20" t="s">
        <v>284</v>
      </c>
      <c r="S38" s="17">
        <v>1537500</v>
      </c>
      <c r="U38" s="18">
        <f>iferror(USD_GBP*lookup(if(T38="",F38,T38),{0,1,10,100,150,500,1000,2500,5000,10000,25000},{0.0,0.0321,0.0321,0.0123,0.0123,0.0089,0.0054,0.0045,0.0075,0.003,0.0031}),"")</f>
        <v>0</v>
      </c>
      <c r="V38" s="18">
        <f>iferror(if(T38="",F38,T38)*U38,"")</f>
        <v>0</v>
      </c>
      <c r="W38" s="20" t="s">
        <v>339</v>
      </c>
      <c r="AC38" s="19" t="s">
        <v>265</v>
      </c>
      <c r="AE38" s="18">
        <f>iferror(lookup(if(AD38="",F38,AD38),{0,1,10,50,100,1000,10000},{0.0,0.1,0.023,0.023,0.009,0.005,0.003}),"")</f>
        <v>0</v>
      </c>
      <c r="AF38" s="18">
        <f>iferror(if(AD38="",F38,AD38)*AE38,"")</f>
        <v>0</v>
      </c>
      <c r="AG38" s="20" t="s">
        <v>392</v>
      </c>
      <c r="AH38" s="17">
        <v>1547500</v>
      </c>
      <c r="AJ38" s="18">
        <f>iferror(lookup(if(AI38="",F38,AI38),{0,1,10,25,50,100,5000,10000},{0.0,0.1,0.021,0.021,0.015,0.009,0.003,0.002}),"")</f>
        <v>0</v>
      </c>
      <c r="AK38" s="18">
        <f>iferror(if(AI38="",F38,AI38)*AJ38,"")</f>
        <v>0</v>
      </c>
      <c r="AL38" s="20" t="s">
        <v>445</v>
      </c>
      <c r="AR38" s="17">
        <v>271900</v>
      </c>
      <c r="AT38" s="18">
        <f>iferror(USD_GBP*lookup(if(AS38="",F38,AS38),{0,1,100,1000,5000,15000,50000},{0.0,0.0205,0.0205,0.00473,0.00179,0.0017,0.00164}),"")</f>
        <v>0</v>
      </c>
      <c r="AU38" s="18">
        <f>iferror(if(AS38="",F38,AS38)*AT38,"")</f>
        <v>0</v>
      </c>
      <c r="AV38" s="20" t="s">
        <v>496</v>
      </c>
    </row>
    <row r="39" spans="1:48">
      <c r="A39" s="17" t="s">
        <v>103</v>
      </c>
      <c r="B39" s="17" t="s">
        <v>104</v>
      </c>
      <c r="D39" s="17" t="s">
        <v>93</v>
      </c>
      <c r="E39" s="17" t="s">
        <v>105</v>
      </c>
      <c r="F39" s="17">
        <f>BoardQty*8</f>
        <v>0</v>
      </c>
      <c r="G3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39" s="18">
        <f>iferror(F39*G39,"")</f>
        <v>0</v>
      </c>
      <c r="N39" s="17">
        <v>1075203</v>
      </c>
      <c r="P39" s="18">
        <f>iferror(lookup(if(O39="",F39,O39),{0,1,10,100,1000,2500,5000},{0.0,0.1,0.024,0.0097,0.00436,0.00378,0.00312}),"")</f>
        <v>0</v>
      </c>
      <c r="Q39" s="18">
        <f>iferror(if(O39="",F39,O39)*P39,"")</f>
        <v>0</v>
      </c>
      <c r="R39" s="20" t="s">
        <v>285</v>
      </c>
      <c r="S39" s="17">
        <v>6039000</v>
      </c>
      <c r="U39" s="18">
        <f>iferror(USD_GBP*lookup(if(T39="",F39,T39),{0,1,10,100,150,500,1000,2500,5000,25000},{0.0,0.0187,0.0187,0.0076,0.0076,0.0067,0.0054,0.0047,0.005,0.0031}),"")</f>
        <v>0</v>
      </c>
      <c r="V39" s="18">
        <f>iferror(if(T39="",F39,T39)*U39,"")</f>
        <v>0</v>
      </c>
      <c r="W39" s="20" t="s">
        <v>340</v>
      </c>
      <c r="AC39" s="19" t="s">
        <v>265</v>
      </c>
      <c r="AE39" s="18">
        <f>iferror(lookup(if(AD39="",F39,AD39),{0,1,10,50,100,1000,10000},{0.0,0.1,0.018,0.018,0.007,0.004,0.002}),"")</f>
        <v>0</v>
      </c>
      <c r="AF39" s="18">
        <f>iferror(if(AD39="",F39,AD39)*AE39,"")</f>
        <v>0</v>
      </c>
      <c r="AG39" s="20" t="s">
        <v>393</v>
      </c>
      <c r="AH39" s="17">
        <v>6054000</v>
      </c>
      <c r="AJ39" s="18">
        <f>iferror(lookup(if(AI39="",F39,AI39),{0,1,10,25,50,100,5000},{0.0,0.1,0.1,0.018,0.012,0.006,0.003}),"")</f>
        <v>0</v>
      </c>
      <c r="AK39" s="18">
        <f>iferror(if(AI39="",F39,AI39)*AJ39,"")</f>
        <v>0</v>
      </c>
      <c r="AL39" s="20" t="s">
        <v>446</v>
      </c>
      <c r="AR39" s="17">
        <v>109900</v>
      </c>
      <c r="AT39" s="18">
        <f>iferror(USD_GBP*lookup(if(AS39="",F39,AS39),{0,1,100,1000,5000,15000,50000},{0.0,0.01144,0.01144,0.0024,0.00097,0.00091,0.00088}),"")</f>
        <v>0</v>
      </c>
      <c r="AU39" s="18">
        <f>iferror(if(AS39="",F39,AS39)*AT39,"")</f>
        <v>0</v>
      </c>
      <c r="AV39" s="20" t="s">
        <v>497</v>
      </c>
    </row>
    <row r="40" spans="1:48">
      <c r="A40" s="17" t="s">
        <v>106</v>
      </c>
      <c r="B40" s="17" t="s">
        <v>107</v>
      </c>
      <c r="D40" s="17" t="s">
        <v>108</v>
      </c>
      <c r="E40" s="17" t="s">
        <v>109</v>
      </c>
      <c r="F40" s="17">
        <f>BoardQty*12</f>
        <v>0</v>
      </c>
      <c r="G4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40" s="18">
        <f>iferror(F40*G40,"")</f>
        <v>0</v>
      </c>
      <c r="N40" s="17">
        <v>16</v>
      </c>
      <c r="P40" s="18">
        <f>iferror(lookup(if(O40="",F40,O40),{0,1,10,100,1000,2000},{0.0,0.66,0.489,0.2846,0.15962,0.1564}),"")</f>
        <v>0</v>
      </c>
      <c r="Q40" s="18">
        <f>iferror(if(O40="",F40,O40)*P40,"")</f>
        <v>0</v>
      </c>
      <c r="R40" s="20" t="s">
        <v>286</v>
      </c>
      <c r="AC40" s="17">
        <v>1396</v>
      </c>
      <c r="AE40" s="18">
        <f>iferror(lookup(if(AD40="",F40,AD40),{0,1,10,50,100,1000,10000},{0.0,0.57,0.42,0.415,0.328,0.167,0.15}),"")</f>
        <v>0</v>
      </c>
      <c r="AF40" s="18">
        <f>iferror(if(AD40="",F40,AD40)*AE40,"")</f>
        <v>0</v>
      </c>
      <c r="AG40" s="20" t="s">
        <v>394</v>
      </c>
    </row>
    <row r="41" spans="1:48">
      <c r="A41" s="17" t="s">
        <v>110</v>
      </c>
      <c r="B41" s="17" t="s">
        <v>111</v>
      </c>
      <c r="D41" s="17" t="s">
        <v>93</v>
      </c>
      <c r="E41" s="17" t="s">
        <v>112</v>
      </c>
      <c r="F41" s="17">
        <f>BoardQty*6</f>
        <v>0</v>
      </c>
      <c r="G4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41" s="18">
        <f>iferror(F41*G41,"")</f>
        <v>0</v>
      </c>
      <c r="N41" s="17">
        <v>947541</v>
      </c>
      <c r="P41" s="18">
        <f>iferror(lookup(if(O41="",F41,O41),{0,1,10,100,1000,2500,5000},{0.0,0.1,0.024,0.0097,0.00436,0.00378,0.00312}),"")</f>
        <v>0</v>
      </c>
      <c r="Q41" s="18">
        <f>iferror(if(O41="",F41,O41)*P41,"")</f>
        <v>0</v>
      </c>
      <c r="R41" s="20" t="s">
        <v>287</v>
      </c>
      <c r="S41" s="17">
        <v>167990</v>
      </c>
      <c r="U41" s="18">
        <f>iferror(USD_GBP*lookup(if(T41="",F41,T41),{0,1,10,100,150,500,1000,2500,5000,25000},{0.0,0.0132,0.0132,0.0122,0.0122,0.0095,0.0077,0.0063,0.0053,0.0036}),"")</f>
        <v>0</v>
      </c>
      <c r="V41" s="18">
        <f>iferror(if(T41="",F41,T41)*U41,"")</f>
        <v>0</v>
      </c>
      <c r="W41" s="20" t="s">
        <v>341</v>
      </c>
      <c r="AC41" s="17">
        <v>154537</v>
      </c>
      <c r="AE41" s="18">
        <f>iferror(lookup(if(AD41="",F41,AD41),{0,1,10,50,100,1000,10000},{0.0,0.1,0.018,0.018,0.006,0.005,0.003}),"")</f>
        <v>0</v>
      </c>
      <c r="AF41" s="18">
        <f>iferror(if(AD41="",F41,AD41)*AE41,"")</f>
        <v>0</v>
      </c>
      <c r="AG41" s="20" t="s">
        <v>395</v>
      </c>
      <c r="AH41" s="17">
        <v>5010</v>
      </c>
      <c r="AJ41" s="18">
        <f>iferror(lookup(if(AI41="",F41,AI41),{0,1,10,25,50,100},{0.0,0.019,0.019,0.015,0.011,0.007}),"")</f>
        <v>0</v>
      </c>
      <c r="AK41" s="18">
        <f>iferror(if(AI41="",F41,AI41)*AJ41,"")</f>
        <v>0</v>
      </c>
      <c r="AL41" s="20" t="s">
        <v>447</v>
      </c>
      <c r="AM41" s="17">
        <v>2200</v>
      </c>
      <c r="AO41" s="18">
        <f>iferror(USD_GBP*lookup(if(AN41="",F41,AN41),{0,1,5000},{0.0,0.005,0.005}),"")</f>
        <v>0</v>
      </c>
      <c r="AP41" s="18">
        <f>iferror(if(AN41="",F41,AN41)*AO41,"")</f>
        <v>0</v>
      </c>
      <c r="AQ41" s="20" t="s">
        <v>478</v>
      </c>
      <c r="AR41" s="19" t="s">
        <v>265</v>
      </c>
      <c r="AT41" s="18">
        <f>iferror(USD_GBP*lookup(if(AS41="",F41,AS41),{0,1,100,1000,5000,15000},{0.0,0.0266,0.0266,0.00958,0.00388,0.00327}),"")</f>
        <v>0</v>
      </c>
      <c r="AU41" s="18">
        <f>iferror(if(AS41="",F41,AS41)*AT41,"")</f>
        <v>0</v>
      </c>
      <c r="AV41" s="20" t="s">
        <v>498</v>
      </c>
    </row>
    <row r="42" spans="1:48">
      <c r="A42" s="17" t="s">
        <v>113</v>
      </c>
      <c r="B42" s="17" t="s">
        <v>31</v>
      </c>
      <c r="D42" s="17" t="s">
        <v>93</v>
      </c>
      <c r="F42" s="17">
        <f>BoardQty*7</f>
        <v>0</v>
      </c>
      <c r="G4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42" s="18">
        <f>iferror(F42*G42,"")</f>
        <v>0</v>
      </c>
    </row>
    <row r="43" spans="1:48">
      <c r="A43" s="17" t="s">
        <v>114</v>
      </c>
      <c r="B43" s="17" t="s">
        <v>115</v>
      </c>
      <c r="D43" s="17" t="s">
        <v>93</v>
      </c>
      <c r="E43" s="17" t="s">
        <v>116</v>
      </c>
      <c r="F43" s="17">
        <f>BoardQty*6</f>
        <v>0</v>
      </c>
      <c r="G4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43" s="18">
        <f>iferror(F43*G43,"")</f>
        <v>0</v>
      </c>
      <c r="N43" s="17">
        <v>122067</v>
      </c>
      <c r="P43" s="18">
        <f>iferror(lookup(if(O43="",F43,O43),{0,1,10,100,1000,2500,5000},{0.0,0.1,0.024,0.0097,0.00436,0.00378,0.00312}),"")</f>
        <v>0</v>
      </c>
      <c r="Q43" s="18">
        <f>iferror(if(O43="",F43,O43)*P43,"")</f>
        <v>0</v>
      </c>
      <c r="R43" s="20" t="s">
        <v>288</v>
      </c>
      <c r="AC43" s="19" t="s">
        <v>265</v>
      </c>
      <c r="AE43" s="18">
        <f>iferror(lookup(if(AD43="",F43,AD43),{0,1,10,50,100,1000,10000},{0.0,0.1,0.018,0.018,0.006,0.004,0.002}),"")</f>
        <v>0</v>
      </c>
      <c r="AF43" s="18">
        <f>iferror(if(AD43="",F43,AD43)*AE43,"")</f>
        <v>0</v>
      </c>
      <c r="AG43" s="20" t="s">
        <v>396</v>
      </c>
    </row>
    <row r="44" spans="1:48">
      <c r="A44" s="17" t="s">
        <v>117</v>
      </c>
      <c r="B44" s="17" t="s">
        <v>118</v>
      </c>
      <c r="D44" s="17" t="s">
        <v>93</v>
      </c>
      <c r="E44" s="17" t="s">
        <v>119</v>
      </c>
      <c r="F44" s="17">
        <f>BoardQty*6</f>
        <v>0</v>
      </c>
      <c r="G4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44" s="18">
        <f>iferror(F44*G44,"")</f>
        <v>0</v>
      </c>
      <c r="N44" s="17">
        <v>36513</v>
      </c>
      <c r="P44" s="18">
        <f>iferror(lookup(if(O44="",F44,O44),{0,1,10,100,1000,2500,5000},{0.0,0.1,0.024,0.0097,0.00436,0.00378,0.00312}),"")</f>
        <v>0</v>
      </c>
      <c r="Q44" s="18">
        <f>iferror(if(O44="",F44,O44)*P44,"")</f>
        <v>0</v>
      </c>
      <c r="R44" s="20" t="s">
        <v>289</v>
      </c>
      <c r="AC44" s="19" t="s">
        <v>265</v>
      </c>
      <c r="AE44" s="18">
        <f>iferror(lookup(if(AD44="",F44,AD44),{0,1,10,50,100,1000,10000},{0.0,0.1,0.018,0.018,0.006,0.005,0.003}),"")</f>
        <v>0</v>
      </c>
      <c r="AF44" s="18">
        <f>iferror(if(AD44="",F44,AD44)*AE44,"")</f>
        <v>0</v>
      </c>
      <c r="AG44" s="20" t="s">
        <v>397</v>
      </c>
      <c r="AR44" s="19" t="s">
        <v>265</v>
      </c>
      <c r="AT44" s="18">
        <f>iferror(USD_GBP*lookup(if(AS44="",F44,AS44),{0,1,100,1000,5000,15000},{0.0,0.0266,0.0266,0.00958,0.00388,0.00327}),"")</f>
        <v>0</v>
      </c>
      <c r="AU44" s="18">
        <f>iferror(if(AS44="",F44,AS44)*AT44,"")</f>
        <v>0</v>
      </c>
      <c r="AV44" s="20" t="s">
        <v>499</v>
      </c>
    </row>
    <row r="45" spans="1:48">
      <c r="A45" s="17" t="s">
        <v>120</v>
      </c>
      <c r="B45" s="17" t="s">
        <v>121</v>
      </c>
      <c r="D45" s="17" t="s">
        <v>93</v>
      </c>
      <c r="E45" s="17" t="s">
        <v>122</v>
      </c>
      <c r="F45" s="17">
        <f>BoardQty*6</f>
        <v>0</v>
      </c>
      <c r="G4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45" s="18">
        <f>iferror(F45*G45,"")</f>
        <v>0</v>
      </c>
      <c r="N45" s="17">
        <v>369845</v>
      </c>
      <c r="P45" s="18">
        <f>iferror(lookup(if(O45="",F45,O45),{0,1,10,100,1000,2500,5000},{0.0,0.1,0.024,0.0097,0.00436,0.00378,0.00312}),"")</f>
        <v>0</v>
      </c>
      <c r="Q45" s="18">
        <f>iferror(if(O45="",F45,O45)*P45,"")</f>
        <v>0</v>
      </c>
      <c r="R45" s="20" t="s">
        <v>290</v>
      </c>
      <c r="S45" s="17">
        <v>36670</v>
      </c>
      <c r="U45" s="18">
        <f>iferror(USD_GBP*lookup(if(T45="",F45,T45),{0,1,10,100,150,500,1000,2500,5000,25000},{0.0,0.0131,0.0131,0.0121,0.0121,0.0095,0.0076,0.0062,0.0053,0.0036}),"")</f>
        <v>0</v>
      </c>
      <c r="V45" s="18">
        <f>iferror(if(T45="",F45,T45)*U45,"")</f>
        <v>0</v>
      </c>
      <c r="W45" s="20" t="s">
        <v>342</v>
      </c>
      <c r="AC45" s="17">
        <v>27122</v>
      </c>
      <c r="AE45" s="18">
        <f>iferror(lookup(if(AD45="",F45,AD45),{0,1,10,50,100,1000,10000},{0.0,0.1,0.018,0.018,0.006,0.005,0.003}),"")</f>
        <v>0</v>
      </c>
      <c r="AF45" s="18">
        <f>iferror(if(AD45="",F45,AD45)*AE45,"")</f>
        <v>0</v>
      </c>
      <c r="AG45" s="20" t="s">
        <v>398</v>
      </c>
      <c r="AH45" s="19" t="s">
        <v>265</v>
      </c>
      <c r="AJ45" s="18">
        <f>iferror(lookup(if(AI45="",F45,AI45),{0,1,10,25,50,100},{0.0,0.019,0.019,0.015,0.011,0.007}),"")</f>
        <v>0</v>
      </c>
      <c r="AK45" s="18">
        <f>iferror(if(AI45="",F45,AI45)*AJ45,"")</f>
        <v>0</v>
      </c>
      <c r="AL45" s="20" t="s">
        <v>448</v>
      </c>
      <c r="AR45" s="19" t="s">
        <v>265</v>
      </c>
      <c r="AT45" s="18">
        <f>iferror(USD_GBP*lookup(if(AS45="",F45,AS45),{0,1,100,1000,5000,15000},{0.0,0.0266,0.0266,0.00958,0.00388,0.00327}),"")</f>
        <v>0</v>
      </c>
      <c r="AU45" s="18">
        <f>iferror(if(AS45="",F45,AS45)*AT45,"")</f>
        <v>0</v>
      </c>
      <c r="AV45" s="20" t="s">
        <v>500</v>
      </c>
    </row>
    <row r="46" spans="1:48">
      <c r="A46" s="17" t="s">
        <v>123</v>
      </c>
      <c r="B46" s="17" t="s">
        <v>124</v>
      </c>
      <c r="D46" s="17" t="s">
        <v>93</v>
      </c>
      <c r="E46" s="17" t="s">
        <v>125</v>
      </c>
      <c r="F46" s="17">
        <f>BoardQty*6</f>
        <v>0</v>
      </c>
      <c r="G4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46" s="18">
        <f>iferror(F46*G46,"")</f>
        <v>0</v>
      </c>
      <c r="N46" s="19" t="s">
        <v>265</v>
      </c>
      <c r="P46" s="18">
        <f>iferror(lookup(if(O46="",F46,O46),{0,1,10,100,1000,2500,5000},{0.0,0.1,0.024,0.0097,0.00436,0.00378,0.00312}),"")</f>
        <v>0</v>
      </c>
      <c r="Q46" s="18">
        <f>iferror(if(O46="",F46,O46)*P46,"")</f>
        <v>0</v>
      </c>
      <c r="R46" s="20" t="s">
        <v>291</v>
      </c>
      <c r="S46" s="17">
        <v>11500</v>
      </c>
      <c r="U46" s="18">
        <f>iferror(USD_GBP*lookup(if(T46="",F46,T46),{0,1,10,100,150,500,1000,2500,5000,25000},{0.0,0.0131,0.0131,0.0121,0.0121,0.0095,0.0076,0.0062,0.0036,0.0025}),"")</f>
        <v>0</v>
      </c>
      <c r="V46" s="18">
        <f>iferror(if(T46="",F46,T46)*U46,"")</f>
        <v>0</v>
      </c>
      <c r="W46" s="20" t="s">
        <v>343</v>
      </c>
      <c r="AC46" s="19" t="s">
        <v>265</v>
      </c>
      <c r="AE46" s="18">
        <f>iferror(lookup(if(AD46="",F46,AD46),{0,1,10,50,100,1000,10000},{0.0,0.1,0.018,0.018,0.007,0.004,0.002}),"")</f>
        <v>0</v>
      </c>
      <c r="AF46" s="18">
        <f>iferror(if(AD46="",F46,AD46)*AE46,"")</f>
        <v>0</v>
      </c>
      <c r="AG46" s="20" t="s">
        <v>399</v>
      </c>
      <c r="AH46" s="19" t="s">
        <v>265</v>
      </c>
      <c r="AJ46" s="18">
        <f>iferror(lookup(if(AI46="",F46,AI46),{0,1,10,25,50,100},{0.0,0.019,0.019,0.015,0.011,0.007}),"")</f>
        <v>0</v>
      </c>
      <c r="AK46" s="18">
        <f>iferror(if(AI46="",F46,AI46)*AJ46,"")</f>
        <v>0</v>
      </c>
      <c r="AL46" s="20" t="s">
        <v>449</v>
      </c>
    </row>
    <row r="47" spans="1:48">
      <c r="A47" s="17" t="s">
        <v>126</v>
      </c>
      <c r="B47" s="17" t="s">
        <v>127</v>
      </c>
      <c r="D47" s="17" t="s">
        <v>93</v>
      </c>
      <c r="E47" s="17" t="s">
        <v>128</v>
      </c>
      <c r="F47" s="17">
        <f>BoardQty*15</f>
        <v>0</v>
      </c>
      <c r="G4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47" s="18">
        <f>iferror(F47*G47,"")</f>
        <v>0</v>
      </c>
      <c r="N47" s="17">
        <v>1564364</v>
      </c>
      <c r="P47" s="18">
        <f>iferror(lookup(if(O47="",F47,O47),{0,1,10,100,1000,2500,5000},{0.0,0.1,0.024,0.0097,0.00436,0.00378,0.00312}),"")</f>
        <v>0</v>
      </c>
      <c r="Q47" s="18">
        <f>iferror(if(O47="",F47,O47)*P47,"")</f>
        <v>0</v>
      </c>
      <c r="R47" s="20" t="s">
        <v>292</v>
      </c>
      <c r="S47" s="17">
        <v>374124</v>
      </c>
      <c r="U47" s="18">
        <f>iferror(USD_GBP*lookup(if(T47="",F47,T47),{0,1,10,100,150,500,1000,2500,5000,25000},{0.0,0.0187,0.0187,0.0067,0.0067,0.0057,0.0046,0.0041,0.0037,0.0026}),"")</f>
        <v>0</v>
      </c>
      <c r="V47" s="18">
        <f>iferror(if(T47="",F47,T47)*U47,"")</f>
        <v>0</v>
      </c>
      <c r="W47" s="20" t="s">
        <v>344</v>
      </c>
      <c r="AC47" s="19" t="s">
        <v>265</v>
      </c>
      <c r="AE47" s="18">
        <f>iferror(lookup(if(AD47="",F47,AD47),{0,1,10,50,100,1000,10000},{0.0,0.1,0.018,0.018,0.007,0.004,0.002}),"")</f>
        <v>0</v>
      </c>
      <c r="AF47" s="18">
        <f>iferror(if(AD47="",F47,AD47)*AE47,"")</f>
        <v>0</v>
      </c>
      <c r="AG47" s="20" t="s">
        <v>400</v>
      </c>
      <c r="AH47" s="17">
        <v>25000</v>
      </c>
      <c r="AJ47" s="18">
        <f>iferror(lookup(if(AI47="",F47,AI47),{0,1,25,50,100,5000},{0.0,0.1,0.018,0.012,0.006,0.003}),"")</f>
        <v>0</v>
      </c>
      <c r="AK47" s="18">
        <f>iferror(if(AI47="",F47,AI47)*AJ47,"")</f>
        <v>0</v>
      </c>
      <c r="AL47" s="20" t="s">
        <v>450</v>
      </c>
      <c r="AM47" s="17">
        <v>4500</v>
      </c>
      <c r="AO47" s="18">
        <f>iferror(USD_GBP*lookup(if(AN47="",F47,AN47),{0,1,5000},{0.0,0.003,0.003}),"")</f>
        <v>0</v>
      </c>
      <c r="AP47" s="18">
        <f>iferror(if(AN47="",F47,AN47)*AO47,"")</f>
        <v>0</v>
      </c>
      <c r="AQ47" s="20" t="s">
        <v>479</v>
      </c>
      <c r="AR47" s="17">
        <v>33300</v>
      </c>
      <c r="AT47" s="18">
        <f>iferror(USD_GBP*lookup(if(AS47="",F47,AS47),{0,1,100,1000,5000,15000,50000},{0.0,0.0266,0.0266,0.00958,0.00388,0.00327,0.00279}),"")</f>
        <v>0</v>
      </c>
      <c r="AU47" s="18">
        <f>iferror(if(AS47="",F47,AS47)*AT47,"")</f>
        <v>0</v>
      </c>
      <c r="AV47" s="20" t="s">
        <v>501</v>
      </c>
    </row>
    <row r="48" spans="1:48">
      <c r="A48" s="17" t="s">
        <v>129</v>
      </c>
      <c r="B48" s="17" t="s">
        <v>130</v>
      </c>
      <c r="D48" s="17" t="s">
        <v>93</v>
      </c>
      <c r="E48" s="17" t="s">
        <v>131</v>
      </c>
      <c r="F48" s="17">
        <f>BoardQty*23</f>
        <v>0</v>
      </c>
      <c r="G4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48" s="18">
        <f>iferror(F48*G48,"")</f>
        <v>0</v>
      </c>
      <c r="N48" s="17">
        <v>21175943</v>
      </c>
      <c r="P48" s="18">
        <f>iferror(lookup(if(O48="",F48,O48),{0,1,10,100,1000,2500,5000},{0.0,0.1,0.024,0.0097,0.00436,0.00378,0.00312}),"")</f>
        <v>0</v>
      </c>
      <c r="Q48" s="18">
        <f>iferror(if(O48="",F48,O48)*P48,"")</f>
        <v>0</v>
      </c>
      <c r="R48" s="20" t="s">
        <v>293</v>
      </c>
      <c r="S48" s="17">
        <v>35259940</v>
      </c>
      <c r="U48" s="18">
        <f>iferror(USD_GBP*lookup(if(T48="",F48,T48),{0,1,10,100,150,500,1000,2500,5000,25000},{0.0,0.021,0.021,0.0075,0.0075,0.0063,0.0051,0.0045,0.0073,0.0036}),"")</f>
        <v>0</v>
      </c>
      <c r="V48" s="18">
        <f>iferror(if(T48="",F48,T48)*U48,"")</f>
        <v>0</v>
      </c>
      <c r="W48" s="20" t="s">
        <v>345</v>
      </c>
      <c r="AC48" s="19" t="s">
        <v>265</v>
      </c>
      <c r="AE48" s="18">
        <f>iferror(lookup(if(AD48="",F48,AD48),{0,1,10,50,100,1000,10000},{0.0,0.1,0.018,0.018,0.007,0.004,0.002}),"")</f>
        <v>0</v>
      </c>
      <c r="AF48" s="18">
        <f>iferror(if(AD48="",F48,AD48)*AE48,"")</f>
        <v>0</v>
      </c>
      <c r="AG48" s="20" t="s">
        <v>401</v>
      </c>
      <c r="AH48" s="17">
        <v>105000</v>
      </c>
      <c r="AJ48" s="18">
        <f>iferror(lookup(if(AI48="",F48,AI48),{0,1,25,50,100,5000},{0.0,0.1,0.018,0.012,0.006,0.003}),"")</f>
        <v>0</v>
      </c>
      <c r="AK48" s="18">
        <f>iferror(if(AI48="",F48,AI48)*AJ48,"")</f>
        <v>0</v>
      </c>
      <c r="AL48" s="20" t="s">
        <v>451</v>
      </c>
      <c r="AM48" s="17">
        <v>43500</v>
      </c>
      <c r="AO48" s="18">
        <f>iferror(USD_GBP*lookup(if(AN48="",F48,AN48),{0,1,5000},{0.0,0.003,0.003}),"")</f>
        <v>0</v>
      </c>
      <c r="AP48" s="18">
        <f>iferror(if(AN48="",F48,AN48)*AO48,"")</f>
        <v>0</v>
      </c>
      <c r="AQ48" s="20" t="s">
        <v>480</v>
      </c>
      <c r="AR48" s="17">
        <v>563100</v>
      </c>
      <c r="AT48" s="18">
        <f>iferror(USD_GBP*lookup(if(AS48="",F48,AS48),{0,1,100,1000,5000,15000,50000},{0.0,0.0117,0.0117,0.00243,0.00114,0.00107,0.00104}),"")</f>
        <v>0</v>
      </c>
      <c r="AU48" s="18">
        <f>iferror(if(AS48="",F48,AS48)*AT48,"")</f>
        <v>0</v>
      </c>
      <c r="AV48" s="20" t="s">
        <v>502</v>
      </c>
    </row>
    <row r="49" spans="1:48">
      <c r="A49" s="17" t="s">
        <v>132</v>
      </c>
      <c r="B49" s="17" t="s">
        <v>133</v>
      </c>
      <c r="D49" s="17" t="s">
        <v>93</v>
      </c>
      <c r="E49" s="17" t="s">
        <v>134</v>
      </c>
      <c r="F49" s="17">
        <f>BoardQty*8</f>
        <v>0</v>
      </c>
      <c r="G4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49" s="18">
        <f>iferror(F49*G49,"")</f>
        <v>0</v>
      </c>
      <c r="N49" s="17">
        <v>1289486</v>
      </c>
      <c r="P49" s="18">
        <f>iferror(lookup(if(O49="",F49,O49),{0,1,10,100,1000,2500,5000},{0.0,0.1,0.024,0.0097,0.00436,0.00378,0.00312}),"")</f>
        <v>0</v>
      </c>
      <c r="Q49" s="18">
        <f>iferror(if(O49="",F49,O49)*P49,"")</f>
        <v>0</v>
      </c>
      <c r="R49" s="20" t="s">
        <v>294</v>
      </c>
      <c r="S49" s="17">
        <v>467380</v>
      </c>
      <c r="U49" s="18">
        <f>iferror(USD_GBP*lookup(if(T49="",F49,T49),{0,1,10,100,150,500,1000,2500,5000},{0.0,0.0228,0.0228,0.0081,0.0081,0.0069,0.0056,0.005,0.0053}),"")</f>
        <v>0</v>
      </c>
      <c r="V49" s="18">
        <f>iferror(if(T49="",F49,T49)*U49,"")</f>
        <v>0</v>
      </c>
      <c r="W49" s="20" t="s">
        <v>346</v>
      </c>
      <c r="AC49" s="17">
        <v>822807</v>
      </c>
      <c r="AE49" s="18">
        <f>iferror(lookup(if(AD49="",F49,AD49),{0,1,10,50,100,1000,10000},{0.0,0.1,0.012,0.012,0.004,0.003,0.002}),"")</f>
        <v>0</v>
      </c>
      <c r="AF49" s="18">
        <f>iferror(if(AD49="",F49,AD49)*AE49,"")</f>
        <v>0</v>
      </c>
      <c r="AG49" s="20" t="s">
        <v>402</v>
      </c>
      <c r="AH49" s="17">
        <v>21890</v>
      </c>
      <c r="AJ49" s="18">
        <f>iferror(lookup(if(AI49="",F49,AI49),{0,1,10,250,500,1000,5000},{0.0,0.007,0.007,0.006,0.005,0.005,0.003}),"")</f>
        <v>0</v>
      </c>
      <c r="AK49" s="18">
        <f>iferror(if(AI49="",F49,AI49)*AJ49,"")</f>
        <v>0</v>
      </c>
      <c r="AL49" s="20" t="s">
        <v>452</v>
      </c>
      <c r="AR49" s="17">
        <v>12500</v>
      </c>
      <c r="AT49" s="18">
        <f>iferror(USD_GBP*lookup(if(AS49="",F49,AS49),{0,1,100,1000,5000,15000,50000},{0.0,0.0266,0.0266,0.00958,0.00388,0.00327,0.00279}),"")</f>
        <v>0</v>
      </c>
      <c r="AU49" s="18">
        <f>iferror(if(AS49="",F49,AS49)*AT49,"")</f>
        <v>0</v>
      </c>
      <c r="AV49" s="20" t="s">
        <v>503</v>
      </c>
    </row>
    <row r="50" spans="1:48">
      <c r="A50" s="17" t="s">
        <v>135</v>
      </c>
      <c r="B50" s="17" t="s">
        <v>33</v>
      </c>
      <c r="D50" s="17" t="s">
        <v>136</v>
      </c>
      <c r="E50" s="17" t="s">
        <v>137</v>
      </c>
      <c r="F50" s="17">
        <f>BoardQty*3</f>
        <v>0</v>
      </c>
      <c r="G5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50" s="18">
        <f>iferror(F50*G50,"")</f>
        <v>0</v>
      </c>
      <c r="N50" s="17">
        <v>1968</v>
      </c>
      <c r="P50" s="18">
        <f>iferror(lookup(if(O50="",F50,O50),{0,1,10,50,100,500,1000,3000},{0.0,0.2,0.134,0.0802,0.0677,0.04634,0.041,0.03921}),"")</f>
        <v>0</v>
      </c>
      <c r="Q50" s="18">
        <f>iferror(if(O50="",F50,O50)*P50,"")</f>
        <v>0</v>
      </c>
      <c r="R50" s="20" t="s">
        <v>295</v>
      </c>
      <c r="AC50" s="17">
        <v>1154</v>
      </c>
      <c r="AE50" s="18">
        <f>iferror(lookup(if(AD50="",F50,AD50),{0,1,10,50,100,1000,10000},{0.0,0.22,0.147,0.147,0.075,0.046,0.029}),"")</f>
        <v>0</v>
      </c>
      <c r="AF50" s="18">
        <f>iferror(if(AD50="",F50,AD50)*AE50,"")</f>
        <v>0</v>
      </c>
      <c r="AG50" s="20" t="s">
        <v>403</v>
      </c>
    </row>
    <row r="51" spans="1:48">
      <c r="A51" s="17" t="s">
        <v>138</v>
      </c>
      <c r="B51" s="17" t="s">
        <v>139</v>
      </c>
      <c r="D51" s="17" t="s">
        <v>93</v>
      </c>
      <c r="F51" s="17">
        <f>BoardQty*1</f>
        <v>0</v>
      </c>
      <c r="G5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51" s="18">
        <f>iferror(F51*G51,"")</f>
        <v>0</v>
      </c>
    </row>
    <row r="52" spans="1:48">
      <c r="A52" s="17" t="s">
        <v>140</v>
      </c>
      <c r="B52" s="17" t="s">
        <v>141</v>
      </c>
      <c r="D52" s="17" t="s">
        <v>93</v>
      </c>
      <c r="E52" s="17" t="s">
        <v>142</v>
      </c>
      <c r="F52" s="17">
        <f>BoardQty*1</f>
        <v>0</v>
      </c>
      <c r="G5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52" s="18">
        <f>iferror(F52*G52,"")</f>
        <v>0</v>
      </c>
    </row>
    <row r="53" spans="1:48">
      <c r="A53" s="17" t="s">
        <v>143</v>
      </c>
      <c r="B53" s="17" t="s">
        <v>144</v>
      </c>
      <c r="D53" s="17" t="s">
        <v>93</v>
      </c>
      <c r="E53" s="17" t="s">
        <v>145</v>
      </c>
      <c r="F53" s="17">
        <f>BoardQty*2</f>
        <v>0</v>
      </c>
      <c r="G5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53" s="18">
        <f>iferror(F53*G53,"")</f>
        <v>0</v>
      </c>
      <c r="N53" s="17">
        <v>22531127</v>
      </c>
      <c r="P53" s="18">
        <f>iferror(lookup(if(O53="",F53,O53),{0,1,10,100,1000,2500,5000},{0.0,0.1,0.024,0.0097,0.00436,0.00378,0.00312}),"")</f>
        <v>0</v>
      </c>
      <c r="Q53" s="18">
        <f>iferror(if(O53="",F53,O53)*P53,"")</f>
        <v>0</v>
      </c>
      <c r="R53" s="20" t="s">
        <v>293</v>
      </c>
      <c r="S53" s="17">
        <v>35224940</v>
      </c>
      <c r="U53" s="18">
        <f>iferror(USD_GBP*lookup(if(T53="",F53,T53),{0,1,10,100,150,500,1000,2500,5000,25000},{0.0,0.021,0.021,0.0075,0.0075,0.0063,0.0051,0.0045,0.0073,0.0036}),"")</f>
        <v>0</v>
      </c>
      <c r="V53" s="18">
        <f>iferror(if(T53="",F53,T53)*U53,"")</f>
        <v>0</v>
      </c>
      <c r="W53" s="20" t="s">
        <v>345</v>
      </c>
      <c r="AC53" s="19" t="s">
        <v>265</v>
      </c>
      <c r="AE53" s="18">
        <f>iferror(lookup(if(AD53="",F53,AD53),{0,1,10,50,100,1000,10000},{0.0,0.1,0.018,0.018,0.007,0.004,0.002}),"")</f>
        <v>0</v>
      </c>
      <c r="AF53" s="18">
        <f>iferror(if(AD53="",F53,AD53)*AE53,"")</f>
        <v>0</v>
      </c>
      <c r="AG53" s="20" t="s">
        <v>401</v>
      </c>
      <c r="AH53" s="17">
        <v>105000</v>
      </c>
      <c r="AJ53" s="18">
        <f>iferror(lookup(if(AI53="",F53,AI53),{0,1,25,50,100,5000},{0.0,0.1,0.018,0.012,0.006,0.003}),"")</f>
        <v>0</v>
      </c>
      <c r="AK53" s="18">
        <f>iferror(if(AI53="",F53,AI53)*AJ53,"")</f>
        <v>0</v>
      </c>
      <c r="AL53" s="20" t="s">
        <v>451</v>
      </c>
      <c r="AM53" s="17">
        <v>43500</v>
      </c>
      <c r="AO53" s="18">
        <f>iferror(USD_GBP*lookup(if(AN53="",F53,AN53),{0,1,5000},{0.0,0.003,0.003}),"")</f>
        <v>0</v>
      </c>
      <c r="AP53" s="18">
        <f>iferror(if(AN53="",F53,AN53)*AO53,"")</f>
        <v>0</v>
      </c>
      <c r="AQ53" s="20" t="s">
        <v>480</v>
      </c>
      <c r="AR53" s="17">
        <v>591500</v>
      </c>
      <c r="AT53" s="18">
        <f>iferror(USD_GBP*lookup(if(AS53="",F53,AS53),{0,1,100,1000,5000,15000,50000},{0.0,0.0117,0.0117,0.00243,0.00114,0.00107,0.00104}),"")</f>
        <v>0</v>
      </c>
      <c r="AU53" s="18">
        <f>iferror(if(AS53="",F53,AS53)*AT53,"")</f>
        <v>0</v>
      </c>
      <c r="AV53" s="20" t="s">
        <v>502</v>
      </c>
    </row>
    <row r="54" spans="1:48">
      <c r="A54" s="17" t="s">
        <v>146</v>
      </c>
      <c r="B54" s="17" t="s">
        <v>130</v>
      </c>
      <c r="D54" s="17" t="s">
        <v>93</v>
      </c>
      <c r="E54" s="17" t="s">
        <v>145</v>
      </c>
      <c r="F54" s="17">
        <f>BoardQty*2</f>
        <v>0</v>
      </c>
      <c r="G5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54" s="18">
        <f>iferror(F54*G54,"")</f>
        <v>0</v>
      </c>
      <c r="N54" s="17">
        <v>22531127</v>
      </c>
      <c r="P54" s="18">
        <f>iferror(lookup(if(O54="",F54,O54),{0,1,10,100,1000,2500,5000},{0.0,0.1,0.024,0.0097,0.00436,0.00378,0.00312}),"")</f>
        <v>0</v>
      </c>
      <c r="Q54" s="18">
        <f>iferror(if(O54="",F54,O54)*P54,"")</f>
        <v>0</v>
      </c>
      <c r="R54" s="20" t="s">
        <v>293</v>
      </c>
      <c r="S54" s="17">
        <v>35224940</v>
      </c>
      <c r="U54" s="18">
        <f>iferror(USD_GBP*lookup(if(T54="",F54,T54),{0,1,10,100,150,500,1000,2500,5000,25000},{0.0,0.021,0.021,0.0075,0.0075,0.0063,0.0051,0.0045,0.0073,0.0036}),"")</f>
        <v>0</v>
      </c>
      <c r="V54" s="18">
        <f>iferror(if(T54="",F54,T54)*U54,"")</f>
        <v>0</v>
      </c>
      <c r="W54" s="20" t="s">
        <v>345</v>
      </c>
      <c r="AC54" s="19" t="s">
        <v>265</v>
      </c>
      <c r="AE54" s="18">
        <f>iferror(lookup(if(AD54="",F54,AD54),{0,1,10,50,100,1000,10000},{0.0,0.1,0.018,0.018,0.007,0.004,0.002}),"")</f>
        <v>0</v>
      </c>
      <c r="AF54" s="18">
        <f>iferror(if(AD54="",F54,AD54)*AE54,"")</f>
        <v>0</v>
      </c>
      <c r="AG54" s="20" t="s">
        <v>401</v>
      </c>
      <c r="AH54" s="17">
        <v>105000</v>
      </c>
      <c r="AJ54" s="18">
        <f>iferror(lookup(if(AI54="",F54,AI54),{0,1,25,50,100,5000},{0.0,0.1,0.018,0.012,0.006,0.003}),"")</f>
        <v>0</v>
      </c>
      <c r="AK54" s="18">
        <f>iferror(if(AI54="",F54,AI54)*AJ54,"")</f>
        <v>0</v>
      </c>
      <c r="AL54" s="20" t="s">
        <v>451</v>
      </c>
      <c r="AM54" s="17">
        <v>43500</v>
      </c>
      <c r="AO54" s="18">
        <f>iferror(USD_GBP*lookup(if(AN54="",F54,AN54),{0,1,5000},{0.0,0.003,0.003}),"")</f>
        <v>0</v>
      </c>
      <c r="AP54" s="18">
        <f>iferror(if(AN54="",F54,AN54)*AO54,"")</f>
        <v>0</v>
      </c>
      <c r="AQ54" s="20" t="s">
        <v>480</v>
      </c>
      <c r="AR54" s="17">
        <v>591500</v>
      </c>
      <c r="AT54" s="18">
        <f>iferror(USD_GBP*lookup(if(AS54="",F54,AS54),{0,1,100,1000,5000,15000,50000},{0.0,0.0117,0.0117,0.00243,0.00114,0.00107,0.00104}),"")</f>
        <v>0</v>
      </c>
      <c r="AU54" s="18">
        <f>iferror(if(AS54="",F54,AS54)*AT54,"")</f>
        <v>0</v>
      </c>
      <c r="AV54" s="20" t="s">
        <v>502</v>
      </c>
    </row>
    <row r="55" spans="1:48">
      <c r="A55" s="17" t="s">
        <v>147</v>
      </c>
      <c r="B55" s="17" t="s">
        <v>148</v>
      </c>
      <c r="D55" s="17" t="s">
        <v>93</v>
      </c>
      <c r="E55" s="17" t="s">
        <v>149</v>
      </c>
      <c r="F55" s="17">
        <f>BoardQty*1</f>
        <v>0</v>
      </c>
      <c r="G5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55" s="18">
        <f>iferror(F55*G55,"")</f>
        <v>0</v>
      </c>
      <c r="N55" s="17">
        <v>63740</v>
      </c>
      <c r="P55" s="18">
        <f>iferror(lookup(if(O55="",F55,O55),{0,1,10,100,1000,2500,5000},{0.0,0.1,0.024,0.0097,0.00436,0.00378,0.00312}),"")</f>
        <v>0</v>
      </c>
      <c r="Q55" s="18">
        <f>iferror(if(O55="",F55,O55)*P55,"")</f>
        <v>0</v>
      </c>
      <c r="R55" s="20" t="s">
        <v>296</v>
      </c>
      <c r="AC55" s="17">
        <v>29815</v>
      </c>
      <c r="AE55" s="18">
        <f>iferror(lookup(if(AD55="",F55,AD55),{0,1,10,50,100,1000,10000},{0.0,0.1,0.018,0.018,0.006,0.005,0.003}),"")</f>
        <v>0</v>
      </c>
      <c r="AF55" s="18">
        <f>iferror(if(AD55="",F55,AD55)*AE55,"")</f>
        <v>0</v>
      </c>
      <c r="AG55" s="20" t="s">
        <v>404</v>
      </c>
    </row>
    <row r="56" spans="1:48">
      <c r="A56" s="17" t="s">
        <v>150</v>
      </c>
      <c r="B56" s="17" t="s">
        <v>151</v>
      </c>
      <c r="D56" s="17" t="s">
        <v>93</v>
      </c>
      <c r="E56" s="17" t="s">
        <v>152</v>
      </c>
      <c r="F56" s="17">
        <f>BoardQty*1</f>
        <v>0</v>
      </c>
      <c r="G5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56" s="18">
        <f>iferror(F56*G56,"")</f>
        <v>0</v>
      </c>
      <c r="N56" s="17">
        <v>491684</v>
      </c>
      <c r="P56" s="18">
        <f>iferror(lookup(if(O56="",F56,O56),{0,1,10,100,1000,2500,5000},{0.0,0.1,0.024,0.0097,0.00436,0.00378,0.00312}),"")</f>
        <v>0</v>
      </c>
      <c r="Q56" s="18">
        <f>iferror(if(O56="",F56,O56)*P56,"")</f>
        <v>0</v>
      </c>
      <c r="R56" s="20" t="s">
        <v>297</v>
      </c>
      <c r="AC56" s="17">
        <v>7670</v>
      </c>
      <c r="AE56" s="18">
        <f>iferror(lookup(if(AD56="",F56,AD56),{0,1,10,50,100,1000,10000},{0.0,0.1,0.018,0.018,0.007,0.004,0.002}),"")</f>
        <v>0</v>
      </c>
      <c r="AF56" s="18">
        <f>iferror(if(AD56="",F56,AD56)*AE56,"")</f>
        <v>0</v>
      </c>
      <c r="AG56" s="20" t="s">
        <v>405</v>
      </c>
      <c r="AR56" s="19" t="s">
        <v>265</v>
      </c>
      <c r="AT56" s="18">
        <f>iferror(USD_GBP*lookup(if(AS56="",F56,AS56),{0,1,100,1000,5000,15000},{0.0,0.0266,0.0266,0.00958,0.00388,0.00327}),"")</f>
        <v>0</v>
      </c>
      <c r="AU56" s="18">
        <f>iferror(if(AS56="",F56,AS56)*AT56,"")</f>
        <v>0</v>
      </c>
      <c r="AV56" s="20" t="s">
        <v>504</v>
      </c>
    </row>
    <row r="57" spans="1:48">
      <c r="A57" s="17" t="s">
        <v>153</v>
      </c>
      <c r="B57" s="17" t="s">
        <v>154</v>
      </c>
      <c r="D57" s="17" t="s">
        <v>93</v>
      </c>
      <c r="E57" s="17" t="s">
        <v>155</v>
      </c>
      <c r="F57" s="17">
        <f>BoardQty*1</f>
        <v>0</v>
      </c>
      <c r="G5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57" s="18">
        <f>iferror(F57*G57,"")</f>
        <v>0</v>
      </c>
      <c r="N57" s="17">
        <v>4967781</v>
      </c>
      <c r="P57" s="18">
        <f>iferror(lookup(if(O57="",F57,O57),{0,1,10,100,1000,2500,5000},{0.0,0.1,0.024,0.0097,0.00436,0.00378,0.00312}),"")</f>
        <v>0</v>
      </c>
      <c r="Q57" s="18">
        <f>iferror(if(O57="",F57,O57)*P57,"")</f>
        <v>0</v>
      </c>
      <c r="R57" s="20" t="s">
        <v>298</v>
      </c>
      <c r="S57" s="17">
        <v>3566998</v>
      </c>
      <c r="U57" s="18">
        <f>iferror(USD_GBP*lookup(if(T57="",F57,T57),{0,1,10,100,150,500,1000,2500,5000,25000},{0.0,0.0159,0.0159,0.0068,0.0068,0.0058,0.0049,0.0042,0.0053,0.0029}),"")</f>
        <v>0</v>
      </c>
      <c r="V57" s="18">
        <f>iferror(if(T57="",F57,T57)*U57,"")</f>
        <v>0</v>
      </c>
      <c r="W57" s="20" t="s">
        <v>347</v>
      </c>
      <c r="AC57" s="19" t="s">
        <v>265</v>
      </c>
      <c r="AE57" s="18">
        <f>iferror(lookup(if(AD57="",F57,AD57),{0,1,10,50,100,1000,10000},{0.0,0.1,0.018,0.018,0.006,0.005,0.003}),"")</f>
        <v>0</v>
      </c>
      <c r="AF57" s="18">
        <f>iferror(if(AD57="",F57,AD57)*AE57,"")</f>
        <v>0</v>
      </c>
      <c r="AG57" s="20" t="s">
        <v>406</v>
      </c>
      <c r="AH57" s="17">
        <v>3516998</v>
      </c>
      <c r="AJ57" s="18">
        <f>iferror(lookup(if(AI57="",F57,AI57),{0,1,5000,10000},{0.0,0.008,0.008,0.006}),"")</f>
        <v>0</v>
      </c>
      <c r="AK57" s="18">
        <f>iferror(if(AI57="",F57,AI57)*AJ57,"")</f>
        <v>0</v>
      </c>
      <c r="AL57" s="20" t="s">
        <v>453</v>
      </c>
      <c r="AM57" s="17">
        <v>3700</v>
      </c>
      <c r="AO57" s="18">
        <f>iferror(USD_GBP*lookup(if(AN57="",F57,AN57),{0,1,100,500,1000,2000,5000},{0.0,0.005,0.005,0.005,0.004,0.004,0.003}),"")</f>
        <v>0</v>
      </c>
      <c r="AP57" s="18">
        <f>iferror(if(AN57="",F57,AN57)*AO57,"")</f>
        <v>0</v>
      </c>
      <c r="AQ57" s="20" t="s">
        <v>481</v>
      </c>
      <c r="AR57" s="17">
        <v>229800</v>
      </c>
      <c r="AT57" s="18">
        <f>iferror(USD_GBP*lookup(if(AS57="",F57,AS57),{0,1,100,1000,5000,15000,50000},{0.0,0.01178,0.01178,0.00256,0.00105,0.00098,0.00093}),"")</f>
        <v>0</v>
      </c>
      <c r="AU57" s="18">
        <f>iferror(if(AS57="",F57,AS57)*AT57,"")</f>
        <v>0</v>
      </c>
      <c r="AV57" s="20" t="s">
        <v>505</v>
      </c>
    </row>
    <row r="58" spans="1:48">
      <c r="A58" s="17" t="s">
        <v>156</v>
      </c>
      <c r="B58" s="17" t="s">
        <v>157</v>
      </c>
      <c r="D58" s="17" t="s">
        <v>93</v>
      </c>
      <c r="E58" s="17" t="s">
        <v>158</v>
      </c>
      <c r="F58" s="17">
        <f>BoardQty*1</f>
        <v>0</v>
      </c>
      <c r="G5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58" s="18">
        <f>iferror(F58*G58,"")</f>
        <v>0</v>
      </c>
      <c r="N58" s="17">
        <v>1018778</v>
      </c>
      <c r="P58" s="18">
        <f>iferror(lookup(if(O58="",F58,O58),{0,1,10,100,1000,2500,5000},{0.0,0.1,0.024,0.0097,0.00436,0.00378,0.00312}),"")</f>
        <v>0</v>
      </c>
      <c r="Q58" s="18">
        <f>iferror(if(O58="",F58,O58)*P58,"")</f>
        <v>0</v>
      </c>
      <c r="R58" s="20" t="s">
        <v>299</v>
      </c>
      <c r="S58" s="17">
        <v>540000</v>
      </c>
      <c r="U58" s="18">
        <f>iferror(USD_GBP*lookup(if(T58="",F58,T58),{0,1,10,100,150,500,1000,2500,5000,25000},{0.0,0.0216,0.0216,0.0077,0.0077,0.0065,0.0051,0.0045,0.005,0.003}),"")</f>
        <v>0</v>
      </c>
      <c r="V58" s="18">
        <f>iferror(if(T58="",F58,T58)*U58,"")</f>
        <v>0</v>
      </c>
      <c r="W58" s="20" t="s">
        <v>348</v>
      </c>
      <c r="AC58" s="19" t="s">
        <v>265</v>
      </c>
      <c r="AE58" s="18">
        <f>iferror(lookup(if(AD58="",F58,AD58),{0,1,10,50,100,1000,10000},{0.0,0.1,0.018,0.018,0.006,0.005,0.003}),"")</f>
        <v>0</v>
      </c>
      <c r="AF58" s="18">
        <f>iferror(if(AD58="",F58,AD58)*AE58,"")</f>
        <v>0</v>
      </c>
      <c r="AG58" s="20" t="s">
        <v>407</v>
      </c>
      <c r="AH58" s="17">
        <v>540000</v>
      </c>
      <c r="AJ58" s="18">
        <f>iferror(lookup(if(AI58="",F58,AI58),{0,1,10,25,50,100,5000},{0.0,0.018,0.018,0.014,0.01,0.006,0.003}),"")</f>
        <v>0</v>
      </c>
      <c r="AK58" s="18">
        <f>iferror(if(AI58="",F58,AI58)*AJ58,"")</f>
        <v>0</v>
      </c>
      <c r="AL58" s="20" t="s">
        <v>454</v>
      </c>
      <c r="AM58" s="17">
        <v>21300</v>
      </c>
      <c r="AO58" s="18">
        <f>iferror(USD_GBP*lookup(if(AN58="",F58,AN58),{0,1,5000,10000,15000,20000},{0.0,0.003,0.003,0.003,0.003,0.002}),"")</f>
        <v>0</v>
      </c>
      <c r="AP58" s="18">
        <f>iferror(if(AN58="",F58,AN58)*AO58,"")</f>
        <v>0</v>
      </c>
      <c r="AQ58" s="20" t="s">
        <v>482</v>
      </c>
      <c r="AR58" s="17">
        <v>9400</v>
      </c>
      <c r="AT58" s="18">
        <f>iferror(USD_GBP*lookup(if(AS58="",F58,AS58),{0,1,100,1000,5000,15000,50000},{0.0,0.0266,0.0266,0.00958,0.00388,0.00327,0.00279}),"")</f>
        <v>0</v>
      </c>
      <c r="AU58" s="18">
        <f>iferror(if(AS58="",F58,AS58)*AT58,"")</f>
        <v>0</v>
      </c>
      <c r="AV58" s="20" t="s">
        <v>506</v>
      </c>
    </row>
    <row r="59" spans="1:48">
      <c r="A59" s="17" t="s">
        <v>159</v>
      </c>
      <c r="B59" s="17" t="s">
        <v>160</v>
      </c>
      <c r="D59" s="17" t="s">
        <v>160</v>
      </c>
      <c r="E59" s="17" t="s">
        <v>161</v>
      </c>
      <c r="F59" s="17">
        <f>BoardQty*1</f>
        <v>0</v>
      </c>
      <c r="G5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59" s="18">
        <f>iferror(F59*G59,"")</f>
        <v>0</v>
      </c>
      <c r="N59" s="17">
        <v>95</v>
      </c>
      <c r="P59" s="18">
        <f>iferror(lookup(if(O59="",F59,O59),{0,1,10,25,100,250},{0.0,20.68,19.076,18.2184,16.8837,16.88368}),"")</f>
        <v>0</v>
      </c>
      <c r="Q59" s="18">
        <f>iferror(if(O59="",F59,O59)*P59,"")</f>
        <v>0</v>
      </c>
      <c r="R59" s="20" t="s">
        <v>300</v>
      </c>
      <c r="AC59" s="17">
        <v>119</v>
      </c>
      <c r="AE59" s="18">
        <f>iferror(lookup(if(AD59="",F59,AD59),{0,1,10,50,100,1000,10000},{0.0,20.62,19.01,18.13,17.23,14.92,14.92}),"")</f>
        <v>0</v>
      </c>
      <c r="AF59" s="18">
        <f>iferror(if(AD59="",F59,AD59)*AE59,"")</f>
        <v>0</v>
      </c>
      <c r="AG59" s="20" t="s">
        <v>408</v>
      </c>
    </row>
    <row r="60" spans="1:48">
      <c r="A60" s="17" t="s">
        <v>162</v>
      </c>
      <c r="B60" s="17" t="s">
        <v>163</v>
      </c>
      <c r="D60" s="17" t="s">
        <v>164</v>
      </c>
      <c r="E60" s="17" t="s">
        <v>165</v>
      </c>
      <c r="F60" s="17">
        <f>BoardQty*3</f>
        <v>0</v>
      </c>
      <c r="G6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60" s="18">
        <f>iferror(F60*G60,"")</f>
        <v>0</v>
      </c>
      <c r="N60" s="17">
        <v>1375</v>
      </c>
      <c r="P60" s="18">
        <f>iferror(lookup(if(O60="",F60,O60),{0,1,10,25,100,250,500,1000,3000},{0.0,1.48,1.32,1.2524,1.0288,0.96172,0.8499,0.70474,0.70474}),"")</f>
        <v>0</v>
      </c>
      <c r="Q60" s="18">
        <f>iferror(if(O60="",F60,O60)*P60,"")</f>
        <v>0</v>
      </c>
      <c r="R60" s="20" t="s">
        <v>301</v>
      </c>
      <c r="AC60" s="17">
        <v>2268</v>
      </c>
      <c r="AE60" s="18">
        <f>iferror(lookup(if(AD60="",F60,AD60),{0,1,10,50,100,1000,10000},{0.0,1.47,1.32,1.26,1.03,0.671,0.59}),"")</f>
        <v>0</v>
      </c>
      <c r="AF60" s="18">
        <f>iferror(if(AD60="",F60,AD60)*AE60,"")</f>
        <v>0</v>
      </c>
      <c r="AG60" s="20" t="s">
        <v>409</v>
      </c>
    </row>
    <row r="61" spans="1:48">
      <c r="A61" s="17" t="s">
        <v>166</v>
      </c>
      <c r="B61" s="17" t="s">
        <v>167</v>
      </c>
      <c r="D61" s="17" t="s">
        <v>168</v>
      </c>
      <c r="E61" s="17" t="s">
        <v>169</v>
      </c>
      <c r="F61" s="17">
        <f>BoardQty*1</f>
        <v>0</v>
      </c>
      <c r="G6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61" s="18">
        <f>iferror(F61*G61,"")</f>
        <v>0</v>
      </c>
      <c r="N61" s="17">
        <v>5633</v>
      </c>
      <c r="P61" s="18">
        <f>iferror(lookup(if(O61="",F61,O61),{0,1,10,25,100,250,500,1000},{0.0,1.54,1.376,1.306,1.0727,1.00276,0.88616,0.7348}),"")</f>
        <v>0</v>
      </c>
      <c r="Q61" s="18">
        <f>iferror(if(O61="",F61,O61)*P61,"")</f>
        <v>0</v>
      </c>
      <c r="R61" s="20" t="s">
        <v>302</v>
      </c>
      <c r="S61" s="17">
        <v>998</v>
      </c>
      <c r="U61" s="18">
        <f>iferror(USD_GBP*lookup(if(T61="",F61,T61),{0,1,10,50,100,250,500,1000,2500},{0.0,1.31,1.09,0.926,0.762,0.669,0.634,0.469,0.459}),"")</f>
        <v>0</v>
      </c>
      <c r="V61" s="18">
        <f>iferror(if(T61="",F61,T61)*U61,"")</f>
        <v>0</v>
      </c>
      <c r="W61" s="20" t="s">
        <v>349</v>
      </c>
      <c r="AC61" s="17">
        <v>1005</v>
      </c>
      <c r="AE61" s="18">
        <f>iferror(lookup(if(AD61="",F61,AD61),{0,1,10,50,100,1000,10000},{0.0,1.54,1.38,1.31,1.01,0.699,0.615}),"")</f>
        <v>0</v>
      </c>
      <c r="AF61" s="18">
        <f>iferror(if(AD61="",F61,AD61)*AE61,"")</f>
        <v>0</v>
      </c>
      <c r="AG61" s="20" t="s">
        <v>410</v>
      </c>
      <c r="AH61" s="17">
        <v>998</v>
      </c>
      <c r="AJ61" s="18">
        <f>iferror(lookup(if(AI61="",F61,AI61),{0,1,10,25,50,100,250},{0.0,2.0,1.86,1.74,1.63,1.52,1.42}),"")</f>
        <v>0</v>
      </c>
      <c r="AK61" s="18">
        <f>iferror(if(AI61="",F61,AI61)*AJ61,"")</f>
        <v>0</v>
      </c>
      <c r="AL61" s="20" t="s">
        <v>455</v>
      </c>
    </row>
    <row r="62" spans="1:48">
      <c r="A62" s="17" t="s">
        <v>170</v>
      </c>
      <c r="B62" s="17" t="s">
        <v>171</v>
      </c>
      <c r="D62" s="17" t="s">
        <v>168</v>
      </c>
      <c r="E62" s="17" t="s">
        <v>172</v>
      </c>
      <c r="F62" s="17">
        <f>BoardQty*1</f>
        <v>0</v>
      </c>
      <c r="G6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62" s="18">
        <f>iferror(F62*G62,"")</f>
        <v>0</v>
      </c>
      <c r="N62" s="17">
        <v>1790</v>
      </c>
      <c r="P62" s="18">
        <f>iferror(lookup(if(O62="",F62,O62),{0,1,10,25,100,250,500,1000},{0.0,1.54,1.376,1.306,1.0727,1.00276,0.88616,0.7348}),"")</f>
        <v>0</v>
      </c>
      <c r="Q62" s="18">
        <f>iferror(if(O62="",F62,O62)*P62,"")</f>
        <v>0</v>
      </c>
      <c r="R62" s="20" t="s">
        <v>303</v>
      </c>
      <c r="AC62" s="17">
        <v>1541</v>
      </c>
      <c r="AE62" s="18">
        <f>iferror(lookup(if(AD62="",F62,AD62),{0,1,10,50,100,1000,10000},{0.0,1.54,1.38,1.31,1.01,0.699,0.615}),"")</f>
        <v>0</v>
      </c>
      <c r="AF62" s="18">
        <f>iferror(if(AD62="",F62,AD62)*AE62,"")</f>
        <v>0</v>
      </c>
      <c r="AG62" s="20" t="s">
        <v>411</v>
      </c>
    </row>
    <row r="63" spans="1:48">
      <c r="A63" s="17" t="s">
        <v>173</v>
      </c>
      <c r="B63" s="17" t="s">
        <v>174</v>
      </c>
      <c r="D63" s="17" t="s">
        <v>168</v>
      </c>
      <c r="E63" s="17" t="s">
        <v>175</v>
      </c>
      <c r="F63" s="17">
        <f>BoardQty*1</f>
        <v>0</v>
      </c>
      <c r="G6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63" s="18">
        <f>iferror(F63*G63,"")</f>
        <v>0</v>
      </c>
      <c r="N63" s="17">
        <v>9673</v>
      </c>
      <c r="P63" s="18">
        <f>iferror(lookup(if(O63="",F63,O63),{0,1,10,25,100,250,500,1000},{0.0,1.54,1.376,1.306,1.0727,1.00276,0.88616,0.7348}),"")</f>
        <v>0</v>
      </c>
      <c r="Q63" s="18">
        <f>iferror(if(O63="",F63,O63)*P63,"")</f>
        <v>0</v>
      </c>
      <c r="R63" s="20" t="s">
        <v>304</v>
      </c>
      <c r="S63" s="17">
        <v>18</v>
      </c>
      <c r="U63" s="18">
        <f>iferror(USD_GBP*lookup(if(T63="",F63,T63),{0,1,10,50,100,250,500,1000,2500},{0.0,1.38,1.16,0.98,0.805,0.706,0.669,0.494,0.492}),"")</f>
        <v>0</v>
      </c>
      <c r="V63" s="18">
        <f>iferror(if(T63="",F63,T63)*U63,"")</f>
        <v>0</v>
      </c>
      <c r="W63" s="20" t="s">
        <v>350</v>
      </c>
      <c r="AC63" s="17">
        <v>1629</v>
      </c>
      <c r="AE63" s="18">
        <f>iferror(lookup(if(AD63="",F63,AD63),{0,1,10,50,100,1000,10000},{0.0,1.54,1.38,1.31,1.01,0.699,0.615}),"")</f>
        <v>0</v>
      </c>
      <c r="AF63" s="18">
        <f>iferror(if(AD63="",F63,AD63)*AE63,"")</f>
        <v>0</v>
      </c>
      <c r="AG63" s="20" t="s">
        <v>412</v>
      </c>
      <c r="AH63" s="19" t="s">
        <v>265</v>
      </c>
      <c r="AJ63" s="18">
        <f>iferror(lookup(if(AI63="",F63,AI63),{0,1,10,25,50,100,250},{0.0,2.0,1.86,1.74,1.63,1.52,1.42}),"")</f>
        <v>0</v>
      </c>
      <c r="AK63" s="18">
        <f>iferror(if(AI63="",F63,AI63)*AJ63,"")</f>
        <v>0</v>
      </c>
      <c r="AL63" s="20" t="s">
        <v>456</v>
      </c>
    </row>
    <row r="64" spans="1:48">
      <c r="A64" s="17" t="s">
        <v>176</v>
      </c>
      <c r="B64" s="17" t="s">
        <v>177</v>
      </c>
      <c r="C64" s="17" t="s">
        <v>178</v>
      </c>
      <c r="D64" s="17" t="s">
        <v>37</v>
      </c>
      <c r="E64" s="17" t="s">
        <v>179</v>
      </c>
      <c r="F64" s="17">
        <f>BoardQty*1</f>
        <v>0</v>
      </c>
      <c r="G6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64" s="18">
        <f>iferror(F64*G64,"")</f>
        <v>0</v>
      </c>
      <c r="N64" s="17">
        <v>3663</v>
      </c>
      <c r="P64" s="18">
        <f>iferror(lookup(if(O64="",F64,O64),{0,1,10,25,100,250,500,1000,4000},{0.0,0.91,0.805,0.7556,0.6168,0.57292,0.4876,0.4025,0.4025}),"")</f>
        <v>0</v>
      </c>
      <c r="Q64" s="18">
        <f>iferror(if(O64="",F64,O64)*P64,"")</f>
        <v>0</v>
      </c>
      <c r="R64" s="20" t="s">
        <v>305</v>
      </c>
      <c r="S64" s="19" t="s">
        <v>265</v>
      </c>
      <c r="U64" s="18">
        <f>iferror(USD_GBP*lookup(if(T64="",F64,T64),{0,1,10,100,150,1000,4000},{0.0,0.529,0.434,0.28,0.28,0.224,0.19}),"")</f>
        <v>0</v>
      </c>
      <c r="V64" s="18">
        <f>iferror(if(T64="",F64,T64)*U64,"")</f>
        <v>0</v>
      </c>
      <c r="W64" s="20" t="s">
        <v>351</v>
      </c>
      <c r="AC64" s="17">
        <v>19473</v>
      </c>
      <c r="AE64" s="18">
        <f>iferror(lookup(if(AD64="",F64,AD64),{0,1,10,50,100,1000,10000},{0.0,0.92,0.805,0.805,0.617,0.391,0.354}),"")</f>
        <v>0</v>
      </c>
      <c r="AF64" s="18">
        <f>iferror(if(AD64="",F64,AD64)*AE64,"")</f>
        <v>0</v>
      </c>
      <c r="AG64" s="20" t="s">
        <v>413</v>
      </c>
      <c r="AH64" s="19" t="s">
        <v>265</v>
      </c>
      <c r="AJ64" s="18">
        <f>iferror(lookup(if(AI64="",F64,AI64),{0,1,10,100,4000,12000,32000,60000},{0.0,0.68,0.558,0.423,0.3,0.291,0.278,0.264}),"")</f>
        <v>0</v>
      </c>
      <c r="AK64" s="18">
        <f>iferror(if(AI64="",F64,AI64)*AJ64,"")</f>
        <v>0</v>
      </c>
      <c r="AL64" s="20" t="s">
        <v>457</v>
      </c>
      <c r="AM64" s="17">
        <v>3170</v>
      </c>
      <c r="AO64" s="18">
        <f>iferror(USD_GBP*lookup(if(AN64="",F64,AN64),{0,1,5,50,100,250,500},{0.0,0.596,0.596,0.34,0.326,0.318,0.31}),"")</f>
        <v>0</v>
      </c>
      <c r="AP64" s="18">
        <f>iferror(if(AN64="",F64,AN64)*AO64,"")</f>
        <v>0</v>
      </c>
      <c r="AQ64" s="20" t="s">
        <v>483</v>
      </c>
      <c r="AR64" s="19" t="s">
        <v>265</v>
      </c>
      <c r="AT64" s="18">
        <f>iferror(USD_GBP*lookup(if(AS64="",F64,AS64),{0,1,5,25,100,500},{0.0,0.622,0.3448,0.3101,0.2842,0.233}),"")</f>
        <v>0</v>
      </c>
      <c r="AU64" s="18">
        <f>iferror(if(AS64="",F64,AS64)*AT64,"")</f>
        <v>0</v>
      </c>
      <c r="AV64" s="20" t="s">
        <v>179</v>
      </c>
    </row>
    <row r="65" spans="1:48">
      <c r="A65" s="17" t="s">
        <v>180</v>
      </c>
      <c r="B65" s="17" t="s">
        <v>181</v>
      </c>
      <c r="D65" s="17" t="s">
        <v>182</v>
      </c>
      <c r="E65" s="17" t="s">
        <v>181</v>
      </c>
      <c r="F65" s="17">
        <f>BoardQty*1</f>
        <v>0</v>
      </c>
      <c r="G6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65" s="18">
        <f>iferror(F65*G65,"")</f>
        <v>0</v>
      </c>
      <c r="N65" s="17">
        <v>3585</v>
      </c>
      <c r="P65" s="18">
        <f>iferror(lookup(if(O65="",F65,O65),{0,1,10,25,100,250,500,1000,2500},{0.0,2.04,1.829,1.7252,1.4698,1.38012,1.2076,1.13925,1.13925}),"")</f>
        <v>0</v>
      </c>
      <c r="Q65" s="18">
        <f>iferror(if(O65="",F65,O65)*P65,"")</f>
        <v>0</v>
      </c>
      <c r="R65" s="20" t="s">
        <v>306</v>
      </c>
      <c r="S65" s="19" t="s">
        <v>265</v>
      </c>
      <c r="U65" s="18">
        <f>iferror(USD_GBP*lookup(if(T65="",F65,T65),{0,1,2500},{0.0,0.651,0.651}),"")</f>
        <v>0</v>
      </c>
      <c r="V65" s="18">
        <f>iferror(if(T65="",F65,T65)*U65,"")</f>
        <v>0</v>
      </c>
      <c r="W65" s="20" t="s">
        <v>352</v>
      </c>
      <c r="X65" s="17">
        <v>146</v>
      </c>
      <c r="Z65" s="18">
        <f>iferror(lookup(if(Y65="",F65,Y65),{0,1,10,30,100,500,1000},{0.0,2.5355,1.8664,1.7438,1.6194,1.5653,1.5382}),"")</f>
        <v>0</v>
      </c>
      <c r="AA65" s="18">
        <f>iferror(if(Y65="",F65,Y65)*Z65,"")</f>
        <v>0</v>
      </c>
      <c r="AB65" s="20" t="s">
        <v>369</v>
      </c>
      <c r="AC65" s="17">
        <v>3974</v>
      </c>
      <c r="AE65" s="18">
        <f>iferror(lookup(if(AD65="",F65,AD65),{0,1,10,50,100,1000,10000},{0.0,2.03,1.83,1.73,1.47,1.01,0.911}),"")</f>
        <v>0</v>
      </c>
      <c r="AF65" s="18">
        <f>iferror(if(AD65="",F65,AD65)*AE65,"")</f>
        <v>0</v>
      </c>
      <c r="AG65" s="20" t="s">
        <v>414</v>
      </c>
    </row>
    <row r="66" spans="1:48">
      <c r="A66" s="17" t="s">
        <v>183</v>
      </c>
      <c r="B66" s="17" t="s">
        <v>184</v>
      </c>
      <c r="D66" s="17" t="s">
        <v>185</v>
      </c>
      <c r="E66" s="17" t="s">
        <v>186</v>
      </c>
      <c r="F66" s="17">
        <f>BoardQty*1</f>
        <v>0</v>
      </c>
      <c r="G6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66" s="18">
        <f>iferror(F66*G66,"")</f>
        <v>0</v>
      </c>
      <c r="N66" s="17">
        <v>2286</v>
      </c>
      <c r="P66" s="18">
        <f>iferror(lookup(if(O66="",F66,O66),{0,1,10,25,100,250,500,1000,2000},{0.0,1.87,1.68,1.5848,1.3502,1.26776,1.10928,0.99866,0.99866}),"")</f>
        <v>0</v>
      </c>
      <c r="Q66" s="18">
        <f>iferror(if(O66="",F66,O66)*P66,"")</f>
        <v>0</v>
      </c>
      <c r="R66" s="20" t="s">
        <v>307</v>
      </c>
      <c r="S66" s="19" t="s">
        <v>265</v>
      </c>
      <c r="U66" s="18">
        <f>iferror(USD_GBP*lookup(if(T66="",F66,T66),{0,1,10,50,100,250,500,1000,2500},{0.0,1.77,1.34,1.21,1.07,0.931,0.906,0.691,0.678}),"")</f>
        <v>0</v>
      </c>
      <c r="V66" s="18">
        <f>iferror(if(T66="",F66,T66)*U66,"")</f>
        <v>0</v>
      </c>
      <c r="W66" s="20" t="s">
        <v>353</v>
      </c>
      <c r="AC66" s="17">
        <v>1989</v>
      </c>
      <c r="AE66" s="18">
        <f>iferror(lookup(if(AD66="",F66,AD66),{0,1,10,50,100,1000,10000},{0.0,1.87,1.68,1.59,1.35,0.92,0.837}),"")</f>
        <v>0</v>
      </c>
      <c r="AF66" s="18">
        <f>iferror(if(AD66="",F66,AD66)*AE66,"")</f>
        <v>0</v>
      </c>
      <c r="AG66" s="20" t="s">
        <v>415</v>
      </c>
      <c r="AH66" s="19" t="s">
        <v>265</v>
      </c>
      <c r="AJ66" s="18">
        <f>iferror(lookup(if(AI66="",F66,AI66),{0,1,10,25,50,100,250},{0.0,2.63,2.45,2.31,2.16,2.02,1.86}),"")</f>
        <v>0</v>
      </c>
      <c r="AK66" s="18">
        <f>iferror(if(AI66="",F66,AI66)*AJ66,"")</f>
        <v>0</v>
      </c>
      <c r="AL66" s="20" t="s">
        <v>458</v>
      </c>
    </row>
    <row r="67" spans="1:48">
      <c r="A67" s="17" t="s">
        <v>187</v>
      </c>
      <c r="B67" s="17" t="s">
        <v>188</v>
      </c>
      <c r="D67" s="17" t="s">
        <v>189</v>
      </c>
      <c r="E67" s="17" t="s">
        <v>190</v>
      </c>
      <c r="F67" s="17">
        <f>BoardQty*2</f>
        <v>0</v>
      </c>
      <c r="G6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67" s="18">
        <f>iferror(F67*G67,"")</f>
        <v>0</v>
      </c>
      <c r="N67" s="19" t="s">
        <v>265</v>
      </c>
      <c r="P67" s="18">
        <f>iferror(lookup(if(O67="",F67,O67),{0,1,10,25,100,250,500,1000,2000},{0.0,1.36,1.22,1.1576,0.9508,0.8888,0.72344,0.6513,0.6513}),"")</f>
        <v>0</v>
      </c>
      <c r="Q67" s="18">
        <f>iferror(if(O67="",F67,O67)*P67,"")</f>
        <v>0</v>
      </c>
      <c r="R67" s="20" t="s">
        <v>308</v>
      </c>
      <c r="S67" s="19" t="s">
        <v>265</v>
      </c>
      <c r="U67" s="18">
        <f>iferror(USD_GBP*lookup(if(T67="",F67,T67),{0,1,10,50,100,250,500,1000,2500},{0.0,1.31,1.1,0.957,0.814,0.744,0.672,0.495,0.47}),"")</f>
        <v>0</v>
      </c>
      <c r="V67" s="18">
        <f>iferror(if(T67="",F67,T67)*U67,"")</f>
        <v>0</v>
      </c>
      <c r="W67" s="20" t="s">
        <v>354</v>
      </c>
      <c r="AC67" s="19" t="s">
        <v>265</v>
      </c>
      <c r="AE67" s="18">
        <f>iferror(lookup(if(AD67="",F67,AD67),{0,1,10,50,100,1000,10000},{0.0,1.36,1.22,1.16,0.951,0.585,0.564}),"")</f>
        <v>0</v>
      </c>
      <c r="AF67" s="18">
        <f>iferror(if(AD67="",F67,AD67)*AE67,"")</f>
        <v>0</v>
      </c>
      <c r="AG67" s="20" t="s">
        <v>416</v>
      </c>
      <c r="AH67" s="19" t="s">
        <v>265</v>
      </c>
      <c r="AJ67" s="18">
        <f>iferror(lookup(if(AI67="",F67,AI67),{0,1,10,25,50,100,250},{0.0,1.77,1.65,1.54,1.44,1.34,1.25}),"")</f>
        <v>0</v>
      </c>
      <c r="AK67" s="18">
        <f>iferror(if(AI67="",F67,AI67)*AJ67,"")</f>
        <v>0</v>
      </c>
      <c r="AL67" s="20" t="s">
        <v>459</v>
      </c>
    </row>
    <row r="68" spans="1:48">
      <c r="A68" s="17" t="s">
        <v>191</v>
      </c>
      <c r="B68" s="17" t="s">
        <v>192</v>
      </c>
      <c r="D68" s="17" t="s">
        <v>193</v>
      </c>
      <c r="E68" s="17" t="s">
        <v>192</v>
      </c>
      <c r="F68" s="17">
        <f>BoardQty*1</f>
        <v>0</v>
      </c>
      <c r="G6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68" s="18">
        <f>iferror(F68*G68,"")</f>
        <v>0</v>
      </c>
      <c r="N68" s="17">
        <v>2008</v>
      </c>
      <c r="P68" s="18">
        <f>iferror(lookup(if(O68="",F68,O68),{0,1,10,25,100,250,500,1000,2500},{0.0,2.16,1.937,1.8272,1.5566,1.4616,1.2789,1.26,1.26}),"")</f>
        <v>0</v>
      </c>
      <c r="Q68" s="18">
        <f>iferror(if(O68="",F68,O68)*P68,"")</f>
        <v>0</v>
      </c>
      <c r="R68" s="20" t="s">
        <v>309</v>
      </c>
      <c r="S68" s="17">
        <v>2544</v>
      </c>
      <c r="U68" s="18">
        <f>iferror(USD_GBP*lookup(if(T68="",F68,T68),{0,1,10,50,100,250,500,1000,2500},{0.0,1.65,1.4,1.27,1.13,0.972,0.954,0.854,0.846}),"")</f>
        <v>0</v>
      </c>
      <c r="V68" s="18">
        <f>iferror(if(T68="",F68,T68)*U68,"")</f>
        <v>0</v>
      </c>
      <c r="W68" s="20" t="s">
        <v>355</v>
      </c>
      <c r="AC68" s="17">
        <v>1222</v>
      </c>
      <c r="AE68" s="18">
        <f>iferror(lookup(if(AD68="",F68,AD68),{0,1,10,50,100,1000,10000},{0.0,1.91,1.68,1.59,1.39,1.26,1.2}),"")</f>
        <v>0</v>
      </c>
      <c r="AF68" s="18">
        <f>iferror(if(AD68="",F68,AD68)*AE68,"")</f>
        <v>0</v>
      </c>
      <c r="AG68" s="20" t="s">
        <v>417</v>
      </c>
      <c r="AH68" s="17">
        <v>2241</v>
      </c>
      <c r="AJ68" s="18">
        <f>iferror(lookup(if(AI68="",F68,AI68),{0,1,10,25,50,100,250},{0.0,2.16,1.94,1.83,1.65,1.47,1.28}),"")</f>
        <v>0</v>
      </c>
      <c r="AK68" s="18">
        <f>iferror(if(AI68="",F68,AI68)*AJ68,"")</f>
        <v>0</v>
      </c>
      <c r="AL68" s="20" t="s">
        <v>460</v>
      </c>
    </row>
    <row r="69" spans="1:48">
      <c r="A69" s="17" t="s">
        <v>194</v>
      </c>
      <c r="B69" s="17" t="s">
        <v>195</v>
      </c>
      <c r="D69" s="17" t="s">
        <v>196</v>
      </c>
      <c r="E69" s="17" t="s">
        <v>197</v>
      </c>
      <c r="F69" s="17">
        <f>BoardQty*22</f>
        <v>0</v>
      </c>
      <c r="G6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69" s="18">
        <f>iferror(F69*G69,"")</f>
        <v>0</v>
      </c>
      <c r="N69" s="17">
        <v>10735</v>
      </c>
      <c r="P69" s="18">
        <f>iferror(lookup(if(O69="",F69,O69),{0,1,10,25,100,250,500,1000,2500},{0.0,3.09,2.775,2.6236,2.2737,2.15712,1.93556,1.837,1.837}),"")</f>
        <v>0</v>
      </c>
      <c r="Q69" s="18">
        <f>iferror(if(O69="",F69,O69)*P69,"")</f>
        <v>0</v>
      </c>
      <c r="R69" s="20" t="s">
        <v>310</v>
      </c>
      <c r="AC69" s="17">
        <v>3859</v>
      </c>
      <c r="AE69" s="18">
        <f>iferror(lookup(if(AD69="",F69,AD69),{0,1,10,50,100,1000,10000},{0.0,3.09,2.78,2.63,2.28,1.78,1.53}),"")</f>
        <v>0</v>
      </c>
      <c r="AF69" s="18">
        <f>iferror(if(AD69="",F69,AD69)*AE69,"")</f>
        <v>0</v>
      </c>
      <c r="AG69" s="20" t="s">
        <v>418</v>
      </c>
    </row>
    <row r="70" spans="1:48">
      <c r="A70" s="17" t="s">
        <v>198</v>
      </c>
      <c r="B70" s="17" t="s">
        <v>199</v>
      </c>
      <c r="D70" s="17" t="s">
        <v>200</v>
      </c>
      <c r="E70" s="17" t="s">
        <v>201</v>
      </c>
      <c r="F70" s="17">
        <f>BoardQty*1</f>
        <v>0</v>
      </c>
      <c r="G7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70" s="18">
        <f>iferror(F70*G70,"")</f>
        <v>0</v>
      </c>
      <c r="N70" s="17">
        <v>1607</v>
      </c>
      <c r="P70" s="18">
        <f>iferror(lookup(if(O70="",F70,O70),{0,1,10,25,100,250,500,1000,2500},{0.0,0.78,0.688,0.6468,0.5278,0.49024,0.41722,0.3444,0.3444}),"")</f>
        <v>0</v>
      </c>
      <c r="Q70" s="18">
        <f>iferror(if(O70="",F70,O70)*P70,"")</f>
        <v>0</v>
      </c>
      <c r="R70" s="20" t="s">
        <v>311</v>
      </c>
      <c r="S70" s="19" t="s">
        <v>265</v>
      </c>
      <c r="U70" s="18">
        <f>iferror(USD_GBP*lookup(if(T70="",F70,T70),{0,1,5,10,100,500,2500,7500,20000,37500},{0.0,0.587,0.587,0.467,0.271,0.196,0.186,0.185,0.183,0.182}),"")</f>
        <v>0</v>
      </c>
      <c r="V70" s="18">
        <f>iferror(if(T70="",F70,T70)*U70,"")</f>
        <v>0</v>
      </c>
      <c r="W70" s="20" t="s">
        <v>356</v>
      </c>
      <c r="AC70" s="17">
        <v>4690</v>
      </c>
      <c r="AE70" s="18">
        <f>iferror(lookup(if(AD70="",F70,AD70),{0,1,10,50,100,1000,10000},{0.0,0.79,0.689,0.689,0.528,0.334,0.275}),"")</f>
        <v>0</v>
      </c>
      <c r="AF70" s="18">
        <f>iferror(if(AD70="",F70,AD70)*AE70,"")</f>
        <v>0</v>
      </c>
      <c r="AG70" s="20" t="s">
        <v>419</v>
      </c>
      <c r="AH70" s="17">
        <v>15</v>
      </c>
      <c r="AJ70" s="18">
        <f>iferror(lookup(if(AI70="",F70,AI70),{0,1,5,10,100,2500,7500,20000,37500},{0.0,0.663,0.663,0.625,0.416,0.257,0.249,0.238,0.228}),"")</f>
        <v>0</v>
      </c>
      <c r="AK70" s="18">
        <f>iferror(if(AI70="",F70,AI70)*AJ70,"")</f>
        <v>0</v>
      </c>
      <c r="AL70" s="20" t="s">
        <v>461</v>
      </c>
      <c r="AM70" s="17">
        <v>1380</v>
      </c>
      <c r="AO70" s="18">
        <f>iferror(USD_GBP*lookup(if(AN70="",F70,AN70),{0,1,10,100,500,1000,2500},{0.0,0.42,0.42,0.279,0.268,0.206,0.184}),"")</f>
        <v>0</v>
      </c>
      <c r="AP70" s="18">
        <f>iferror(if(AN70="",F70,AN70)*AO70,"")</f>
        <v>0</v>
      </c>
      <c r="AQ70" s="20" t="s">
        <v>484</v>
      </c>
      <c r="AR70" s="19" t="s">
        <v>265</v>
      </c>
      <c r="AT70" s="18">
        <f>iferror(USD_GBP*lookup(if(AS70="",F70,AS70),{0,1,2500,7500},{0.0,0.1967,0.1967,0.1889}),"")</f>
        <v>0</v>
      </c>
      <c r="AU70" s="18">
        <f>iferror(if(AS70="",F70,AS70)*AT70,"")</f>
        <v>0</v>
      </c>
      <c r="AV70" s="20" t="s">
        <v>201</v>
      </c>
    </row>
    <row r="71" spans="1:48">
      <c r="A71" s="17" t="s">
        <v>202</v>
      </c>
      <c r="B71" s="17" t="s">
        <v>203</v>
      </c>
      <c r="D71" s="17" t="s">
        <v>204</v>
      </c>
      <c r="E71" s="17" t="s">
        <v>205</v>
      </c>
      <c r="F71" s="17">
        <f>BoardQty*4</f>
        <v>0</v>
      </c>
      <c r="G7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71" s="18">
        <f>iferror(F71*G71,"")</f>
        <v>0</v>
      </c>
      <c r="N71" s="17">
        <v>1450</v>
      </c>
      <c r="P71" s="18">
        <f>iferror(lookup(if(O71="",F71,O71),{0,1,10,25,100,250,1500},{0.0,38.06,35.51,34.0216,30.8322,30.09,30.09}),"")</f>
        <v>0</v>
      </c>
      <c r="Q71" s="18">
        <f>iferror(if(O71="",F71,O71)*P71,"")</f>
        <v>0</v>
      </c>
      <c r="R71" s="20" t="s">
        <v>312</v>
      </c>
    </row>
    <row r="72" spans="1:48">
      <c r="A72" s="17" t="s">
        <v>206</v>
      </c>
      <c r="B72" s="17" t="s">
        <v>207</v>
      </c>
      <c r="D72" s="17" t="s">
        <v>208</v>
      </c>
      <c r="E72" s="17" t="s">
        <v>209</v>
      </c>
      <c r="F72" s="17">
        <f>BoardQty*4</f>
        <v>0</v>
      </c>
      <c r="G7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72" s="18">
        <f>iferror(F72*G72,"")</f>
        <v>0</v>
      </c>
      <c r="N72" s="17">
        <v>1729</v>
      </c>
      <c r="P72" s="18">
        <f>iferror(lookup(if(O72="",F72,O72),{0,1,10,25,100,250,500,1000,3000},{0.0,1.68,1.501,1.4248,1.1702,1.09392,0.96672,0.8016,0.8016}),"")</f>
        <v>0</v>
      </c>
      <c r="Q72" s="18">
        <f>iferror(if(O72="",F72,O72)*P72,"")</f>
        <v>0</v>
      </c>
      <c r="R72" s="20" t="s">
        <v>313</v>
      </c>
      <c r="AC72" s="17">
        <v>4671</v>
      </c>
      <c r="AE72" s="18">
        <f>iferror(lookup(if(AD72="",F72,AD72),{0,1,10,50,100,1000,10000},{0.0,1.68,1.51,1.43,1.18,0.764,0.671}),"")</f>
        <v>0</v>
      </c>
      <c r="AF72" s="18">
        <f>iferror(if(AD72="",F72,AD72)*AE72,"")</f>
        <v>0</v>
      </c>
      <c r="AG72" s="20" t="s">
        <v>420</v>
      </c>
    </row>
    <row r="73" spans="1:48">
      <c r="A73" s="17" t="s">
        <v>210</v>
      </c>
      <c r="B73" s="17" t="s">
        <v>211</v>
      </c>
      <c r="D73" s="17" t="s">
        <v>212</v>
      </c>
      <c r="E73" s="17" t="s">
        <v>213</v>
      </c>
      <c r="F73" s="17">
        <f>BoardQty*8</f>
        <v>0</v>
      </c>
      <c r="G7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73" s="18">
        <f>iferror(F73*G73,"")</f>
        <v>0</v>
      </c>
      <c r="N73" s="17">
        <v>702</v>
      </c>
      <c r="P73" s="18">
        <f>iferror(lookup(if(O73="",F73,O73),{0,1,10,25,100,250,500,1000},{0.0,12.54,11.327,10.8,9.3774,8.95592,8.16572,7.455}),"")</f>
        <v>0</v>
      </c>
      <c r="Q73" s="18">
        <f>iferror(if(O73="",F73,O73)*P73,"")</f>
        <v>0</v>
      </c>
      <c r="R73" s="20" t="s">
        <v>314</v>
      </c>
      <c r="AC73" s="17">
        <v>308</v>
      </c>
      <c r="AE73" s="18">
        <f>iferror(lookup(if(AD73="",F73,AD73),{0,1,10,50,100,1000,10000},{0.0,12.54,11.33,10.8,9.38,7.6,7.6}),"")</f>
        <v>0</v>
      </c>
      <c r="AF73" s="18">
        <f>iferror(if(AD73="",F73,AD73)*AE73,"")</f>
        <v>0</v>
      </c>
      <c r="AG73" s="20" t="s">
        <v>421</v>
      </c>
    </row>
    <row r="74" spans="1:48">
      <c r="A74" s="17" t="s">
        <v>214</v>
      </c>
      <c r="B74" s="17" t="s">
        <v>215</v>
      </c>
      <c r="D74" s="17" t="s">
        <v>216</v>
      </c>
      <c r="E74" s="17" t="s">
        <v>215</v>
      </c>
      <c r="F74" s="17">
        <f>BoardQty*6</f>
        <v>0</v>
      </c>
      <c r="G7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74" s="18">
        <f>iferror(F74*G74,"")</f>
        <v>0</v>
      </c>
      <c r="N74" s="17">
        <v>263</v>
      </c>
      <c r="P74" s="18">
        <f>iferror(lookup(if(O74="",F74,O74),{0,1,10,25,100,250,500,2000},{0.0,3.51,3.154,2.9812,2.3718,2.25248,2.0875,2.0875}),"")</f>
        <v>0</v>
      </c>
      <c r="Q74" s="18">
        <f>iferror(if(O74="",F74,O74)*P74,"")</f>
        <v>0</v>
      </c>
      <c r="R74" s="20" t="s">
        <v>315</v>
      </c>
      <c r="AC74" s="17">
        <v>1339</v>
      </c>
      <c r="AE74" s="18">
        <f>iferror(lookup(if(AD74="",F74,AD74),{0,1,10,50,100,1000,10000},{0.0,3.51,3.16,2.99,2.38,1.88,1.74}),"")</f>
        <v>0</v>
      </c>
      <c r="AF74" s="18">
        <f>iferror(if(AD74="",F74,AD74)*AE74,"")</f>
        <v>0</v>
      </c>
      <c r="AG74" s="20" t="s">
        <v>422</v>
      </c>
    </row>
    <row r="75" spans="1:48">
      <c r="A75" s="17" t="s">
        <v>217</v>
      </c>
      <c r="B75" s="17" t="s">
        <v>218</v>
      </c>
      <c r="D75" s="17" t="s">
        <v>168</v>
      </c>
      <c r="E75" s="17" t="s">
        <v>219</v>
      </c>
      <c r="F75" s="17">
        <f>BoardQty*1</f>
        <v>0</v>
      </c>
      <c r="G7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75" s="18">
        <f>iferror(F75*G75,"")</f>
        <v>0</v>
      </c>
      <c r="N75" s="17">
        <v>7992</v>
      </c>
      <c r="P75" s="18">
        <f>iferror(lookup(if(O75="",F75,O75),{0,1,10,25,100,250,500,1000},{0.0,1.54,1.376,1.306,1.0727,1.00276,0.88616,0.7348}),"")</f>
        <v>0</v>
      </c>
      <c r="Q75" s="18">
        <f>iferror(if(O75="",F75,O75)*P75,"")</f>
        <v>0</v>
      </c>
      <c r="R75" s="20" t="s">
        <v>316</v>
      </c>
      <c r="S75" s="19" t="s">
        <v>265</v>
      </c>
      <c r="U75" s="18">
        <f>iferror(USD_GBP*lookup(if(T75="",F75,T75),{0,1,10,50,100,250,500,1000,2500},{0.0,1.46,1.22,1.04,0.856,0.751,0.711,0.526,0.515}),"")</f>
        <v>0</v>
      </c>
      <c r="V75" s="18">
        <f>iferror(if(T75="",F75,T75)*U75,"")</f>
        <v>0</v>
      </c>
      <c r="W75" s="20" t="s">
        <v>357</v>
      </c>
      <c r="X75" s="17">
        <v>1004</v>
      </c>
      <c r="Z75" s="18">
        <f>iferror(lookup(if(Y75="",F75,Y75),{0,1,10,30,100,500,1000},{0.0,1.1938,0.8963,0.8422,0.7863,0.7628,0.7502}),"")</f>
        <v>0</v>
      </c>
      <c r="AA75" s="18">
        <f>iferror(if(Y75="",F75,Y75)*Z75,"")</f>
        <v>0</v>
      </c>
      <c r="AB75" s="20" t="s">
        <v>370</v>
      </c>
      <c r="AC75" s="17">
        <v>433</v>
      </c>
      <c r="AE75" s="18">
        <f>iferror(lookup(if(AD75="",F75,AD75),{0,1,10,50,100,1000,10000},{0.0,1.54,1.38,1.31,1.01,0.699,0.615}),"")</f>
        <v>0</v>
      </c>
      <c r="AF75" s="18">
        <f>iferror(if(AD75="",F75,AD75)*AE75,"")</f>
        <v>0</v>
      </c>
      <c r="AG75" s="20" t="s">
        <v>423</v>
      </c>
      <c r="AH75" s="19" t="s">
        <v>265</v>
      </c>
      <c r="AJ75" s="18">
        <f>iferror(lookup(if(AI75="",F75,AI75),{0,1,10,25,50,100,250},{0.0,2.0,1.86,1.74,1.63,1.52,1.42}),"")</f>
        <v>0</v>
      </c>
      <c r="AK75" s="18">
        <f>iferror(if(AI75="",F75,AI75)*AJ75,"")</f>
        <v>0</v>
      </c>
      <c r="AL75" s="20" t="s">
        <v>462</v>
      </c>
      <c r="AM75" s="17">
        <v>400</v>
      </c>
      <c r="AO75" s="18">
        <f>iferror(USD_GBP*lookup(if(AN75="",F75,AN75),{0,1,5,25,50,100,250},{0.0,1.244,1.244,1.206,1.18,1.148,1.12}),"")</f>
        <v>0</v>
      </c>
      <c r="AP75" s="18">
        <f>iferror(if(AN75="",F75,AN75)*AO75,"")</f>
        <v>0</v>
      </c>
      <c r="AQ75" s="20" t="s">
        <v>485</v>
      </c>
      <c r="AR75" s="19" t="s">
        <v>265</v>
      </c>
      <c r="AT75" s="18">
        <f>iferror(USD_GBP*lookup(if(AS75="",F75,AS75),{0,1,5,25,100},{0.0,0.87,0.79,0.7,0.63}),"")</f>
        <v>0</v>
      </c>
      <c r="AU75" s="18">
        <f>iferror(if(AS75="",F75,AS75)*AT75,"")</f>
        <v>0</v>
      </c>
      <c r="AV75" s="20" t="s">
        <v>507</v>
      </c>
    </row>
    <row r="76" spans="1:48">
      <c r="A76" s="17" t="s">
        <v>220</v>
      </c>
      <c r="B76" s="17" t="s">
        <v>160</v>
      </c>
      <c r="D76" s="17" t="s">
        <v>160</v>
      </c>
      <c r="E76" s="17" t="s">
        <v>160</v>
      </c>
      <c r="F76" s="17">
        <f>BoardQty*1</f>
        <v>0</v>
      </c>
      <c r="G7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76" s="18">
        <f>iferror(F76*G76,"")</f>
        <v>0</v>
      </c>
      <c r="N76" s="17">
        <v>51</v>
      </c>
      <c r="P76" s="18">
        <f>iferror(lookup(if(O76="",F76,O76),{0,1,10,25,100,250,3000},{0.0,19.57,17.985,17.2392,15.1891,14.68096,14.68097}),"")</f>
        <v>0</v>
      </c>
      <c r="Q76" s="18">
        <f>iferror(if(O76="",F76,O76)*P76,"")</f>
        <v>0</v>
      </c>
      <c r="R76" s="20" t="s">
        <v>317</v>
      </c>
    </row>
    <row r="77" spans="1:48">
      <c r="A77" s="17" t="s">
        <v>221</v>
      </c>
      <c r="B77" s="17" t="s">
        <v>222</v>
      </c>
      <c r="D77" s="17" t="s">
        <v>223</v>
      </c>
      <c r="E77" s="17" t="s">
        <v>222</v>
      </c>
      <c r="F77" s="17">
        <f>BoardQty*4</f>
        <v>0</v>
      </c>
      <c r="G7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77" s="18">
        <f>iferror(F77*G77,"")</f>
        <v>0</v>
      </c>
      <c r="N77" s="17">
        <v>221</v>
      </c>
      <c r="P77" s="18">
        <f>iferror(lookup(if(O77="",F77,O77),{0,1,10,25,100,250,500,1000,2000},{0.0,3.51,3.154,2.9812,2.5838,2.45124,2.1995,2.0875,2.0875}),"")</f>
        <v>0</v>
      </c>
      <c r="Q77" s="18">
        <f>iferror(if(O77="",F77,O77)*P77,"")</f>
        <v>0</v>
      </c>
      <c r="R77" s="20" t="s">
        <v>318</v>
      </c>
      <c r="AC77" s="17">
        <v>1491</v>
      </c>
      <c r="AE77" s="18">
        <f>iferror(lookup(if(AD77="",F77,AD77),{0,1,10,50,100,1000,10000},{0.0,3.51,3.16,2.99,2.59,1.92,1.74}),"")</f>
        <v>0</v>
      </c>
      <c r="AF77" s="18">
        <f>iferror(if(AD77="",F77,AD77)*AE77,"")</f>
        <v>0</v>
      </c>
      <c r="AG77" s="20" t="s">
        <v>424</v>
      </c>
    </row>
    <row r="78" spans="1:48">
      <c r="A78" s="17" t="s">
        <v>224</v>
      </c>
      <c r="B78" s="17" t="s">
        <v>33</v>
      </c>
      <c r="D78" s="17" t="s">
        <v>11</v>
      </c>
      <c r="E78" s="17" t="s">
        <v>225</v>
      </c>
      <c r="F78" s="17">
        <f>BoardQty*7</f>
        <v>0</v>
      </c>
      <c r="G7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78" s="18">
        <f>iferror(F78*G78,"")</f>
        <v>0</v>
      </c>
      <c r="N78" s="17">
        <v>1864</v>
      </c>
      <c r="P78" s="18">
        <f>iferror(lookup(if(O78="",F78,O78),{0,1,10,50,100,500,1000,4000},{0.0,0.19,0.127,0.0762,0.0644,0.04404,0.03896,0.03388}),"")</f>
        <v>0</v>
      </c>
      <c r="Q78" s="18">
        <f>iferror(if(O78="",F78,O78)*P78,"")</f>
        <v>0</v>
      </c>
      <c r="R78" s="20" t="s">
        <v>319</v>
      </c>
      <c r="S78" s="17">
        <v>2316</v>
      </c>
      <c r="U78" s="18">
        <f>iferror(USD_GBP*lookup(if(T78="",F78,T78),{0,1,25,50,100,250,500},{0.0,0.25,0.11,0.0921,0.0748,0.0659,0.0522}),"")</f>
        <v>0</v>
      </c>
      <c r="V78" s="18">
        <f>iferror(if(T78="",F78,T78)*U78,"")</f>
        <v>0</v>
      </c>
      <c r="W78" s="20" t="s">
        <v>358</v>
      </c>
      <c r="X78" s="17">
        <v>4120</v>
      </c>
      <c r="Z78" s="18">
        <f>iferror(lookup(if(Y78="",F78,Y78),{0,1,20,200,600,2000,10000,20000},{0.0,0.0276,0.0276,0.0209,0.0196,0.0184,0.0178,0.0176}),"")</f>
        <v>0</v>
      </c>
      <c r="AA78" s="18">
        <f>iferror(if(Y78="",F78,Y78)*Z78,"")</f>
        <v>0</v>
      </c>
      <c r="AB78" s="20" t="s">
        <v>371</v>
      </c>
      <c r="AC78" s="17">
        <v>26428</v>
      </c>
      <c r="AE78" s="18">
        <f>iferror(lookup(if(AD78="",F78,AD78),{0,1,10,50,100,1000,10000},{0.0,0.3,0.106,0.106,0.072,0.048,0.035}),"")</f>
        <v>0</v>
      </c>
      <c r="AF78" s="18">
        <f>iferror(if(AD78="",F78,AD78)*AE78,"")</f>
        <v>0</v>
      </c>
      <c r="AG78" s="20" t="s">
        <v>425</v>
      </c>
      <c r="AH78" s="17">
        <v>2316</v>
      </c>
      <c r="AJ78" s="18">
        <f>iferror(lookup(if(AI78="",F78,AI78),{0,1,25,50,100,250,500,4000,8000,16000,24000},{0.0,0.375,0.133,0.111,0.09,0.084,0.078,0.042,0.035,0.03,0.029}),"")</f>
        <v>0</v>
      </c>
      <c r="AK78" s="18">
        <f>iferror(if(AI78="",F78,AI78)*AJ78,"")</f>
        <v>0</v>
      </c>
      <c r="AL78" s="20" t="s">
        <v>463</v>
      </c>
    </row>
    <row r="79" spans="1:48">
      <c r="A79" s="17" t="s">
        <v>226</v>
      </c>
      <c r="B79" s="17" t="s">
        <v>227</v>
      </c>
      <c r="D79" s="17" t="s">
        <v>11</v>
      </c>
      <c r="E79" s="17" t="s">
        <v>228</v>
      </c>
      <c r="F79" s="17">
        <f>BoardQty*3</f>
        <v>0</v>
      </c>
      <c r="G7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79" s="18">
        <f>iferror(F79*G79,"")</f>
        <v>0</v>
      </c>
      <c r="N79" s="19" t="s">
        <v>265</v>
      </c>
      <c r="P79" s="18">
        <f>iferror(lookup(if(O79="",F79,O79),{0,1,10,50,100,500,1000,4000},{0.0,0.11,0.083,0.0454,0.037,0.02644,0.02078,0.01738}),"")</f>
        <v>0</v>
      </c>
      <c r="Q79" s="18">
        <f>iferror(if(O79="",F79,O79)*P79,"")</f>
        <v>0</v>
      </c>
      <c r="R79" s="20" t="s">
        <v>320</v>
      </c>
      <c r="S79" s="17">
        <v>16000</v>
      </c>
      <c r="U79" s="18">
        <f>iferror(USD_GBP*lookup(if(T79="",F79,T79),{0,1,10,100,150,500,1000,2000,4000,20000},{0.0,0.0735,0.0735,0.0208,0.0208,0.0186,0.0163,0.014,0.012,0.0118}),"")</f>
        <v>0</v>
      </c>
      <c r="V79" s="18">
        <f>iferror(if(T79="",F79,T79)*U79,"")</f>
        <v>0</v>
      </c>
      <c r="W79" s="20" t="s">
        <v>359</v>
      </c>
      <c r="AC79" s="19" t="s">
        <v>265</v>
      </c>
      <c r="AE79" s="18">
        <f>iferror(lookup(if(AD79="",F79,AD79),{0,1,10,50,100,1000,10000},{0.0,0.11,0.063,0.063,0.026,0.022,0.014}),"")</f>
        <v>0</v>
      </c>
      <c r="AF79" s="18">
        <f>iferror(if(AD79="",F79,AD79)*AE79,"")</f>
        <v>0</v>
      </c>
      <c r="AG79" s="20" t="s">
        <v>426</v>
      </c>
      <c r="AH79" s="17">
        <v>16000</v>
      </c>
      <c r="AJ79" s="18">
        <f>iferror(lookup(if(AI79="",F79,AI79),{0,1,10,25,50,100,4000,8000},{0.0,0.063,0.063,0.051,0.038,0.026,0.016,0.015}),"")</f>
        <v>0</v>
      </c>
      <c r="AK79" s="18">
        <f>iferror(if(AI79="",F79,AI79)*AJ79,"")</f>
        <v>0</v>
      </c>
      <c r="AL79" s="20" t="s">
        <v>464</v>
      </c>
      <c r="AM79" s="17">
        <v>2800</v>
      </c>
      <c r="AO79" s="18">
        <f>iferror(USD_GBP*lookup(if(AN79="",F79,AN79),{0,1,4000,12000},{0.0,0.013,0.013,0.012}),"")</f>
        <v>0</v>
      </c>
      <c r="AP79" s="18">
        <f>iferror(if(AN79="",F79,AN79)*AO79,"")</f>
        <v>0</v>
      </c>
      <c r="AQ79" s="20" t="s">
        <v>486</v>
      </c>
    </row>
    <row r="80" spans="1:48">
      <c r="A80" s="17" t="s">
        <v>229</v>
      </c>
      <c r="B80" s="17" t="s">
        <v>230</v>
      </c>
      <c r="D80" s="17" t="s">
        <v>11</v>
      </c>
      <c r="E80" s="17" t="s">
        <v>231</v>
      </c>
      <c r="F80" s="17">
        <f>BoardQty*16</f>
        <v>0</v>
      </c>
      <c r="G8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80" s="18">
        <f>iferror(F80*G80,"")</f>
        <v>0</v>
      </c>
      <c r="N80" s="17">
        <v>38266</v>
      </c>
      <c r="P80" s="18">
        <f>iferror(lookup(if(O80="",F80,O80),{0,1,10,50,100,500,1000,4000},{0.0,0.1,0.07,0.038,0.031,0.02214,0.01739,0.01455}),"")</f>
        <v>0</v>
      </c>
      <c r="Q80" s="18">
        <f>iferror(if(O80="",F80,O80)*P80,"")</f>
        <v>0</v>
      </c>
      <c r="R80" s="20" t="s">
        <v>321</v>
      </c>
      <c r="S80" s="17">
        <v>66000</v>
      </c>
      <c r="U80" s="18">
        <f>iferror(USD_GBP*lookup(if(T80="",F80,T80),{0,1,10,100,150,500,1000,2000,4000,20000},{0.0,0.0319,0.0319,0.0236,0.0236,0.0169,0.0151,0.0148,0.0093,0.0091}),"")</f>
        <v>0</v>
      </c>
      <c r="V80" s="18">
        <f>iferror(if(T80="",F80,T80)*U80,"")</f>
        <v>0</v>
      </c>
      <c r="W80" s="20" t="s">
        <v>360</v>
      </c>
      <c r="AC80" s="17">
        <v>45871</v>
      </c>
      <c r="AE80" s="18">
        <f>iferror(lookup(if(AD80="",F80,AD80),{0,1,10,50,100,1000,10000},{0.0,0.1,0.037,0.037,0.022,0.017,0.012}),"")</f>
        <v>0</v>
      </c>
      <c r="AF80" s="18">
        <f>iferror(if(AD80="",F80,AD80)*AE80,"")</f>
        <v>0</v>
      </c>
      <c r="AG80" s="20" t="s">
        <v>427</v>
      </c>
      <c r="AH80" s="17">
        <v>28000</v>
      </c>
      <c r="AJ80" s="18">
        <f>iferror(lookup(if(AI80="",F80,AI80),{0,1,25,50,100,4000},{0.0,0.12,0.064,0.047,0.029,0.017}),"")</f>
        <v>0</v>
      </c>
      <c r="AK80" s="18">
        <f>iferror(if(AI80="",F80,AI80)*AJ80,"")</f>
        <v>0</v>
      </c>
      <c r="AL80" s="20" t="s">
        <v>465</v>
      </c>
      <c r="AM80" s="17">
        <v>2200</v>
      </c>
      <c r="AO80" s="18">
        <f>iferror(USD_GBP*lookup(if(AN80="",F80,AN80),{0,1,4000,12000},{0.0,0.013,0.013,0.012}),"")</f>
        <v>0</v>
      </c>
      <c r="AP80" s="18">
        <f>iferror(if(AN80="",F80,AN80)*AO80,"")</f>
        <v>0</v>
      </c>
      <c r="AQ80" s="20" t="s">
        <v>487</v>
      </c>
      <c r="AR80" s="17">
        <v>38400</v>
      </c>
      <c r="AT80" s="18">
        <f>iferror(USD_GBP*lookup(if(AS80="",F80,AS80),{0,1,100,300,1000,4000,12000},{0.0,0.01343,0.01343,0.00979,0.00655,0.0051,0.00493}),"")</f>
        <v>0</v>
      </c>
      <c r="AU80" s="18">
        <f>iferror(if(AS80="",F80,AS80)*AT80,"")</f>
        <v>0</v>
      </c>
      <c r="AV80" s="20" t="s">
        <v>508</v>
      </c>
    </row>
    <row r="81" spans="1:48">
      <c r="A81" s="17" t="s">
        <v>232</v>
      </c>
      <c r="B81" s="17" t="s">
        <v>31</v>
      </c>
      <c r="D81" s="17" t="s">
        <v>233</v>
      </c>
      <c r="F81" s="17">
        <f>BoardQty*4</f>
        <v>0</v>
      </c>
      <c r="G8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81" s="18">
        <f>iferror(F81*G81,"")</f>
        <v>0</v>
      </c>
    </row>
    <row r="82" spans="1:48">
      <c r="A82" s="17" t="s">
        <v>234</v>
      </c>
      <c r="B82" s="17" t="s">
        <v>235</v>
      </c>
      <c r="D82" s="17" t="s">
        <v>37</v>
      </c>
      <c r="F82" s="17">
        <f>BoardQty*4</f>
        <v>0</v>
      </c>
      <c r="G8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82" s="18">
        <f>iferror(F82*G82,"")</f>
        <v>0</v>
      </c>
    </row>
    <row r="83" spans="1:48">
      <c r="A83" s="17" t="s">
        <v>236</v>
      </c>
      <c r="B83" s="17" t="s">
        <v>237</v>
      </c>
      <c r="D83" s="17" t="s">
        <v>93</v>
      </c>
      <c r="E83" s="17" t="s">
        <v>238</v>
      </c>
      <c r="F83" s="17">
        <f>BoardQty*40</f>
        <v>0</v>
      </c>
      <c r="G8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83" s="18">
        <f>iferror(F83*G83,"")</f>
        <v>0</v>
      </c>
      <c r="N83" s="17">
        <v>15056835</v>
      </c>
      <c r="P83" s="18">
        <f>iferror(lookup(if(O83="",F83,O83),{0,1,10,100,1000,2500,5000},{0.0,0.1,0.024,0.0097,0.00436,0.00378,0.00312}),"")</f>
        <v>0</v>
      </c>
      <c r="Q83" s="18">
        <f>iferror(if(O83="",F83,O83)*P83,"")</f>
        <v>0</v>
      </c>
      <c r="R83" s="20" t="s">
        <v>322</v>
      </c>
      <c r="S83" s="17">
        <v>13400000</v>
      </c>
      <c r="U83" s="18">
        <f>iferror(USD_GBP*lookup(if(T83="",F83,T83),{0,1,10,100,150,500,1000,2500,5000,25000},{0.0,0.0234,0.0234,0.0084,0.0084,0.0068,0.0051,0.0045,0.0054,0.0036}),"")</f>
        <v>0</v>
      </c>
      <c r="V83" s="18">
        <f>iferror(if(T83="",F83,T83)*U83,"")</f>
        <v>0</v>
      </c>
      <c r="W83" s="20" t="s">
        <v>361</v>
      </c>
      <c r="AC83" s="17">
        <v>1066461</v>
      </c>
      <c r="AE83" s="18">
        <f>iferror(lookup(if(AD83="",F83,AD83),{0,1,10,50,100,1000,10000},{0.0,0.1,0.021,0.021,0.007,0.004,0.002}),"")</f>
        <v>0</v>
      </c>
      <c r="AF83" s="18">
        <f>iferror(if(AD83="",F83,AD83)*AE83,"")</f>
        <v>0</v>
      </c>
      <c r="AG83" s="20" t="s">
        <v>428</v>
      </c>
      <c r="AH83" s="17">
        <v>215000</v>
      </c>
      <c r="AJ83" s="18">
        <f>iferror(lookup(if(AI83="",F83,AI83),{0,1,5000},{0.0,0.006,0.006}),"")</f>
        <v>0</v>
      </c>
      <c r="AK83" s="18">
        <f>iferror(if(AI83="",F83,AI83)*AJ83,"")</f>
        <v>0</v>
      </c>
      <c r="AL83" s="20" t="s">
        <v>466</v>
      </c>
      <c r="AM83" s="17">
        <v>91700</v>
      </c>
      <c r="AO83" s="18">
        <f>iferror(USD_GBP*lookup(if(AN83="",F83,AN83),{0,1,100,500,1000,2000,5000,10000,15000,20000},{0.0,0.005,0.005,0.005,0.004,0.004,0.003,0.003,0.003,0.002}),"")</f>
        <v>0</v>
      </c>
      <c r="AP83" s="18">
        <f>iferror(if(AN83="",F83,AN83)*AO83,"")</f>
        <v>0</v>
      </c>
      <c r="AQ83" s="20" t="s">
        <v>488</v>
      </c>
      <c r="AR83" s="19" t="s">
        <v>265</v>
      </c>
      <c r="AT83" s="18">
        <f>iferror(USD_GBP*lookup(if(AS83="",F83,AS83),{0,1,100,1000,5000,15000,50000},{0.0,0.01083,0.01083,0.00237,0.00097,0.00089,0.00086}),"")</f>
        <v>0</v>
      </c>
      <c r="AU83" s="18">
        <f>iferror(if(AS83="",F83,AS83)*AT83,"")</f>
        <v>0</v>
      </c>
      <c r="AV83" s="20" t="s">
        <v>509</v>
      </c>
    </row>
    <row r="84" spans="1:48">
      <c r="A84" s="17" t="s">
        <v>239</v>
      </c>
      <c r="B84" s="17" t="s">
        <v>240</v>
      </c>
      <c r="D84" s="17" t="s">
        <v>93</v>
      </c>
      <c r="E84" s="17" t="s">
        <v>241</v>
      </c>
      <c r="F84" s="17">
        <f>BoardQty*57</f>
        <v>0</v>
      </c>
      <c r="G8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84" s="18">
        <f>iferror(F84*G84,"")</f>
        <v>0</v>
      </c>
      <c r="N84" s="19" t="s">
        <v>265</v>
      </c>
      <c r="P84" s="18">
        <f>iferror(lookup(if(O84="",F84,O84),{0,1,10,100,1000,2500,5000},{0.0,0.1,0.024,0.0097,0.00436,0.00378,0.00312}),"")</f>
        <v>0</v>
      </c>
      <c r="Q84" s="18">
        <f>iferror(if(O84="",F84,O84)*P84,"")</f>
        <v>0</v>
      </c>
      <c r="R84" s="20" t="s">
        <v>323</v>
      </c>
      <c r="S84" s="17">
        <v>860000</v>
      </c>
      <c r="U84" s="18">
        <f>iferror(USD_GBP*lookup(if(T84="",F84,T84),{0,1,10,100,150,500,1000,2500,5000,25000},{0.0,0.0229,0.0229,0.0082,0.0082,0.0066,0.005,0.0044,0.005,0.003}),"")</f>
        <v>0</v>
      </c>
      <c r="V84" s="18">
        <f>iferror(if(T84="",F84,T84)*U84,"")</f>
        <v>0</v>
      </c>
      <c r="W84" s="20" t="s">
        <v>362</v>
      </c>
      <c r="AC84" s="19" t="s">
        <v>265</v>
      </c>
      <c r="AE84" s="18">
        <f>iferror(lookup(if(AD84="",F84,AD84),{0,1,10,50,100,1000,10000},{0.0,0.1,0.018,0.018,0.006,0.005,0.003}),"")</f>
        <v>0</v>
      </c>
      <c r="AF84" s="18">
        <f>iferror(if(AD84="",F84,AD84)*AE84,"")</f>
        <v>0</v>
      </c>
      <c r="AG84" s="20" t="s">
        <v>429</v>
      </c>
      <c r="AH84" s="17">
        <v>860000</v>
      </c>
      <c r="AJ84" s="18">
        <f>iferror(lookup(if(AI84="",F84,AI84),{0,1,10,25,50,100,5000},{0.0,0.1,0.1,0.018,0.012,0.006,0.003}),"")</f>
        <v>0</v>
      </c>
      <c r="AK84" s="18">
        <f>iferror(if(AI84="",F84,AI84)*AJ84,"")</f>
        <v>0</v>
      </c>
      <c r="AL84" s="20" t="s">
        <v>467</v>
      </c>
      <c r="AM84" s="17">
        <v>2500</v>
      </c>
      <c r="AO84" s="18">
        <f>iferror(USD_GBP*lookup(if(AN84="",F84,AN84),{0,1,5000},{0.0,0.003,0.003}),"")</f>
        <v>0</v>
      </c>
      <c r="AP84" s="18">
        <f>iferror(if(AN84="",F84,AN84)*AO84,"")</f>
        <v>0</v>
      </c>
      <c r="AQ84" s="20" t="s">
        <v>489</v>
      </c>
      <c r="AR84" s="19" t="s">
        <v>265</v>
      </c>
      <c r="AT84" s="18">
        <f>iferror(USD_GBP*lookup(if(AS84="",F84,AS84),{0,1,100,1000,5000,15000},{0.0,0.0266,0.0266,0.00958,0.00388,0.00327}),"")</f>
        <v>0</v>
      </c>
      <c r="AU84" s="18">
        <f>iferror(if(AS84="",F84,AS84)*AT84,"")</f>
        <v>0</v>
      </c>
      <c r="AV84" s="20" t="s">
        <v>510</v>
      </c>
    </row>
    <row r="85" spans="1:48">
      <c r="A85" s="17" t="s">
        <v>242</v>
      </c>
      <c r="B85" s="17" t="s">
        <v>243</v>
      </c>
      <c r="D85" s="17" t="s">
        <v>93</v>
      </c>
      <c r="E85" s="17" t="s">
        <v>244</v>
      </c>
      <c r="F85" s="17">
        <f>BoardQty*16</f>
        <v>0</v>
      </c>
      <c r="G8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85" s="18">
        <f>iferror(F85*G85,"")</f>
        <v>0</v>
      </c>
      <c r="N85" s="17">
        <v>388314</v>
      </c>
      <c r="P85" s="18">
        <f>iferror(lookup(if(O85="",F85,O85),{0,1,10,100,1000,2500,5000},{0.0,0.1,0.024,0.0097,0.00436,0.00378,0.00312}),"")</f>
        <v>0</v>
      </c>
      <c r="Q85" s="18">
        <f>iferror(if(O85="",F85,O85)*P85,"")</f>
        <v>0</v>
      </c>
      <c r="R85" s="20" t="s">
        <v>324</v>
      </c>
      <c r="S85" s="17">
        <v>99580</v>
      </c>
      <c r="U85" s="18">
        <f>iferror(USD_GBP*lookup(if(T85="",F85,T85),{0,1,10,100,150,500,1000,2500,5000,25000},{0.0,0.0132,0.0132,0.0122,0.0122,0.0095,0.0077,0.0063,0.0053,0.0036}),"")</f>
        <v>0</v>
      </c>
      <c r="V85" s="18">
        <f>iferror(if(T85="",F85,T85)*U85,"")</f>
        <v>0</v>
      </c>
      <c r="W85" s="20" t="s">
        <v>363</v>
      </c>
      <c r="AC85" s="17">
        <v>72282</v>
      </c>
      <c r="AE85" s="18">
        <f>iferror(lookup(if(AD85="",F85,AD85),{0,1,10,50,100,1000,10000},{0.0,0.1,0.02,0.02,0.007,0.004,0.002}),"")</f>
        <v>0</v>
      </c>
      <c r="AF85" s="18">
        <f>iferror(if(AD85="",F85,AD85)*AE85,"")</f>
        <v>0</v>
      </c>
      <c r="AG85" s="20" t="s">
        <v>430</v>
      </c>
      <c r="AH85" s="19" t="s">
        <v>265</v>
      </c>
      <c r="AJ85" s="18">
        <f>iferror(lookup(if(AI85="",F85,AI85),{0,1,10,25,50,100},{0.0,0.019,0.019,0.015,0.011,0.007}),"")</f>
        <v>0</v>
      </c>
      <c r="AK85" s="18">
        <f>iferror(if(AI85="",F85,AI85)*AJ85,"")</f>
        <v>0</v>
      </c>
      <c r="AL85" s="20" t="s">
        <v>468</v>
      </c>
      <c r="AR85" s="19" t="s">
        <v>265</v>
      </c>
      <c r="AT85" s="18">
        <f>iferror(USD_GBP*lookup(if(AS85="",F85,AS85),{0,1,100,1000,5000,15000},{0.0,0.0266,0.0266,0.00958,0.00388,0.00327}),"")</f>
        <v>0</v>
      </c>
      <c r="AU85" s="18">
        <f>iferror(if(AS85="",F85,AS85)*AT85,"")</f>
        <v>0</v>
      </c>
      <c r="AV85" s="20" t="s">
        <v>511</v>
      </c>
    </row>
    <row r="87" spans="1:48">
      <c r="B87" s="21" t="s">
        <v>247</v>
      </c>
      <c r="G87" s="1" t="s">
        <v>245</v>
      </c>
      <c r="H87" s="5">
        <f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0</v>
      </c>
      <c r="J87" s="6">
        <f>IFERROR(IF(OR(J7:J85),COUNTIFS(J7:J85,"&gt;0",L7:L85,"&lt;&gt;")&amp;" of "&amp;(ROWS(L7:L85)-COUNTBLANK(L7:L85))&amp;" parts purchased",""),"")</f>
        <v>0</v>
      </c>
      <c r="L87" s="5">
        <f>SUMIF(J7:J85,"&gt;0",L7:L85)</f>
        <v>0</v>
      </c>
      <c r="O87" s="6">
        <f>IFERROR(IF(OR(O7:O85),COUNTIFS(O7:O85,"&gt;0",Q7:Q85,"&lt;&gt;")&amp;" of "&amp;(ROWS(Q7:Q85)-COUNTBLANK(Q7:Q85))&amp;" parts purchased",""),"")</f>
        <v>0</v>
      </c>
      <c r="Q87" s="5">
        <f>SUMIF(O7:O85,"&gt;0",Q7:Q85)</f>
        <v>0</v>
      </c>
      <c r="T87" s="6">
        <f>IFERROR(IF(OR(T7:T85),COUNTIFS(T7:T85,"&gt;0",V7:V85,"&lt;&gt;")&amp;" of "&amp;(ROWS(V7:V85)-COUNTBLANK(V7:V85))&amp;" parts purchased",""),"")</f>
        <v>0</v>
      </c>
      <c r="V87" s="5">
        <f>SUMIF(T7:T85,"&gt;0",V7:V85)</f>
        <v>0</v>
      </c>
      <c r="Y87" s="6">
        <f>IFERROR(IF(OR(Y7:Y85),COUNTIFS(Y7:Y85,"&gt;0",AA7:AA85,"&lt;&gt;")&amp;" of "&amp;(ROWS(AA7:AA85)-COUNTBLANK(AA7:AA85))&amp;" parts purchased",""),"")</f>
        <v>0</v>
      </c>
      <c r="AA87" s="5">
        <f>SUMIF(Y7:Y85,"&gt;0",AA7:AA85)</f>
        <v>0</v>
      </c>
      <c r="AD87" s="6">
        <f>IFERROR(IF(OR(AD7:AD85),COUNTIFS(AD7:AD85,"&gt;0",AF7:AF85,"&lt;&gt;")&amp;" of "&amp;(ROWS(AF7:AF85)-COUNTBLANK(AF7:AF85))&amp;" parts purchased",""),"")</f>
        <v>0</v>
      </c>
      <c r="AF87" s="5">
        <f>SUMIF(AD7:AD85,"&gt;0",AF7:AF85)</f>
        <v>0</v>
      </c>
      <c r="AI87" s="6">
        <f>IFERROR(IF(OR(AI7:AI85),COUNTIFS(AI7:AI85,"&gt;0",AK7:AK85,"&lt;&gt;")&amp;" of "&amp;(ROWS(AK7:AK85)-COUNTBLANK(AK7:AK85))&amp;" parts purchased",""),"")</f>
        <v>0</v>
      </c>
      <c r="AK87" s="5">
        <f>SUMIF(AI7:AI85,"&gt;0",AK7:AK85)</f>
        <v>0</v>
      </c>
      <c r="AN87" s="6">
        <f>IFERROR(IF(OR(AN7:AN85),COUNTIFS(AN7:AN85,"&gt;0",AP7:AP85,"&lt;&gt;")&amp;" of "&amp;(ROWS(AP7:AP85)-COUNTBLANK(AP7:AP85))&amp;" parts purchased",""),"")</f>
        <v>0</v>
      </c>
      <c r="AP87" s="5">
        <f>SUMIF(AN7:AN85,"&gt;0",AP7:AP85)</f>
        <v>0</v>
      </c>
      <c r="AS87" s="6">
        <f>IFERROR(IF(OR(AS7:AS85),COUNTIFS(AS7:AS85,"&gt;0",AU7:AU85,"&lt;&gt;")&amp;" of "&amp;(ROWS(AU7:AU85)-COUNTBLANK(AU7:AU85))&amp;" parts purchased",""),"")</f>
        <v>0</v>
      </c>
      <c r="AU87" s="5">
        <f>SUMIF(AS7:AS85,"&gt;0",AU7:AU85)</f>
        <v>0</v>
      </c>
    </row>
    <row r="88" spans="1:48">
      <c r="B88" s="21" t="s">
        <v>248</v>
      </c>
      <c r="C88">
        <v>1.387799869317651</v>
      </c>
      <c r="G88" s="21" t="s">
        <v>246</v>
      </c>
      <c r="J88">
        <f t="array" ref="J88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88">
        <f t="array" ref="O88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88">
        <f t="array" ref="T88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88" s="6">
        <f>IFERROR(IF(COUNTIFS(Y7:Y85,"&gt;0",AA7:AA85,"&lt;&gt;")&gt;0,"Quantity,Comment,Designator,Footprint,LCSC Part #(optional)",""),"")</f>
        <v>0</v>
      </c>
      <c r="AD88">
        <f t="array" ref="AD88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88">
        <f t="array" ref="AI88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88">
        <f t="array" ref="AN88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88">
        <f t="array" ref="AS88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89" spans="1:48">
      <c r="J89">
        <f t="array" ref="J89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89">
        <f t="array" ref="O89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89">
        <f t="array" ref="T89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89">
        <f t="array" ref="Y89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89">
        <f t="array" ref="AD89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89">
        <f t="array" ref="AI89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89">
        <f t="array" ref="AN89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89">
        <f t="array" ref="AS89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90" spans="1:48">
      <c r="A90" s="2" t="s">
        <v>512</v>
      </c>
      <c r="J90">
        <f t="array" ref="J90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90">
        <f t="array" ref="O90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90">
        <f t="array" ref="T90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90">
        <f t="array" ref="Y90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90">
        <f t="array" ref="AD90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90">
        <f t="array" ref="AI90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90">
        <f t="array" ref="AN90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90">
        <f t="array" ref="AS90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91" spans="1:48">
      <c r="J91">
        <f t="array" ref="J91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91">
        <f t="array" ref="O91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91">
        <f t="array" ref="T91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91">
        <f t="array" ref="Y91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91">
        <f t="array" ref="AD91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91">
        <f t="array" ref="AI91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91">
        <f t="array" ref="AN91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91">
        <f t="array" ref="AS91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92" spans="1:48">
      <c r="J92">
        <f t="array" ref="J92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92">
        <f t="array" ref="O92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92">
        <f t="array" ref="T92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92">
        <f t="array" ref="Y92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92">
        <f t="array" ref="AD92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92">
        <f t="array" ref="AI92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92">
        <f t="array" ref="AN92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92">
        <f t="array" ref="AS92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93" spans="1:48">
      <c r="J93">
        <f t="array" ref="J93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93">
        <f t="array" ref="O93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93">
        <f t="array" ref="T93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93">
        <f t="array" ref="Y93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93">
        <f t="array" ref="AD93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93">
        <f t="array" ref="AI93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93">
        <f t="array" ref="AN93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93">
        <f t="array" ref="AS93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94" spans="1:48">
      <c r="J94">
        <f t="array" ref="J94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94">
        <f t="array" ref="O94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94">
        <f t="array" ref="T94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94">
        <f t="array" ref="Y94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94">
        <f t="array" ref="AD94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94">
        <f t="array" ref="AI94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94">
        <f t="array" ref="AN94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94">
        <f t="array" ref="AS94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95" spans="1:48">
      <c r="J95">
        <f t="array" ref="J95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95">
        <f t="array" ref="O95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95">
        <f t="array" ref="T95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95">
        <f t="array" ref="Y95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95">
        <f t="array" ref="AD95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95">
        <f t="array" ref="AI95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95">
        <f t="array" ref="AN95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95">
        <f t="array" ref="AS95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96" spans="1:48">
      <c r="J96">
        <f t="array" ref="J96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96">
        <f t="array" ref="O96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96">
        <f t="array" ref="T96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96">
        <f t="array" ref="Y96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96">
        <f t="array" ref="AD96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96">
        <f t="array" ref="AI96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96">
        <f t="array" ref="AN96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96">
        <f t="array" ref="AS96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97" spans="10:45">
      <c r="J97">
        <f t="array" ref="J97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97">
        <f t="array" ref="O97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97">
        <f t="array" ref="T97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97">
        <f t="array" ref="Y97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97">
        <f t="array" ref="AD97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97">
        <f t="array" ref="AI97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97">
        <f t="array" ref="AN97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97">
        <f t="array" ref="AS97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98" spans="10:45">
      <c r="J98">
        <f t="array" ref="J98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98">
        <f t="array" ref="O98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98">
        <f t="array" ref="T98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98">
        <f t="array" ref="Y98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98">
        <f t="array" ref="AD98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98">
        <f t="array" ref="AI98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98">
        <f t="array" ref="AN98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98">
        <f t="array" ref="AS98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99" spans="10:45">
      <c r="J99">
        <f t="array" ref="J99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99">
        <f t="array" ref="O99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99">
        <f t="array" ref="T99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99">
        <f t="array" ref="Y99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99">
        <f t="array" ref="AD99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99">
        <f t="array" ref="AI99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99">
        <f t="array" ref="AN99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99">
        <f t="array" ref="AS99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00" spans="10:45">
      <c r="J100">
        <f t="array" ref="J100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00">
        <f t="array" ref="O100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00">
        <f t="array" ref="T100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00">
        <f t="array" ref="Y100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00">
        <f t="array" ref="AD100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00">
        <f t="array" ref="AI100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00">
        <f t="array" ref="AN100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00">
        <f t="array" ref="AS100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01" spans="10:45">
      <c r="J101">
        <f t="array" ref="J101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01">
        <f t="array" ref="O101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01">
        <f t="array" ref="T101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01">
        <f t="array" ref="Y101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01">
        <f t="array" ref="AD101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01">
        <f t="array" ref="AI101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01">
        <f t="array" ref="AN101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01">
        <f t="array" ref="AS101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02" spans="10:45">
      <c r="J102">
        <f t="array" ref="J102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02">
        <f t="array" ref="O102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02">
        <f t="array" ref="T102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02">
        <f t="array" ref="Y102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02">
        <f t="array" ref="AD102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02">
        <f t="array" ref="AI102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02">
        <f t="array" ref="AN102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02">
        <f t="array" ref="AS102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03" spans="10:45">
      <c r="J103">
        <f t="array" ref="J103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03">
        <f t="array" ref="O103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03">
        <f t="array" ref="T103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03">
        <f t="array" ref="Y103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03">
        <f t="array" ref="AD103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03">
        <f t="array" ref="AI103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03">
        <f t="array" ref="AN103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03">
        <f t="array" ref="AS103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04" spans="10:45">
      <c r="J104">
        <f t="array" ref="J104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04">
        <f t="array" ref="O104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04">
        <f t="array" ref="T104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04">
        <f t="array" ref="Y104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04">
        <f t="array" ref="AD104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04">
        <f t="array" ref="AI104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04">
        <f t="array" ref="AN104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04">
        <f t="array" ref="AS104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05" spans="10:45">
      <c r="J105">
        <f t="array" ref="J105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05">
        <f t="array" ref="O105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05">
        <f t="array" ref="T105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05">
        <f t="array" ref="Y105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05">
        <f t="array" ref="AD105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05">
        <f t="array" ref="AI105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05">
        <f t="array" ref="AN105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05">
        <f t="array" ref="AS105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06" spans="10:45">
      <c r="J106">
        <f t="array" ref="J106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06">
        <f t="array" ref="O106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06">
        <f t="array" ref="T106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06">
        <f t="array" ref="Y106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06">
        <f t="array" ref="AD106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06">
        <f t="array" ref="AI106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06">
        <f t="array" ref="AN106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06">
        <f t="array" ref="AS106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07" spans="10:45">
      <c r="J107">
        <f t="array" ref="J107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07">
        <f t="array" ref="O107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07">
        <f t="array" ref="T107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07">
        <f t="array" ref="Y107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07">
        <f t="array" ref="AD107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07">
        <f t="array" ref="AI107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07">
        <f t="array" ref="AN107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07">
        <f t="array" ref="AS107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08" spans="10:45">
      <c r="J108">
        <f t="array" ref="J108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08">
        <f t="array" ref="O108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08">
        <f t="array" ref="T108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08">
        <f t="array" ref="Y108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08">
        <f t="array" ref="AD108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08">
        <f t="array" ref="AI108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08">
        <f t="array" ref="AN108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08">
        <f t="array" ref="AS108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09" spans="10:45">
      <c r="J109">
        <f t="array" ref="J109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09">
        <f t="array" ref="O109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09">
        <f t="array" ref="T109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09">
        <f t="array" ref="Y109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09">
        <f t="array" ref="AD109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09">
        <f t="array" ref="AI109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09">
        <f t="array" ref="AN109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09">
        <f t="array" ref="AS109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10" spans="10:45">
      <c r="J110">
        <f t="array" ref="J110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10">
        <f t="array" ref="O110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10">
        <f t="array" ref="T110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10">
        <f t="array" ref="Y110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10">
        <f t="array" ref="AD110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10">
        <f t="array" ref="AI110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10">
        <f t="array" ref="AN110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10">
        <f t="array" ref="AS110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11" spans="10:45">
      <c r="J111">
        <f t="array" ref="J111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11">
        <f t="array" ref="O111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11">
        <f t="array" ref="T111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11">
        <f t="array" ref="Y111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11">
        <f t="array" ref="AD111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11">
        <f t="array" ref="AI111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11">
        <f t="array" ref="AN111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11">
        <f t="array" ref="AS111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12" spans="10:45">
      <c r="J112">
        <f t="array" ref="J112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12">
        <f t="array" ref="O112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12">
        <f t="array" ref="T112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12">
        <f t="array" ref="Y112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12">
        <f t="array" ref="AD112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12">
        <f t="array" ref="AI112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12">
        <f t="array" ref="AN112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12">
        <f t="array" ref="AS112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13" spans="10:45">
      <c r="J113">
        <f t="array" ref="J113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13">
        <f t="array" ref="O113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13">
        <f t="array" ref="T113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13">
        <f t="array" ref="Y113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13">
        <f t="array" ref="AD113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13">
        <f t="array" ref="AI113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13">
        <f t="array" ref="AN113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13">
        <f t="array" ref="AS113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14" spans="10:45">
      <c r="J114">
        <f t="array" ref="J114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14">
        <f t="array" ref="O114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14">
        <f t="array" ref="T114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14">
        <f t="array" ref="Y114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14">
        <f t="array" ref="AD114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14">
        <f t="array" ref="AI114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14">
        <f t="array" ref="AN114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14">
        <f t="array" ref="AS114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15" spans="10:45">
      <c r="J115">
        <f t="array" ref="J115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15">
        <f t="array" ref="O115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15">
        <f t="array" ref="T115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15">
        <f t="array" ref="Y115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15">
        <f t="array" ref="AD115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15">
        <f t="array" ref="AI115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15">
        <f t="array" ref="AN115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15">
        <f t="array" ref="AS115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16" spans="10:45">
      <c r="J116">
        <f t="array" ref="J116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16">
        <f t="array" ref="O116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16">
        <f t="array" ref="T116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16">
        <f t="array" ref="Y116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16">
        <f t="array" ref="AD116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16">
        <f t="array" ref="AI116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16">
        <f t="array" ref="AN116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16">
        <f t="array" ref="AS116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17" spans="10:45">
      <c r="J117">
        <f t="array" ref="J117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17">
        <f t="array" ref="O117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17">
        <f t="array" ref="T117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17">
        <f t="array" ref="Y117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17">
        <f t="array" ref="AD117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17">
        <f t="array" ref="AI117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17">
        <f t="array" ref="AN117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17">
        <f t="array" ref="AS117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18" spans="10:45">
      <c r="J118">
        <f t="array" ref="J118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18">
        <f t="array" ref="O118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18">
        <f t="array" ref="T118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18">
        <f t="array" ref="Y118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18">
        <f t="array" ref="AD118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18">
        <f t="array" ref="AI118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18">
        <f t="array" ref="AN118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18">
        <f t="array" ref="AS118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19" spans="10:45">
      <c r="J119">
        <f t="array" ref="J119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19">
        <f t="array" ref="O119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19">
        <f t="array" ref="T119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19">
        <f t="array" ref="Y119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19">
        <f t="array" ref="AD119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19">
        <f t="array" ref="AI119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19">
        <f t="array" ref="AN119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19">
        <f t="array" ref="AS119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20" spans="10:45">
      <c r="J120">
        <f t="array" ref="J120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20">
        <f t="array" ref="O120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20">
        <f t="array" ref="T120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20">
        <f t="array" ref="Y120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20">
        <f t="array" ref="AD120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20">
        <f t="array" ref="AI120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20">
        <f t="array" ref="AN120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20">
        <f t="array" ref="AS120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21" spans="10:45">
      <c r="J121">
        <f t="array" ref="J121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21">
        <f t="array" ref="O121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21">
        <f t="array" ref="T121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21">
        <f t="array" ref="Y121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21">
        <f t="array" ref="AD121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21">
        <f t="array" ref="AI121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21">
        <f t="array" ref="AN121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21">
        <f t="array" ref="AS121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22" spans="10:45">
      <c r="J122">
        <f t="array" ref="J122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22">
        <f t="array" ref="O122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22">
        <f t="array" ref="T122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22">
        <f t="array" ref="Y122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22">
        <f t="array" ref="AD122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22">
        <f t="array" ref="AI122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22">
        <f t="array" ref="AN122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22">
        <f t="array" ref="AS122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23" spans="10:45">
      <c r="J123">
        <f t="array" ref="J123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23">
        <f t="array" ref="O123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23">
        <f t="array" ref="T123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23">
        <f t="array" ref="Y123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23">
        <f t="array" ref="AD123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23">
        <f t="array" ref="AI123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23">
        <f t="array" ref="AN123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23">
        <f t="array" ref="AS123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24" spans="10:45">
      <c r="J124">
        <f t="array" ref="J124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24">
        <f t="array" ref="O124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24">
        <f t="array" ref="T124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24">
        <f t="array" ref="Y124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24">
        <f t="array" ref="AD124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24">
        <f t="array" ref="AI124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24">
        <f t="array" ref="AN124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24">
        <f t="array" ref="AS124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25" spans="10:45">
      <c r="J125">
        <f t="array" ref="J125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25">
        <f t="array" ref="O125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25">
        <f t="array" ref="T125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25">
        <f t="array" ref="Y125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25">
        <f t="array" ref="AD125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25">
        <f t="array" ref="AI125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25">
        <f t="array" ref="AN125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25">
        <f t="array" ref="AS125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26" spans="10:45">
      <c r="J126">
        <f t="array" ref="J126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26">
        <f t="array" ref="O126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26">
        <f t="array" ref="T126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26">
        <f t="array" ref="Y126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26">
        <f t="array" ref="AD126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26">
        <f t="array" ref="AI126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26">
        <f t="array" ref="AN126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26">
        <f t="array" ref="AS126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27" spans="10:45">
      <c r="J127">
        <f t="array" ref="J127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27">
        <f t="array" ref="O127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27">
        <f t="array" ref="T127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27">
        <f t="array" ref="Y127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27">
        <f t="array" ref="AD127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27">
        <f t="array" ref="AI127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27">
        <f t="array" ref="AN127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27">
        <f t="array" ref="AS127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28" spans="10:45">
      <c r="J128">
        <f t="array" ref="J128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28">
        <f t="array" ref="O128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28">
        <f t="array" ref="T128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28">
        <f t="array" ref="Y128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28">
        <f t="array" ref="AD128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28">
        <f t="array" ref="AI128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28">
        <f t="array" ref="AN128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28">
        <f t="array" ref="AS128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29" spans="10:45">
      <c r="J129">
        <f t="array" ref="J129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29">
        <f t="array" ref="O129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29">
        <f t="array" ref="T129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29">
        <f t="array" ref="Y129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29">
        <f t="array" ref="AD129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29">
        <f t="array" ref="AI129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29">
        <f t="array" ref="AN129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29">
        <f t="array" ref="AS129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30" spans="10:45">
      <c r="J130">
        <f t="array" ref="J130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30">
        <f t="array" ref="O130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30">
        <f t="array" ref="T130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30">
        <f t="array" ref="Y130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30">
        <f t="array" ref="AD130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30">
        <f t="array" ref="AI130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30">
        <f t="array" ref="AN130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30">
        <f t="array" ref="AS130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31" spans="10:45">
      <c r="J131">
        <f t="array" ref="J131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31">
        <f t="array" ref="O131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31">
        <f t="array" ref="T131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31">
        <f t="array" ref="Y131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31">
        <f t="array" ref="AD131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31">
        <f t="array" ref="AI131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31">
        <f t="array" ref="AN131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31">
        <f t="array" ref="AS131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32" spans="10:45">
      <c r="J132">
        <f t="array" ref="J132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32">
        <f t="array" ref="O132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32">
        <f t="array" ref="T132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32">
        <f t="array" ref="Y132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32">
        <f t="array" ref="AD132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32">
        <f t="array" ref="AI132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32">
        <f t="array" ref="AN132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32">
        <f t="array" ref="AS132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33" spans="10:45">
      <c r="J133">
        <f t="array" ref="J133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33">
        <f t="array" ref="O133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33">
        <f t="array" ref="T133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33">
        <f t="array" ref="Y133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33">
        <f t="array" ref="AD133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33">
        <f t="array" ref="AI133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33">
        <f t="array" ref="AN133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33">
        <f t="array" ref="AS133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34" spans="10:45">
      <c r="J134">
        <f t="array" ref="J134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34">
        <f t="array" ref="O134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34">
        <f t="array" ref="T134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34">
        <f t="array" ref="Y134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34">
        <f t="array" ref="AD134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34">
        <f t="array" ref="AI134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34">
        <f t="array" ref="AN134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34">
        <f t="array" ref="AS134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35" spans="10:45">
      <c r="J135">
        <f t="array" ref="J135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35">
        <f t="array" ref="O135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35">
        <f t="array" ref="T135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35">
        <f t="array" ref="Y135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35">
        <f t="array" ref="AD135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35">
        <f t="array" ref="AI135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35">
        <f t="array" ref="AN135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35">
        <f t="array" ref="AS135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36" spans="10:45">
      <c r="J136">
        <f t="array" ref="J136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36">
        <f t="array" ref="O136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36">
        <f t="array" ref="T136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36">
        <f t="array" ref="Y136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36">
        <f t="array" ref="AD136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36">
        <f t="array" ref="AI136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36">
        <f t="array" ref="AN136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36">
        <f t="array" ref="AS136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37" spans="10:45">
      <c r="J137">
        <f t="array" ref="J137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37">
        <f t="array" ref="O137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37">
        <f t="array" ref="T137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37">
        <f t="array" ref="Y137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37">
        <f t="array" ref="AD137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37">
        <f t="array" ref="AI137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37">
        <f t="array" ref="AN137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37">
        <f t="array" ref="AS137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38" spans="10:45">
      <c r="J138">
        <f t="array" ref="J138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38">
        <f t="array" ref="O138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38">
        <f t="array" ref="T138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38">
        <f t="array" ref="Y138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38">
        <f t="array" ref="AD138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38">
        <f t="array" ref="AI138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38">
        <f t="array" ref="AN138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38">
        <f t="array" ref="AS138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39" spans="10:45">
      <c r="J139">
        <f t="array" ref="J139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39">
        <f t="array" ref="O139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39">
        <f t="array" ref="T139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39">
        <f t="array" ref="Y139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39">
        <f t="array" ref="AD139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39">
        <f t="array" ref="AI139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39">
        <f t="array" ref="AN139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39">
        <f t="array" ref="AS139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40" spans="10:45">
      <c r="J140">
        <f t="array" ref="J140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40">
        <f t="array" ref="O140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40">
        <f t="array" ref="T140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40">
        <f t="array" ref="Y140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40">
        <f t="array" ref="AD140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40">
        <f t="array" ref="AI140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40">
        <f t="array" ref="AN140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40">
        <f t="array" ref="AS140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41" spans="10:45">
      <c r="J141">
        <f t="array" ref="J141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41">
        <f t="array" ref="O141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41">
        <f t="array" ref="T141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41">
        <f t="array" ref="Y141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41">
        <f t="array" ref="AD141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41">
        <f t="array" ref="AI141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41">
        <f t="array" ref="AN141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41">
        <f t="array" ref="AS141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42" spans="10:45">
      <c r="J142">
        <f t="array" ref="J142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42">
        <f t="array" ref="O142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42">
        <f t="array" ref="T142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42">
        <f t="array" ref="Y142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42">
        <f t="array" ref="AD142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42">
        <f t="array" ref="AI142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42">
        <f t="array" ref="AN142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42">
        <f t="array" ref="AS142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43" spans="10:45">
      <c r="J143">
        <f t="array" ref="J143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43">
        <f t="array" ref="O143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43">
        <f t="array" ref="T143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43">
        <f t="array" ref="Y143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43">
        <f t="array" ref="AD143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43">
        <f t="array" ref="AI143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43">
        <f t="array" ref="AN143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43">
        <f t="array" ref="AS143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44" spans="10:45">
      <c r="J144">
        <f t="array" ref="J144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44">
        <f t="array" ref="O144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44">
        <f t="array" ref="T144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44">
        <f t="array" ref="Y144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44">
        <f t="array" ref="AD144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44">
        <f t="array" ref="AI144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44">
        <f t="array" ref="AN144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44">
        <f t="array" ref="AS144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45" spans="10:45">
      <c r="J145">
        <f t="array" ref="J145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45">
        <f t="array" ref="O145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45">
        <f t="array" ref="T145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45">
        <f t="array" ref="Y145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45">
        <f t="array" ref="AD145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45">
        <f t="array" ref="AI145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45">
        <f t="array" ref="AN145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45">
        <f t="array" ref="AS145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46" spans="10:45">
      <c r="J146">
        <f t="array" ref="J146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46">
        <f t="array" ref="O146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46">
        <f t="array" ref="T146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46">
        <f t="array" ref="Y146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46">
        <f t="array" ref="AD146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46">
        <f t="array" ref="AI146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46">
        <f t="array" ref="AN146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46">
        <f t="array" ref="AS146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47" spans="10:45">
      <c r="J147">
        <f t="array" ref="J147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47">
        <f t="array" ref="O147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47">
        <f t="array" ref="T147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47">
        <f t="array" ref="Y147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47">
        <f t="array" ref="AD147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47">
        <f t="array" ref="AI147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47">
        <f t="array" ref="AN147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47">
        <f t="array" ref="AS147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48" spans="10:45">
      <c r="J148">
        <f t="array" ref="J148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48">
        <f t="array" ref="O148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48">
        <f t="array" ref="T148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48">
        <f t="array" ref="Y148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48">
        <f t="array" ref="AD148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48">
        <f t="array" ref="AI148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48">
        <f t="array" ref="AN148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48">
        <f t="array" ref="AS148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49" spans="10:45">
      <c r="J149">
        <f t="array" ref="J149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49">
        <f t="array" ref="O149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49">
        <f t="array" ref="T149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49">
        <f t="array" ref="Y149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49">
        <f t="array" ref="AD149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49">
        <f t="array" ref="AI149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49">
        <f t="array" ref="AN149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49">
        <f t="array" ref="AS149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50" spans="10:45">
      <c r="J150">
        <f t="array" ref="J150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50">
        <f t="array" ref="O150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50">
        <f t="array" ref="T150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50">
        <f t="array" ref="Y150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50">
        <f t="array" ref="AD150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50">
        <f t="array" ref="AI150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50">
        <f t="array" ref="AN150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50">
        <f t="array" ref="AS150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51" spans="10:45">
      <c r="J151">
        <f t="array" ref="J151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51">
        <f t="array" ref="O151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51">
        <f t="array" ref="T151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51">
        <f t="array" ref="Y151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51">
        <f t="array" ref="AD151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51">
        <f t="array" ref="AI151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51">
        <f t="array" ref="AN151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51">
        <f t="array" ref="AS151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52" spans="10:45">
      <c r="J152">
        <f t="array" ref="J152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52">
        <f t="array" ref="O152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52">
        <f t="array" ref="T152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52">
        <f t="array" ref="Y152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52">
        <f t="array" ref="AD152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52">
        <f t="array" ref="AI152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52">
        <f t="array" ref="AN152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52">
        <f t="array" ref="AS152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53" spans="10:45">
      <c r="J153">
        <f t="array" ref="J153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53">
        <f t="array" ref="O153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53">
        <f t="array" ref="T153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53">
        <f t="array" ref="Y153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53">
        <f t="array" ref="AD153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53">
        <f t="array" ref="AI153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53">
        <f t="array" ref="AN153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53">
        <f t="array" ref="AS153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54" spans="10:45">
      <c r="J154">
        <f t="array" ref="J154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54">
        <f t="array" ref="O154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54">
        <f t="array" ref="T154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54">
        <f t="array" ref="Y154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54">
        <f t="array" ref="AD154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54">
        <f t="array" ref="AI154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54">
        <f t="array" ref="AN154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54">
        <f t="array" ref="AS154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55" spans="10:45">
      <c r="J155">
        <f t="array" ref="J155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55">
        <f t="array" ref="O155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55">
        <f t="array" ref="T155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55">
        <f t="array" ref="Y155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55">
        <f t="array" ref="AD155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55">
        <f t="array" ref="AI155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55">
        <f t="array" ref="AN155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55">
        <f t="array" ref="AS155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56" spans="10:45">
      <c r="J156">
        <f t="array" ref="J156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56">
        <f t="array" ref="O156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56">
        <f t="array" ref="T156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56">
        <f t="array" ref="Y156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56">
        <f t="array" ref="AD156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56">
        <f t="array" ref="AI156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56">
        <f t="array" ref="AN156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56">
        <f t="array" ref="AS156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57" spans="10:45">
      <c r="J157">
        <f t="array" ref="J157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57">
        <f t="array" ref="O157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57">
        <f t="array" ref="T157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57">
        <f t="array" ref="Y157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57">
        <f t="array" ref="AD157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57">
        <f t="array" ref="AI157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57">
        <f t="array" ref="AN157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57">
        <f t="array" ref="AS157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58" spans="10:45">
      <c r="J158">
        <f t="array" ref="J158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58">
        <f t="array" ref="O158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58">
        <f t="array" ref="T158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58">
        <f t="array" ref="Y158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58">
        <f t="array" ref="AD158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58">
        <f t="array" ref="AI158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58">
        <f t="array" ref="AN158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58">
        <f t="array" ref="AS158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59" spans="10:45">
      <c r="J159">
        <f t="array" ref="J159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59">
        <f t="array" ref="O159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59">
        <f t="array" ref="T159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59">
        <f t="array" ref="Y159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59">
        <f t="array" ref="AD159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59">
        <f t="array" ref="AI159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59">
        <f t="array" ref="AN159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59">
        <f t="array" ref="AS159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60" spans="10:45">
      <c r="J160">
        <f t="array" ref="J160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60">
        <f t="array" ref="O160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60">
        <f t="array" ref="T160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60">
        <f t="array" ref="Y160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60">
        <f t="array" ref="AD160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60">
        <f t="array" ref="AI160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60">
        <f t="array" ref="AN160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60">
        <f t="array" ref="AS160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61" spans="10:45">
      <c r="J161">
        <f t="array" ref="J161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61">
        <f t="array" ref="O161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61">
        <f t="array" ref="T161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61">
        <f t="array" ref="Y161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61">
        <f t="array" ref="AD161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61">
        <f t="array" ref="AI161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61">
        <f t="array" ref="AN161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61">
        <f t="array" ref="AS161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62" spans="10:45">
      <c r="J162">
        <f t="array" ref="J162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62">
        <f t="array" ref="O162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62">
        <f t="array" ref="T162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62">
        <f t="array" ref="Y162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62">
        <f t="array" ref="AD162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62">
        <f t="array" ref="AI162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62">
        <f t="array" ref="AN162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62">
        <f t="array" ref="AS162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63" spans="10:45">
      <c r="J163">
        <f t="array" ref="J163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63">
        <f t="array" ref="O163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63">
        <f t="array" ref="T163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63">
        <f t="array" ref="Y163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63">
        <f t="array" ref="AD163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63">
        <f t="array" ref="AI163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63">
        <f t="array" ref="AN163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63">
        <f t="array" ref="AS163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64" spans="10:45">
      <c r="J164">
        <f t="array" ref="J164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64">
        <f t="array" ref="O164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64">
        <f t="array" ref="T164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64">
        <f t="array" ref="Y164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64">
        <f t="array" ref="AD164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64">
        <f t="array" ref="AI164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64">
        <f t="array" ref="AN164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64">
        <f t="array" ref="AS164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65" spans="10:45">
      <c r="J165">
        <f t="array" ref="J165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65">
        <f t="array" ref="O165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65">
        <f t="array" ref="T165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65">
        <f t="array" ref="Y165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65">
        <f t="array" ref="AD165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65">
        <f t="array" ref="AI165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65">
        <f t="array" ref="AN165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65">
        <f t="array" ref="AS165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66" spans="10:45">
      <c r="J166">
        <f t="array" ref="J166">IFERROR(CONCATENATE(INDEX(M7:M85,SMALL(IF(ISNUMBER(J7:J85),IF(J7:J85&gt;0,IF(M7:M85&lt;&gt;"",ROW(J7:J85)-MIN(ROW(J7:J85))+1))),ROW()-ROW(A$88)+1)),",",TEXT(INDEX(J7:J85,SMALL(IF(ISNUMBER(J7:J85),IF(J7:J85&gt;0,IF(M7:M85&lt;&gt;"",ROW(J7:J85)-MIN(ROW(J7:J85))+1))),ROW()-ROW(A$88)+1)),"##0"),",",SUBSTITUTE(INDEX(IF(PURCHASE_DESCRIPTION&lt;&gt;"",PURCHASE_DESCRIPTION&amp;":","")&amp;A7:A85,SMALL(IF(ISNUMBER(J7:J85),IF(J7:J85&gt;0,IF(M7:M85&lt;&gt;"",ROW(J7:J85)-MIN(ROW(J7:J85))+1))),ROW()-ROW(A$88)+1)),",",";")),"")</f>
        <v>0</v>
      </c>
      <c r="O166">
        <f t="array" ref="O166">IFERROR(CONCATENATE(TEXT(INDEX(O7:O85,SMALL(IF(ISNUMBER(O7:O85),IF(O7:O85&gt;0,IF(R7:R85&lt;&gt;"",ROW(O7:O85)-MIN(ROW(O7:O85))+1))),ROW()-ROW(A$88)+1)),"##0"),",",INDEX(R7:R85,SMALL(IF(ISNUMBER(O7:O85),IF(O7:O85&gt;0,IF(R7:R85&lt;&gt;"",ROW(O7:O85)-MIN(ROW(O7:O85))+1))),ROW()-ROW(A$88)+1)),",",SUBSTITUTE(INDEX(IF(PURCHASE_DESCRIPTION&lt;&gt;"",PURCHASE_DESCRIPTION&amp;":","")&amp;A7:A85,SMALL(IF(ISNUMBER(O7:O85),IF(O7:O85&gt;0,IF(R7:R85&lt;&gt;"",ROW(O7:O85)-MIN(ROW(O7:O85))+1))),ROW()-ROW(A$88)+1)),",",";")),"")</f>
        <v>0</v>
      </c>
      <c r="T166">
        <f t="array" ref="T166">IFERROR(CONCATENATE(INDEX(W7:W85,SMALL(IF(ISNUMBER(T7:T85),IF(T7:T85&gt;0,IF(W7:W85&lt;&gt;"",ROW(T7:T85)-MIN(ROW(T7:T85))+1))),ROW()-ROW(A$88)+1))," ",TEXT(INDEX(T7:T85,SMALL(IF(ISNUMBER(T7:T85),IF(T7:T85&gt;0,IF(W7:W85&lt;&gt;"",ROW(T7:T85)-MIN(ROW(T7:T85))+1))),ROW()-ROW(A$88)+1)),"##0")," ",SUBSTITUTE(INDEX(IF(PURCHASE_DESCRIPTION&lt;&gt;"",PURCHASE_DESCRIPTION&amp;":","")&amp;A7:A85,SMALL(IF(ISNUMBER(T7:T85),IF(T7:T85&gt;0,IF(W7:W85&lt;&gt;"",ROW(T7:T85)-MIN(ROW(T7:T85))+1))),ROW()-ROW(A$88)+1))," ",";")),"")</f>
        <v>0</v>
      </c>
      <c r="Y166">
        <f t="array" ref="Y166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  <c r="AD166">
        <f t="array" ref="AD166">IFERROR(CONCATENATE(INDEX(AG7:AG85,SMALL(IF(ISNUMBER(AD7:AD85),IF(AD7:AD85&gt;0,IF(AG7:AG85&lt;&gt;"",ROW(AD7:AD85)-MIN(ROW(AD7:AD85))+1))),ROW()-ROW(A$88)+1)),"|",TEXT(INDEX(AD7:AD85,SMALL(IF(ISNUMBER(AD7:AD85),IF(AD7:AD85&gt;0,IF(AG7:AG85&lt;&gt;"",ROW(AD7:AD85)-MIN(ROW(AD7:AD85))+1))),ROW()-ROW(A$88)+1)),"##0"),"|",SUBSTITUTE(SUBSTITUTE(INDEX(IF(PURCHASE_DESCRIPTION&lt;&gt;"",PURCHASE_DESCRIPTION&amp;":","")&amp;A7:A85,SMALL(IF(ISNUMBER(AD7:AD85),IF(AD7:AD85&gt;0,IF(AG7:AG85&lt;&gt;"",ROW(AD7:AD85)-MIN(ROW(AD7:AD85))+1))),ROW()-ROW(A$88)+1)),"|",";")," ","_")),"")</f>
        <v>0</v>
      </c>
      <c r="AI166">
        <f t="array" ref="AI166">IFERROR(CONCATENATE(INDEX(AL7:AL85,SMALL(IF(ISNUMBER(AI7:AI85),IF(AI7:AI85&gt;0,IF(AL7:AL85&lt;&gt;"",ROW(AI7:AI85)-MIN(ROW(AI7:AI85))+1))),ROW()-ROW(A$88)+1)),",",TEXT(INDEX(AI7:AI85,SMALL(IF(ISNUMBER(AI7:AI85),IF(AI7:AI85&gt;0,IF(AL7:AL85&lt;&gt;"",ROW(AI7:AI85)-MIN(ROW(AI7:AI85))+1))),ROW()-ROW(A$88)+1)),"##0"),",",SUBSTITUTE(INDEX(IF(PURCHASE_DESCRIPTION&lt;&gt;"",PURCHASE_DESCRIPTION&amp;":","")&amp;A7:A85,SMALL(IF(ISNUMBER(AI7:AI85),IF(AI7:AI85&gt;0,IF(AL7:AL85&lt;&gt;"",ROW(AI7:AI85)-MIN(ROW(AI7:AI85))+1))),ROW()-ROW(A$88)+1)),",",";")),"")</f>
        <v>0</v>
      </c>
      <c r="AN166">
        <f t="array" ref="AN166">IFERROR(CONCATENATE(INDEX(AQ7:AQ85,SMALL(IF(ISNUMBER(AN7:AN85),IF(AN7:AN85&gt;0,IF(AQ7:AQ85&lt;&gt;"",ROW(AN7:AN85)-MIN(ROW(AN7:AN85))+1))),ROW()-ROW(A$88)+1))," ",TEXT(INDEX(AN7:AN85,SMALL(IF(ISNUMBER(AN7:AN85),IF(AN7:AN85&gt;0,IF(AQ7:AQ85&lt;&gt;"",ROW(AN7:AN85)-MIN(ROW(AN7:AN85))+1))),ROW()-ROW(A$88)+1)),"##0")," ",SUBSTITUTE(INDEX(IF(PURCHASE_DESCRIPTION&lt;&gt;"",PURCHASE_DESCRIPTION&amp;":","")&amp;A7:A85,SMALL(IF(ISNUMBER(AN7:AN85),IF(AN7:AN85&gt;0,IF(AQ7:AQ85&lt;&gt;"",ROW(AN7:AN85)-MIN(ROW(AN7:AN85))+1))),ROW()-ROW(A$88)+1))," ",";")),"")</f>
        <v>0</v>
      </c>
      <c r="AS166">
        <f t="array" ref="AS166">IFERROR(CONCATENATE(INDEX(AV7:AV85,SMALL(IF(ISNUMBER(AS7:AS85),IF(AS7:AS85&gt;0,IF(AV7:AV85&lt;&gt;"",ROW(AS7:AS85)-MIN(ROW(AS7:AS85))+1))),ROW()-ROW(A$88)+1))," ",TEXT(INDEX(AS7:AS85,SMALL(IF(ISNUMBER(AS7:AS85),IF(AS7:AS85&gt;0,IF(AV7:AV85&lt;&gt;"",ROW(AS7:AS85)-MIN(ROW(AS7:AS85))+1))),ROW()-ROW(A$88)+1)),"##0")," ",SUBSTITUTE(INDEX(IF(PURCHASE_DESCRIPTION&lt;&gt;"",PURCHASE_DESCRIPTION&amp;":","")&amp;A7:A85,SMALL(IF(ISNUMBER(AS7:AS85),IF(AS7:AS85&gt;0,IF(AV7:AV85&lt;&gt;"",ROW(AS7:AS85)-MIN(ROW(AS7:AS85))+1))),ROW()-ROW(A$88)+1))," ",";")),"")</f>
        <v>0</v>
      </c>
    </row>
    <row r="167" spans="10:45">
      <c r="Y167">
        <f t="array" ref="Y167">IFERROR(CONCATENATE(TEXT(INDEX(Y7:Y85,SMALL(IF(ISNUMBER(Y7:Y85),IF(Y7:Y85&gt;0,IF(AB7:AB85&lt;&gt;"",ROW(Y7:Y85)-MIN(ROW(Y7:Y85))+1))),ROW()-ROW(A$89)+1)),"##0"),",",SUBSTITUTE(INDEX(IF(PURCHASE_DESCRIPTION&lt;&gt;"",PURCHASE_DESCRIPTION&amp;":","")&amp;A7:A85,SMALL(IF(ISNUMBER(Y7:Y85),IF(Y7:Y85&gt;0,IF(AB7:AB85&lt;&gt;"",ROW(Y7:Y85)-MIN(ROW(Y7:Y85))+1))),ROW()-ROW(A$89)+1)),",",";"),",",SUBSTITUTE(INDEX(IF(PURCHASE_DESCRIPTION&lt;&gt;"",PURCHASE_DESCRIPTION&amp;":","")&amp;D7:D85,SMALL(IF(ISNUMBER(Y7:Y85),IF(Y7:Y85&gt;0,IF(AB7:AB85&lt;&gt;"",ROW(Y7:Y85)-MIN(ROW(Y7:Y85))+1))),ROW()-ROW(A$89)+1)),",",";"),",",INDEX(AB7:AB85,SMALL(IF(ISNUMBER(Y7:Y85),IF(Y7:Y85&gt;0,IF(AB7:AB85&lt;&gt;"",ROW(Y7:Y85)-MIN(ROW(Y7:Y85))+1))),ROW()-ROW(A$89)+1))),"")</f>
        <v>0</v>
      </c>
    </row>
  </sheetData>
  <mergeCells count="9">
    <mergeCell ref="A5:H5"/>
    <mergeCell ref="I5:M5"/>
    <mergeCell ref="N5:R5"/>
    <mergeCell ref="S5:W5"/>
    <mergeCell ref="X5:AB5"/>
    <mergeCell ref="AC5:AG5"/>
    <mergeCell ref="AH5:AL5"/>
    <mergeCell ref="AM5:AQ5"/>
    <mergeCell ref="AR5:AV5"/>
  </mergeCells>
  <conditionalFormatting sqref="AA15">
    <cfRule type="cellIs" dxfId="4" priority="875" operator="lessThanOrEqual">
      <formula>H15</formula>
    </cfRule>
  </conditionalFormatting>
  <conditionalFormatting sqref="AA16">
    <cfRule type="cellIs" dxfId="4" priority="881" operator="lessThanOrEqual">
      <formula>H16</formula>
    </cfRule>
  </conditionalFormatting>
  <conditionalFormatting sqref="AA34">
    <cfRule type="cellIs" dxfId="4" priority="887" operator="lessThanOrEqual">
      <formula>H34</formula>
    </cfRule>
  </conditionalFormatting>
  <conditionalFormatting sqref="AA65">
    <cfRule type="cellIs" dxfId="4" priority="892" operator="lessThanOrEqual">
      <formula>H65</formula>
    </cfRule>
  </conditionalFormatting>
  <conditionalFormatting sqref="AA75">
    <cfRule type="cellIs" dxfId="4" priority="897" operator="lessThanOrEqual">
      <formula>H75</formula>
    </cfRule>
  </conditionalFormatting>
  <conditionalFormatting sqref="AA78">
    <cfRule type="cellIs" dxfId="4" priority="903" operator="lessThanOrEqual">
      <formula>H78</formula>
    </cfRule>
  </conditionalFormatting>
  <conditionalFormatting sqref="AA8">
    <cfRule type="cellIs" dxfId="4" priority="869" operator="lessThanOrEqual">
      <formula>H8</formula>
    </cfRule>
  </conditionalFormatting>
  <conditionalFormatting sqref="AC10">
    <cfRule type="cellIs" dxfId="1" priority="920" operator="equal">
      <formula>0</formula>
    </cfRule>
    <cfRule type="cellIs" dxfId="2" priority="921" operator="lessThan">
      <formula>F10</formula>
    </cfRule>
  </conditionalFormatting>
  <conditionalFormatting sqref="AC12">
    <cfRule type="cellIs" dxfId="1" priority="925" operator="equal">
      <formula>0</formula>
    </cfRule>
    <cfRule type="cellIs" dxfId="2" priority="926" operator="lessThan">
      <formula>F12</formula>
    </cfRule>
  </conditionalFormatting>
  <conditionalFormatting sqref="AC13">
    <cfRule type="cellIs" dxfId="1" priority="930" operator="equal">
      <formula>0</formula>
    </cfRule>
    <cfRule type="cellIs" dxfId="2" priority="931" operator="lessThan">
      <formula>F13</formula>
    </cfRule>
  </conditionalFormatting>
  <conditionalFormatting sqref="AC15">
    <cfRule type="cellIs" dxfId="1" priority="935" operator="equal">
      <formula>0</formula>
    </cfRule>
    <cfRule type="cellIs" dxfId="2" priority="936" operator="lessThan">
      <formula>F15</formula>
    </cfRule>
  </conditionalFormatting>
  <conditionalFormatting sqref="AC17">
    <cfRule type="cellIs" dxfId="1" priority="940" operator="equal">
      <formula>0</formula>
    </cfRule>
    <cfRule type="cellIs" dxfId="2" priority="941" operator="lessThan">
      <formula>F17</formula>
    </cfRule>
  </conditionalFormatting>
  <conditionalFormatting sqref="AC18">
    <cfRule type="cellIs" dxfId="1" priority="945" operator="equal">
      <formula>0</formula>
    </cfRule>
    <cfRule type="cellIs" dxfId="2" priority="946" operator="lessThan">
      <formula>F18</formula>
    </cfRule>
  </conditionalFormatting>
  <conditionalFormatting sqref="AC19">
    <cfRule type="cellIs" dxfId="1" priority="950" operator="equal">
      <formula>0</formula>
    </cfRule>
    <cfRule type="cellIs" dxfId="2" priority="951" operator="lessThan">
      <formula>F19</formula>
    </cfRule>
  </conditionalFormatting>
  <conditionalFormatting sqref="AC23">
    <cfRule type="cellIs" dxfId="1" priority="955" operator="equal">
      <formula>0</formula>
    </cfRule>
    <cfRule type="cellIs" dxfId="2" priority="956" operator="lessThan">
      <formula>F23</formula>
    </cfRule>
  </conditionalFormatting>
  <conditionalFormatting sqref="AC26">
    <cfRule type="cellIs" dxfId="1" priority="960" operator="equal">
      <formula>0</formula>
    </cfRule>
    <cfRule type="cellIs" dxfId="2" priority="961" operator="lessThan">
      <formula>F26</formula>
    </cfRule>
  </conditionalFormatting>
  <conditionalFormatting sqref="AC29">
    <cfRule type="cellIs" dxfId="1" priority="965" operator="equal">
      <formula>0</formula>
    </cfRule>
    <cfRule type="cellIs" dxfId="2" priority="966" operator="lessThan">
      <formula>F29</formula>
    </cfRule>
  </conditionalFormatting>
  <conditionalFormatting sqref="AC30">
    <cfRule type="cellIs" dxfId="1" priority="970" operator="equal">
      <formula>0</formula>
    </cfRule>
    <cfRule type="cellIs" dxfId="2" priority="971" operator="lessThan">
      <formula>F30</formula>
    </cfRule>
  </conditionalFormatting>
  <conditionalFormatting sqref="AC31">
    <cfRule type="cellIs" dxfId="1" priority="975" operator="equal">
      <formula>0</formula>
    </cfRule>
    <cfRule type="cellIs" dxfId="2" priority="976" operator="lessThan">
      <formula>F31</formula>
    </cfRule>
  </conditionalFormatting>
  <conditionalFormatting sqref="AC32">
    <cfRule type="cellIs" dxfId="1" priority="980" operator="equal">
      <formula>0</formula>
    </cfRule>
    <cfRule type="cellIs" dxfId="2" priority="981" operator="lessThan">
      <formula>F32</formula>
    </cfRule>
  </conditionalFormatting>
  <conditionalFormatting sqref="AC33">
    <cfRule type="cellIs" dxfId="1" priority="985" operator="equal">
      <formula>0</formula>
    </cfRule>
    <cfRule type="cellIs" dxfId="2" priority="986" operator="lessThan">
      <formula>F33</formula>
    </cfRule>
  </conditionalFormatting>
  <conditionalFormatting sqref="AC34">
    <cfRule type="cellIs" dxfId="1" priority="990" operator="equal">
      <formula>0</formula>
    </cfRule>
    <cfRule type="cellIs" dxfId="2" priority="991" operator="lessThan">
      <formula>F34</formula>
    </cfRule>
  </conditionalFormatting>
  <conditionalFormatting sqref="AC35">
    <cfRule type="cellIs" dxfId="1" priority="995" operator="equal">
      <formula>0</formula>
    </cfRule>
    <cfRule type="cellIs" dxfId="2" priority="996" operator="lessThan">
      <formula>F35</formula>
    </cfRule>
  </conditionalFormatting>
  <conditionalFormatting sqref="AC36">
    <cfRule type="cellIs" dxfId="1" priority="1000" operator="equal">
      <formula>0</formula>
    </cfRule>
    <cfRule type="cellIs" dxfId="2" priority="1001" operator="lessThan">
      <formula>F36</formula>
    </cfRule>
  </conditionalFormatting>
  <conditionalFormatting sqref="AC37">
    <cfRule type="cellIs" dxfId="1" priority="1005" operator="equal">
      <formula>0</formula>
    </cfRule>
    <cfRule type="cellIs" dxfId="2" priority="1006" operator="lessThan">
      <formula>F37</formula>
    </cfRule>
  </conditionalFormatting>
  <conditionalFormatting sqref="AC38">
    <cfRule type="cellIs" dxfId="1" priority="1010" operator="equal">
      <formula>0</formula>
    </cfRule>
    <cfRule type="cellIs" dxfId="2" priority="1011" operator="lessThan">
      <formula>F38</formula>
    </cfRule>
  </conditionalFormatting>
  <conditionalFormatting sqref="AC39">
    <cfRule type="cellIs" dxfId="1" priority="1015" operator="equal">
      <formula>0</formula>
    </cfRule>
    <cfRule type="cellIs" dxfId="2" priority="1016" operator="lessThan">
      <formula>F39</formula>
    </cfRule>
  </conditionalFormatting>
  <conditionalFormatting sqref="AC40">
    <cfRule type="cellIs" dxfId="1" priority="1020" operator="equal">
      <formula>0</formula>
    </cfRule>
    <cfRule type="cellIs" dxfId="2" priority="1021" operator="lessThan">
      <formula>F40</formula>
    </cfRule>
  </conditionalFormatting>
  <conditionalFormatting sqref="AC41">
    <cfRule type="cellIs" dxfId="1" priority="1025" operator="equal">
      <formula>0</formula>
    </cfRule>
    <cfRule type="cellIs" dxfId="2" priority="1026" operator="lessThan">
      <formula>F41</formula>
    </cfRule>
  </conditionalFormatting>
  <conditionalFormatting sqref="AC43">
    <cfRule type="cellIs" dxfId="1" priority="1030" operator="equal">
      <formula>0</formula>
    </cfRule>
    <cfRule type="cellIs" dxfId="2" priority="1031" operator="lessThan">
      <formula>F43</formula>
    </cfRule>
  </conditionalFormatting>
  <conditionalFormatting sqref="AC44">
    <cfRule type="cellIs" dxfId="1" priority="1035" operator="equal">
      <formula>0</formula>
    </cfRule>
    <cfRule type="cellIs" dxfId="2" priority="1036" operator="lessThan">
      <formula>F44</formula>
    </cfRule>
  </conditionalFormatting>
  <conditionalFormatting sqref="AC45">
    <cfRule type="cellIs" dxfId="1" priority="1040" operator="equal">
      <formula>0</formula>
    </cfRule>
    <cfRule type="cellIs" dxfId="2" priority="1041" operator="lessThan">
      <formula>F45</formula>
    </cfRule>
  </conditionalFormatting>
  <conditionalFormatting sqref="AC46">
    <cfRule type="cellIs" dxfId="1" priority="1045" operator="equal">
      <formula>0</formula>
    </cfRule>
    <cfRule type="cellIs" dxfId="2" priority="1046" operator="lessThan">
      <formula>F46</formula>
    </cfRule>
  </conditionalFormatting>
  <conditionalFormatting sqref="AC47">
    <cfRule type="cellIs" dxfId="1" priority="1050" operator="equal">
      <formula>0</formula>
    </cfRule>
    <cfRule type="cellIs" dxfId="2" priority="1051" operator="lessThan">
      <formula>F47</formula>
    </cfRule>
  </conditionalFormatting>
  <conditionalFormatting sqref="AC48">
    <cfRule type="cellIs" dxfId="1" priority="1055" operator="equal">
      <formula>0</formula>
    </cfRule>
    <cfRule type="cellIs" dxfId="2" priority="1056" operator="lessThan">
      <formula>F48</formula>
    </cfRule>
  </conditionalFormatting>
  <conditionalFormatting sqref="AC49">
    <cfRule type="cellIs" dxfId="1" priority="1060" operator="equal">
      <formula>0</formula>
    </cfRule>
    <cfRule type="cellIs" dxfId="2" priority="1061" operator="lessThan">
      <formula>F49</formula>
    </cfRule>
  </conditionalFormatting>
  <conditionalFormatting sqref="AC50">
    <cfRule type="cellIs" dxfId="1" priority="1065" operator="equal">
      <formula>0</formula>
    </cfRule>
    <cfRule type="cellIs" dxfId="2" priority="1066" operator="lessThan">
      <formula>F50</formula>
    </cfRule>
  </conditionalFormatting>
  <conditionalFormatting sqref="AC53">
    <cfRule type="cellIs" dxfId="1" priority="1070" operator="equal">
      <formula>0</formula>
    </cfRule>
    <cfRule type="cellIs" dxfId="2" priority="1071" operator="lessThan">
      <formula>F53</formula>
    </cfRule>
  </conditionalFormatting>
  <conditionalFormatting sqref="AC54">
    <cfRule type="cellIs" dxfId="1" priority="1075" operator="equal">
      <formula>0</formula>
    </cfRule>
    <cfRule type="cellIs" dxfId="2" priority="1076" operator="lessThan">
      <formula>F54</formula>
    </cfRule>
  </conditionalFormatting>
  <conditionalFormatting sqref="AC55">
    <cfRule type="cellIs" dxfId="1" priority="1080" operator="equal">
      <formula>0</formula>
    </cfRule>
    <cfRule type="cellIs" dxfId="2" priority="1081" operator="lessThan">
      <formula>F55</formula>
    </cfRule>
  </conditionalFormatting>
  <conditionalFormatting sqref="AC56">
    <cfRule type="cellIs" dxfId="1" priority="1085" operator="equal">
      <formula>0</formula>
    </cfRule>
    <cfRule type="cellIs" dxfId="2" priority="1086" operator="lessThan">
      <formula>F56</formula>
    </cfRule>
  </conditionalFormatting>
  <conditionalFormatting sqref="AC57">
    <cfRule type="cellIs" dxfId="1" priority="1090" operator="equal">
      <formula>0</formula>
    </cfRule>
    <cfRule type="cellIs" dxfId="2" priority="1091" operator="lessThan">
      <formula>F57</formula>
    </cfRule>
  </conditionalFormatting>
  <conditionalFormatting sqref="AC58">
    <cfRule type="cellIs" dxfId="1" priority="1095" operator="equal">
      <formula>0</formula>
    </cfRule>
    <cfRule type="cellIs" dxfId="2" priority="1096" operator="lessThan">
      <formula>F58</formula>
    </cfRule>
  </conditionalFormatting>
  <conditionalFormatting sqref="AC59">
    <cfRule type="cellIs" dxfId="1" priority="1100" operator="equal">
      <formula>0</formula>
    </cfRule>
    <cfRule type="cellIs" dxfId="2" priority="1101" operator="lessThan">
      <formula>F59</formula>
    </cfRule>
  </conditionalFormatting>
  <conditionalFormatting sqref="AC60">
    <cfRule type="cellIs" dxfId="1" priority="1105" operator="equal">
      <formula>0</formula>
    </cfRule>
    <cfRule type="cellIs" dxfId="2" priority="1106" operator="lessThan">
      <formula>F60</formula>
    </cfRule>
  </conditionalFormatting>
  <conditionalFormatting sqref="AC61">
    <cfRule type="cellIs" dxfId="1" priority="1110" operator="equal">
      <formula>0</formula>
    </cfRule>
    <cfRule type="cellIs" dxfId="2" priority="1111" operator="lessThan">
      <formula>F61</formula>
    </cfRule>
  </conditionalFormatting>
  <conditionalFormatting sqref="AC62">
    <cfRule type="cellIs" dxfId="1" priority="1115" operator="equal">
      <formula>0</formula>
    </cfRule>
    <cfRule type="cellIs" dxfId="2" priority="1116" operator="lessThan">
      <formula>F62</formula>
    </cfRule>
  </conditionalFormatting>
  <conditionalFormatting sqref="AC63">
    <cfRule type="cellIs" dxfId="1" priority="1120" operator="equal">
      <formula>0</formula>
    </cfRule>
    <cfRule type="cellIs" dxfId="2" priority="1121" operator="lessThan">
      <formula>F63</formula>
    </cfRule>
  </conditionalFormatting>
  <conditionalFormatting sqref="AC64">
    <cfRule type="cellIs" dxfId="1" priority="1125" operator="equal">
      <formula>0</formula>
    </cfRule>
    <cfRule type="cellIs" dxfId="2" priority="1126" operator="lessThan">
      <formula>F64</formula>
    </cfRule>
  </conditionalFormatting>
  <conditionalFormatting sqref="AC65">
    <cfRule type="cellIs" dxfId="1" priority="1130" operator="equal">
      <formula>0</formula>
    </cfRule>
    <cfRule type="cellIs" dxfId="2" priority="1131" operator="lessThan">
      <formula>F65</formula>
    </cfRule>
  </conditionalFormatting>
  <conditionalFormatting sqref="AC66">
    <cfRule type="cellIs" dxfId="1" priority="1135" operator="equal">
      <formula>0</formula>
    </cfRule>
    <cfRule type="cellIs" dxfId="2" priority="1136" operator="lessThan">
      <formula>F66</formula>
    </cfRule>
  </conditionalFormatting>
  <conditionalFormatting sqref="AC67">
    <cfRule type="cellIs" dxfId="1" priority="1140" operator="equal">
      <formula>0</formula>
    </cfRule>
    <cfRule type="cellIs" dxfId="2" priority="1141" operator="lessThan">
      <formula>F67</formula>
    </cfRule>
  </conditionalFormatting>
  <conditionalFormatting sqref="AC68">
    <cfRule type="cellIs" dxfId="1" priority="1145" operator="equal">
      <formula>0</formula>
    </cfRule>
    <cfRule type="cellIs" dxfId="2" priority="1146" operator="lessThan">
      <formula>F68</formula>
    </cfRule>
  </conditionalFormatting>
  <conditionalFormatting sqref="AC69">
    <cfRule type="cellIs" dxfId="1" priority="1150" operator="equal">
      <formula>0</formula>
    </cfRule>
    <cfRule type="cellIs" dxfId="2" priority="1151" operator="lessThan">
      <formula>F69</formula>
    </cfRule>
  </conditionalFormatting>
  <conditionalFormatting sqref="AC7">
    <cfRule type="cellIs" dxfId="1" priority="905" operator="equal">
      <formula>0</formula>
    </cfRule>
    <cfRule type="cellIs" dxfId="2" priority="906" operator="lessThan">
      <formula>F7</formula>
    </cfRule>
  </conditionalFormatting>
  <conditionalFormatting sqref="AC70">
    <cfRule type="cellIs" dxfId="1" priority="1155" operator="equal">
      <formula>0</formula>
    </cfRule>
    <cfRule type="cellIs" dxfId="2" priority="1156" operator="lessThan">
      <formula>F70</formula>
    </cfRule>
  </conditionalFormatting>
  <conditionalFormatting sqref="AC72">
    <cfRule type="cellIs" dxfId="1" priority="1160" operator="equal">
      <formula>0</formula>
    </cfRule>
    <cfRule type="cellIs" dxfId="2" priority="1161" operator="lessThan">
      <formula>F72</formula>
    </cfRule>
  </conditionalFormatting>
  <conditionalFormatting sqref="AC73">
    <cfRule type="cellIs" dxfId="1" priority="1165" operator="equal">
      <formula>0</formula>
    </cfRule>
    <cfRule type="cellIs" dxfId="2" priority="1166" operator="lessThan">
      <formula>F73</formula>
    </cfRule>
  </conditionalFormatting>
  <conditionalFormatting sqref="AC74">
    <cfRule type="cellIs" dxfId="1" priority="1170" operator="equal">
      <formula>0</formula>
    </cfRule>
    <cfRule type="cellIs" dxfId="2" priority="1171" operator="lessThan">
      <formula>F74</formula>
    </cfRule>
  </conditionalFormatting>
  <conditionalFormatting sqref="AC75">
    <cfRule type="cellIs" dxfId="1" priority="1175" operator="equal">
      <formula>0</formula>
    </cfRule>
    <cfRule type="cellIs" dxfId="2" priority="1176" operator="lessThan">
      <formula>F75</formula>
    </cfRule>
  </conditionalFormatting>
  <conditionalFormatting sqref="AC77">
    <cfRule type="cellIs" dxfId="1" priority="1180" operator="equal">
      <formula>0</formula>
    </cfRule>
    <cfRule type="cellIs" dxfId="2" priority="1181" operator="lessThan">
      <formula>F77</formula>
    </cfRule>
  </conditionalFormatting>
  <conditionalFormatting sqref="AC78">
    <cfRule type="cellIs" dxfId="1" priority="1185" operator="equal">
      <formula>0</formula>
    </cfRule>
    <cfRule type="cellIs" dxfId="2" priority="1186" operator="lessThan">
      <formula>F78</formula>
    </cfRule>
  </conditionalFormatting>
  <conditionalFormatting sqref="AC79">
    <cfRule type="cellIs" dxfId="1" priority="1190" operator="equal">
      <formula>0</formula>
    </cfRule>
    <cfRule type="cellIs" dxfId="2" priority="1191" operator="lessThan">
      <formula>F79</formula>
    </cfRule>
  </conditionalFormatting>
  <conditionalFormatting sqref="AC8">
    <cfRule type="cellIs" dxfId="1" priority="910" operator="equal">
      <formula>0</formula>
    </cfRule>
    <cfRule type="cellIs" dxfId="2" priority="911" operator="lessThan">
      <formula>F8</formula>
    </cfRule>
  </conditionalFormatting>
  <conditionalFormatting sqref="AC80">
    <cfRule type="cellIs" dxfId="1" priority="1195" operator="equal">
      <formula>0</formula>
    </cfRule>
    <cfRule type="cellIs" dxfId="2" priority="1196" operator="lessThan">
      <formula>F80</formula>
    </cfRule>
  </conditionalFormatting>
  <conditionalFormatting sqref="AC83">
    <cfRule type="cellIs" dxfId="1" priority="1200" operator="equal">
      <formula>0</formula>
    </cfRule>
    <cfRule type="cellIs" dxfId="2" priority="1201" operator="lessThan">
      <formula>F83</formula>
    </cfRule>
  </conditionalFormatting>
  <conditionalFormatting sqref="AC84">
    <cfRule type="cellIs" dxfId="1" priority="1205" operator="equal">
      <formula>0</formula>
    </cfRule>
    <cfRule type="cellIs" dxfId="2" priority="1206" operator="lessThan">
      <formula>F84</formula>
    </cfRule>
  </conditionalFormatting>
  <conditionalFormatting sqref="AC85">
    <cfRule type="cellIs" dxfId="1" priority="1210" operator="equal">
      <formula>0</formula>
    </cfRule>
    <cfRule type="cellIs" dxfId="2" priority="1211" operator="lessThan">
      <formula>F85</formula>
    </cfRule>
  </conditionalFormatting>
  <conditionalFormatting sqref="AC9">
    <cfRule type="cellIs" dxfId="1" priority="915" operator="equal">
      <formula>0</formula>
    </cfRule>
    <cfRule type="cellIs" dxfId="2" priority="916" operator="lessThan">
      <formula>F9</formula>
    </cfRule>
  </conditionalFormatting>
  <conditionalFormatting sqref="AD10">
    <cfRule type="cellIs" dxfId="1" priority="922" operator="greaterThan">
      <formula>AC10</formula>
    </cfRule>
  </conditionalFormatting>
  <conditionalFormatting sqref="AD12">
    <cfRule type="cellIs" dxfId="1" priority="927" operator="greaterThan">
      <formula>AC12</formula>
    </cfRule>
  </conditionalFormatting>
  <conditionalFormatting sqref="AD13">
    <cfRule type="cellIs" dxfId="1" priority="932" operator="greaterThan">
      <formula>AC13</formula>
    </cfRule>
  </conditionalFormatting>
  <conditionalFormatting sqref="AD15">
    <cfRule type="cellIs" dxfId="1" priority="937" operator="greaterThan">
      <formula>AC15</formula>
    </cfRule>
  </conditionalFormatting>
  <conditionalFormatting sqref="AD17">
    <cfRule type="cellIs" dxfId="1" priority="942" operator="greaterThan">
      <formula>AC17</formula>
    </cfRule>
  </conditionalFormatting>
  <conditionalFormatting sqref="AD18">
    <cfRule type="cellIs" dxfId="1" priority="947" operator="greaterThan">
      <formula>AC18</formula>
    </cfRule>
  </conditionalFormatting>
  <conditionalFormatting sqref="AD19">
    <cfRule type="cellIs" dxfId="1" priority="952" operator="greaterThan">
      <formula>AC19</formula>
    </cfRule>
  </conditionalFormatting>
  <conditionalFormatting sqref="AD23">
    <cfRule type="cellIs" dxfId="1" priority="957" operator="greaterThan">
      <formula>AC23</formula>
    </cfRule>
  </conditionalFormatting>
  <conditionalFormatting sqref="AD26">
    <cfRule type="cellIs" dxfId="1" priority="962" operator="greaterThan">
      <formula>AC26</formula>
    </cfRule>
  </conditionalFormatting>
  <conditionalFormatting sqref="AD29">
    <cfRule type="cellIs" dxfId="1" priority="967" operator="greaterThan">
      <formula>AC29</formula>
    </cfRule>
  </conditionalFormatting>
  <conditionalFormatting sqref="AD30">
    <cfRule type="cellIs" dxfId="1" priority="972" operator="greaterThan">
      <formula>AC30</formula>
    </cfRule>
  </conditionalFormatting>
  <conditionalFormatting sqref="AD31">
    <cfRule type="cellIs" dxfId="1" priority="977" operator="greaterThan">
      <formula>AC31</formula>
    </cfRule>
  </conditionalFormatting>
  <conditionalFormatting sqref="AD32">
    <cfRule type="cellIs" dxfId="1" priority="982" operator="greaterThan">
      <formula>AC32</formula>
    </cfRule>
  </conditionalFormatting>
  <conditionalFormatting sqref="AD33">
    <cfRule type="cellIs" dxfId="1" priority="987" operator="greaterThan">
      <formula>AC33</formula>
    </cfRule>
  </conditionalFormatting>
  <conditionalFormatting sqref="AD34">
    <cfRule type="cellIs" dxfId="1" priority="992" operator="greaterThan">
      <formula>AC34</formula>
    </cfRule>
  </conditionalFormatting>
  <conditionalFormatting sqref="AD35">
    <cfRule type="cellIs" dxfId="1" priority="997" operator="greaterThan">
      <formula>AC35</formula>
    </cfRule>
  </conditionalFormatting>
  <conditionalFormatting sqref="AD36">
    <cfRule type="cellIs" dxfId="1" priority="1002" operator="greaterThan">
      <formula>AC36</formula>
    </cfRule>
  </conditionalFormatting>
  <conditionalFormatting sqref="AD37">
    <cfRule type="cellIs" dxfId="1" priority="1007" operator="greaterThan">
      <formula>AC37</formula>
    </cfRule>
  </conditionalFormatting>
  <conditionalFormatting sqref="AD38">
    <cfRule type="cellIs" dxfId="1" priority="1012" operator="greaterThan">
      <formula>AC38</formula>
    </cfRule>
  </conditionalFormatting>
  <conditionalFormatting sqref="AD39">
    <cfRule type="cellIs" dxfId="1" priority="1017" operator="greaterThan">
      <formula>AC39</formula>
    </cfRule>
  </conditionalFormatting>
  <conditionalFormatting sqref="AD40">
    <cfRule type="cellIs" dxfId="1" priority="1022" operator="greaterThan">
      <formula>AC40</formula>
    </cfRule>
  </conditionalFormatting>
  <conditionalFormatting sqref="AD41">
    <cfRule type="cellIs" dxfId="1" priority="1027" operator="greaterThan">
      <formula>AC41</formula>
    </cfRule>
  </conditionalFormatting>
  <conditionalFormatting sqref="AD43">
    <cfRule type="cellIs" dxfId="1" priority="1032" operator="greaterThan">
      <formula>AC43</formula>
    </cfRule>
  </conditionalFormatting>
  <conditionalFormatting sqref="AD44">
    <cfRule type="cellIs" dxfId="1" priority="1037" operator="greaterThan">
      <formula>AC44</formula>
    </cfRule>
  </conditionalFormatting>
  <conditionalFormatting sqref="AD45">
    <cfRule type="cellIs" dxfId="1" priority="1042" operator="greaterThan">
      <formula>AC45</formula>
    </cfRule>
  </conditionalFormatting>
  <conditionalFormatting sqref="AD46">
    <cfRule type="cellIs" dxfId="1" priority="1047" operator="greaterThan">
      <formula>AC46</formula>
    </cfRule>
  </conditionalFormatting>
  <conditionalFormatting sqref="AD47">
    <cfRule type="cellIs" dxfId="1" priority="1052" operator="greaterThan">
      <formula>AC47</formula>
    </cfRule>
  </conditionalFormatting>
  <conditionalFormatting sqref="AD48">
    <cfRule type="cellIs" dxfId="1" priority="1057" operator="greaterThan">
      <formula>AC48</formula>
    </cfRule>
  </conditionalFormatting>
  <conditionalFormatting sqref="AD49">
    <cfRule type="cellIs" dxfId="1" priority="1062" operator="greaterThan">
      <formula>AC49</formula>
    </cfRule>
  </conditionalFormatting>
  <conditionalFormatting sqref="AD50">
    <cfRule type="cellIs" dxfId="1" priority="1067" operator="greaterThan">
      <formula>AC50</formula>
    </cfRule>
  </conditionalFormatting>
  <conditionalFormatting sqref="AD53">
    <cfRule type="cellIs" dxfId="1" priority="1072" operator="greaterThan">
      <formula>AC53</formula>
    </cfRule>
  </conditionalFormatting>
  <conditionalFormatting sqref="AD54">
    <cfRule type="cellIs" dxfId="1" priority="1077" operator="greaterThan">
      <formula>AC54</formula>
    </cfRule>
  </conditionalFormatting>
  <conditionalFormatting sqref="AD55">
    <cfRule type="cellIs" dxfId="1" priority="1082" operator="greaterThan">
      <formula>AC55</formula>
    </cfRule>
  </conditionalFormatting>
  <conditionalFormatting sqref="AD56">
    <cfRule type="cellIs" dxfId="1" priority="1087" operator="greaterThan">
      <formula>AC56</formula>
    </cfRule>
  </conditionalFormatting>
  <conditionalFormatting sqref="AD57">
    <cfRule type="cellIs" dxfId="1" priority="1092" operator="greaterThan">
      <formula>AC57</formula>
    </cfRule>
  </conditionalFormatting>
  <conditionalFormatting sqref="AD58">
    <cfRule type="cellIs" dxfId="1" priority="1097" operator="greaterThan">
      <formula>AC58</formula>
    </cfRule>
  </conditionalFormatting>
  <conditionalFormatting sqref="AD59">
    <cfRule type="cellIs" dxfId="1" priority="1102" operator="greaterThan">
      <formula>AC59</formula>
    </cfRule>
  </conditionalFormatting>
  <conditionalFormatting sqref="AD60">
    <cfRule type="cellIs" dxfId="1" priority="1107" operator="greaterThan">
      <formula>AC60</formula>
    </cfRule>
  </conditionalFormatting>
  <conditionalFormatting sqref="AD61">
    <cfRule type="cellIs" dxfId="1" priority="1112" operator="greaterThan">
      <formula>AC61</formula>
    </cfRule>
  </conditionalFormatting>
  <conditionalFormatting sqref="AD62">
    <cfRule type="cellIs" dxfId="1" priority="1117" operator="greaterThan">
      <formula>AC62</formula>
    </cfRule>
  </conditionalFormatting>
  <conditionalFormatting sqref="AD63">
    <cfRule type="cellIs" dxfId="1" priority="1122" operator="greaterThan">
      <formula>AC63</formula>
    </cfRule>
  </conditionalFormatting>
  <conditionalFormatting sqref="AD64">
    <cfRule type="cellIs" dxfId="1" priority="1127" operator="greaterThan">
      <formula>AC64</formula>
    </cfRule>
  </conditionalFormatting>
  <conditionalFormatting sqref="AD65">
    <cfRule type="cellIs" dxfId="1" priority="1132" operator="greaterThan">
      <formula>AC65</formula>
    </cfRule>
  </conditionalFormatting>
  <conditionalFormatting sqref="AD66">
    <cfRule type="cellIs" dxfId="1" priority="1137" operator="greaterThan">
      <formula>AC66</formula>
    </cfRule>
  </conditionalFormatting>
  <conditionalFormatting sqref="AD67">
    <cfRule type="cellIs" dxfId="1" priority="1142" operator="greaterThan">
      <formula>AC67</formula>
    </cfRule>
  </conditionalFormatting>
  <conditionalFormatting sqref="AD68">
    <cfRule type="cellIs" dxfId="1" priority="1147" operator="greaterThan">
      <formula>AC68</formula>
    </cfRule>
  </conditionalFormatting>
  <conditionalFormatting sqref="AD69">
    <cfRule type="cellIs" dxfId="1" priority="1152" operator="greaterThan">
      <formula>AC69</formula>
    </cfRule>
  </conditionalFormatting>
  <conditionalFormatting sqref="AD7">
    <cfRule type="cellIs" dxfId="1" priority="907" operator="greaterThan">
      <formula>AC7</formula>
    </cfRule>
  </conditionalFormatting>
  <conditionalFormatting sqref="AD70">
    <cfRule type="cellIs" dxfId="1" priority="1157" operator="greaterThan">
      <formula>AC70</formula>
    </cfRule>
  </conditionalFormatting>
  <conditionalFormatting sqref="AD72">
    <cfRule type="cellIs" dxfId="1" priority="1162" operator="greaterThan">
      <formula>AC72</formula>
    </cfRule>
  </conditionalFormatting>
  <conditionalFormatting sqref="AD73">
    <cfRule type="cellIs" dxfId="1" priority="1167" operator="greaterThan">
      <formula>AC73</formula>
    </cfRule>
  </conditionalFormatting>
  <conditionalFormatting sqref="AD74">
    <cfRule type="cellIs" dxfId="1" priority="1172" operator="greaterThan">
      <formula>AC74</formula>
    </cfRule>
  </conditionalFormatting>
  <conditionalFormatting sqref="AD75">
    <cfRule type="cellIs" dxfId="1" priority="1177" operator="greaterThan">
      <formula>AC75</formula>
    </cfRule>
  </conditionalFormatting>
  <conditionalFormatting sqref="AD77">
    <cfRule type="cellIs" dxfId="1" priority="1182" operator="greaterThan">
      <formula>AC77</formula>
    </cfRule>
  </conditionalFormatting>
  <conditionalFormatting sqref="AD78">
    <cfRule type="cellIs" dxfId="1" priority="1187" operator="greaterThan">
      <formula>AC78</formula>
    </cfRule>
  </conditionalFormatting>
  <conditionalFormatting sqref="AD79">
    <cfRule type="cellIs" dxfId="1" priority="1192" operator="greaterThan">
      <formula>AC79</formula>
    </cfRule>
  </conditionalFormatting>
  <conditionalFormatting sqref="AD8">
    <cfRule type="cellIs" dxfId="1" priority="912" operator="greaterThan">
      <formula>AC8</formula>
    </cfRule>
  </conditionalFormatting>
  <conditionalFormatting sqref="AD80">
    <cfRule type="cellIs" dxfId="1" priority="1197" operator="greaterThan">
      <formula>AC80</formula>
    </cfRule>
  </conditionalFormatting>
  <conditionalFormatting sqref="AD83">
    <cfRule type="cellIs" dxfId="1" priority="1202" operator="greaterThan">
      <formula>AC83</formula>
    </cfRule>
  </conditionalFormatting>
  <conditionalFormatting sqref="AD84">
    <cfRule type="cellIs" dxfId="1" priority="1207" operator="greaterThan">
      <formula>AC84</formula>
    </cfRule>
  </conditionalFormatting>
  <conditionalFormatting sqref="AD85">
    <cfRule type="cellIs" dxfId="1" priority="1212" operator="greaterThan">
      <formula>AC85</formula>
    </cfRule>
  </conditionalFormatting>
  <conditionalFormatting sqref="AD9">
    <cfRule type="cellIs" dxfId="1" priority="917" operator="greaterThan">
      <formula>AC9</formula>
    </cfRule>
  </conditionalFormatting>
  <conditionalFormatting sqref="AE10">
    <cfRule type="cellIs" dxfId="4" priority="924" operator="lessThanOrEqual">
      <formula>G10</formula>
    </cfRule>
  </conditionalFormatting>
  <conditionalFormatting sqref="AE12">
    <cfRule type="cellIs" dxfId="4" priority="929" operator="lessThanOrEqual">
      <formula>G12</formula>
    </cfRule>
  </conditionalFormatting>
  <conditionalFormatting sqref="AE13">
    <cfRule type="cellIs" dxfId="4" priority="934" operator="lessThanOrEqual">
      <formula>G13</formula>
    </cfRule>
  </conditionalFormatting>
  <conditionalFormatting sqref="AE15">
    <cfRule type="cellIs" dxfId="4" priority="939" operator="lessThanOrEqual">
      <formula>G15</formula>
    </cfRule>
  </conditionalFormatting>
  <conditionalFormatting sqref="AE17">
    <cfRule type="cellIs" dxfId="4" priority="944" operator="lessThanOrEqual">
      <formula>G17</formula>
    </cfRule>
  </conditionalFormatting>
  <conditionalFormatting sqref="AE18">
    <cfRule type="cellIs" dxfId="4" priority="949" operator="lessThanOrEqual">
      <formula>G18</formula>
    </cfRule>
  </conditionalFormatting>
  <conditionalFormatting sqref="AE19">
    <cfRule type="cellIs" dxfId="4" priority="954" operator="lessThanOrEqual">
      <formula>G19</formula>
    </cfRule>
  </conditionalFormatting>
  <conditionalFormatting sqref="AE23">
    <cfRule type="cellIs" dxfId="4" priority="959" operator="lessThanOrEqual">
      <formula>G23</formula>
    </cfRule>
  </conditionalFormatting>
  <conditionalFormatting sqref="AE26">
    <cfRule type="cellIs" dxfId="4" priority="964" operator="lessThanOrEqual">
      <formula>G26</formula>
    </cfRule>
  </conditionalFormatting>
  <conditionalFormatting sqref="AE29">
    <cfRule type="cellIs" dxfId="4" priority="969" operator="lessThanOrEqual">
      <formula>G29</formula>
    </cfRule>
  </conditionalFormatting>
  <conditionalFormatting sqref="AE30">
    <cfRule type="cellIs" dxfId="4" priority="974" operator="lessThanOrEqual">
      <formula>G30</formula>
    </cfRule>
  </conditionalFormatting>
  <conditionalFormatting sqref="AE31">
    <cfRule type="cellIs" dxfId="4" priority="979" operator="lessThanOrEqual">
      <formula>G31</formula>
    </cfRule>
  </conditionalFormatting>
  <conditionalFormatting sqref="AE32">
    <cfRule type="cellIs" dxfId="4" priority="984" operator="lessThanOrEqual">
      <formula>G32</formula>
    </cfRule>
  </conditionalFormatting>
  <conditionalFormatting sqref="AE33">
    <cfRule type="cellIs" dxfId="4" priority="989" operator="lessThanOrEqual">
      <formula>G33</formula>
    </cfRule>
  </conditionalFormatting>
  <conditionalFormatting sqref="AE34">
    <cfRule type="cellIs" dxfId="4" priority="994" operator="lessThanOrEqual">
      <formula>G34</formula>
    </cfRule>
  </conditionalFormatting>
  <conditionalFormatting sqref="AE35">
    <cfRule type="cellIs" dxfId="4" priority="999" operator="lessThanOrEqual">
      <formula>G35</formula>
    </cfRule>
  </conditionalFormatting>
  <conditionalFormatting sqref="AE36">
    <cfRule type="cellIs" dxfId="4" priority="1004" operator="lessThanOrEqual">
      <formula>G36</formula>
    </cfRule>
  </conditionalFormatting>
  <conditionalFormatting sqref="AE37">
    <cfRule type="cellIs" dxfId="4" priority="1009" operator="lessThanOrEqual">
      <formula>G37</formula>
    </cfRule>
  </conditionalFormatting>
  <conditionalFormatting sqref="AE38">
    <cfRule type="cellIs" dxfId="4" priority="1014" operator="lessThanOrEqual">
      <formula>G38</formula>
    </cfRule>
  </conditionalFormatting>
  <conditionalFormatting sqref="AE39">
    <cfRule type="cellIs" dxfId="4" priority="1019" operator="lessThanOrEqual">
      <formula>G39</formula>
    </cfRule>
  </conditionalFormatting>
  <conditionalFormatting sqref="AE40">
    <cfRule type="cellIs" dxfId="4" priority="1024" operator="lessThanOrEqual">
      <formula>G40</formula>
    </cfRule>
  </conditionalFormatting>
  <conditionalFormatting sqref="AE41">
    <cfRule type="cellIs" dxfId="4" priority="1029" operator="lessThanOrEqual">
      <formula>G41</formula>
    </cfRule>
  </conditionalFormatting>
  <conditionalFormatting sqref="AE43">
    <cfRule type="cellIs" dxfId="4" priority="1034" operator="lessThanOrEqual">
      <formula>G43</formula>
    </cfRule>
  </conditionalFormatting>
  <conditionalFormatting sqref="AE44">
    <cfRule type="cellIs" dxfId="4" priority="1039" operator="lessThanOrEqual">
      <formula>G44</formula>
    </cfRule>
  </conditionalFormatting>
  <conditionalFormatting sqref="AE45">
    <cfRule type="cellIs" dxfId="4" priority="1044" operator="lessThanOrEqual">
      <formula>G45</formula>
    </cfRule>
  </conditionalFormatting>
  <conditionalFormatting sqref="AE46">
    <cfRule type="cellIs" dxfId="4" priority="1049" operator="lessThanOrEqual">
      <formula>G46</formula>
    </cfRule>
  </conditionalFormatting>
  <conditionalFormatting sqref="AE47">
    <cfRule type="cellIs" dxfId="4" priority="1054" operator="lessThanOrEqual">
      <formula>G47</formula>
    </cfRule>
  </conditionalFormatting>
  <conditionalFormatting sqref="AE48">
    <cfRule type="cellIs" dxfId="4" priority="1059" operator="lessThanOrEqual">
      <formula>G48</formula>
    </cfRule>
  </conditionalFormatting>
  <conditionalFormatting sqref="AE49">
    <cfRule type="cellIs" dxfId="4" priority="1064" operator="lessThanOrEqual">
      <formula>G49</formula>
    </cfRule>
  </conditionalFormatting>
  <conditionalFormatting sqref="AE50">
    <cfRule type="cellIs" dxfId="4" priority="1069" operator="lessThanOrEqual">
      <formula>G50</formula>
    </cfRule>
  </conditionalFormatting>
  <conditionalFormatting sqref="AE53">
    <cfRule type="cellIs" dxfId="4" priority="1074" operator="lessThanOrEqual">
      <formula>G53</formula>
    </cfRule>
  </conditionalFormatting>
  <conditionalFormatting sqref="AE54">
    <cfRule type="cellIs" dxfId="4" priority="1079" operator="lessThanOrEqual">
      <formula>G54</formula>
    </cfRule>
  </conditionalFormatting>
  <conditionalFormatting sqref="AE55">
    <cfRule type="cellIs" dxfId="4" priority="1084" operator="lessThanOrEqual">
      <formula>G55</formula>
    </cfRule>
  </conditionalFormatting>
  <conditionalFormatting sqref="AE56">
    <cfRule type="cellIs" dxfId="4" priority="1089" operator="lessThanOrEqual">
      <formula>G56</formula>
    </cfRule>
  </conditionalFormatting>
  <conditionalFormatting sqref="AE57">
    <cfRule type="cellIs" dxfId="4" priority="1094" operator="lessThanOrEqual">
      <formula>G57</formula>
    </cfRule>
  </conditionalFormatting>
  <conditionalFormatting sqref="AE58">
    <cfRule type="cellIs" dxfId="4" priority="1099" operator="lessThanOrEqual">
      <formula>G58</formula>
    </cfRule>
  </conditionalFormatting>
  <conditionalFormatting sqref="AE59">
    <cfRule type="cellIs" dxfId="4" priority="1104" operator="lessThanOrEqual">
      <formula>G59</formula>
    </cfRule>
  </conditionalFormatting>
  <conditionalFormatting sqref="AE60">
    <cfRule type="cellIs" dxfId="4" priority="1109" operator="lessThanOrEqual">
      <formula>G60</formula>
    </cfRule>
  </conditionalFormatting>
  <conditionalFormatting sqref="AE61">
    <cfRule type="cellIs" dxfId="4" priority="1114" operator="lessThanOrEqual">
      <formula>G61</formula>
    </cfRule>
  </conditionalFormatting>
  <conditionalFormatting sqref="AE62">
    <cfRule type="cellIs" dxfId="4" priority="1119" operator="lessThanOrEqual">
      <formula>G62</formula>
    </cfRule>
  </conditionalFormatting>
  <conditionalFormatting sqref="AE63">
    <cfRule type="cellIs" dxfId="4" priority="1124" operator="lessThanOrEqual">
      <formula>G63</formula>
    </cfRule>
  </conditionalFormatting>
  <conditionalFormatting sqref="AE64">
    <cfRule type="cellIs" dxfId="4" priority="1129" operator="lessThanOrEqual">
      <formula>G64</formula>
    </cfRule>
  </conditionalFormatting>
  <conditionalFormatting sqref="AE65">
    <cfRule type="cellIs" dxfId="4" priority="1134" operator="lessThanOrEqual">
      <formula>G65</formula>
    </cfRule>
  </conditionalFormatting>
  <conditionalFormatting sqref="AE66">
    <cfRule type="cellIs" dxfId="4" priority="1139" operator="lessThanOrEqual">
      <formula>G66</formula>
    </cfRule>
  </conditionalFormatting>
  <conditionalFormatting sqref="AE67">
    <cfRule type="cellIs" dxfId="4" priority="1144" operator="lessThanOrEqual">
      <formula>G67</formula>
    </cfRule>
  </conditionalFormatting>
  <conditionalFormatting sqref="AE68">
    <cfRule type="cellIs" dxfId="4" priority="1149" operator="lessThanOrEqual">
      <formula>G68</formula>
    </cfRule>
  </conditionalFormatting>
  <conditionalFormatting sqref="AE69">
    <cfRule type="cellIs" dxfId="4" priority="1154" operator="lessThanOrEqual">
      <formula>G69</formula>
    </cfRule>
  </conditionalFormatting>
  <conditionalFormatting sqref="AE7">
    <cfRule type="cellIs" dxfId="4" priority="909" operator="lessThanOrEqual">
      <formula>G7</formula>
    </cfRule>
  </conditionalFormatting>
  <conditionalFormatting sqref="AE70">
    <cfRule type="cellIs" dxfId="4" priority="1159" operator="lessThanOrEqual">
      <formula>G70</formula>
    </cfRule>
  </conditionalFormatting>
  <conditionalFormatting sqref="AE72">
    <cfRule type="cellIs" dxfId="4" priority="1164" operator="lessThanOrEqual">
      <formula>G72</formula>
    </cfRule>
  </conditionalFormatting>
  <conditionalFormatting sqref="AE73">
    <cfRule type="cellIs" dxfId="4" priority="1169" operator="lessThanOrEqual">
      <formula>G73</formula>
    </cfRule>
  </conditionalFormatting>
  <conditionalFormatting sqref="AE74">
    <cfRule type="cellIs" dxfId="4" priority="1174" operator="lessThanOrEqual">
      <formula>G74</formula>
    </cfRule>
  </conditionalFormatting>
  <conditionalFormatting sqref="AE75">
    <cfRule type="cellIs" dxfId="4" priority="1179" operator="lessThanOrEqual">
      <formula>G75</formula>
    </cfRule>
  </conditionalFormatting>
  <conditionalFormatting sqref="AE77">
    <cfRule type="cellIs" dxfId="4" priority="1184" operator="lessThanOrEqual">
      <formula>G77</formula>
    </cfRule>
  </conditionalFormatting>
  <conditionalFormatting sqref="AE78">
    <cfRule type="cellIs" dxfId="4" priority="1189" operator="lessThanOrEqual">
      <formula>G78</formula>
    </cfRule>
  </conditionalFormatting>
  <conditionalFormatting sqref="AE79">
    <cfRule type="cellIs" dxfId="4" priority="1194" operator="lessThanOrEqual">
      <formula>G79</formula>
    </cfRule>
  </conditionalFormatting>
  <conditionalFormatting sqref="AE8">
    <cfRule type="cellIs" dxfId="4" priority="914" operator="lessThanOrEqual">
      <formula>G8</formula>
    </cfRule>
  </conditionalFormatting>
  <conditionalFormatting sqref="AE80">
    <cfRule type="cellIs" dxfId="4" priority="1199" operator="lessThanOrEqual">
      <formula>G80</formula>
    </cfRule>
  </conditionalFormatting>
  <conditionalFormatting sqref="AE83">
    <cfRule type="cellIs" dxfId="4" priority="1204" operator="lessThanOrEqual">
      <formula>G83</formula>
    </cfRule>
  </conditionalFormatting>
  <conditionalFormatting sqref="AE84">
    <cfRule type="cellIs" dxfId="4" priority="1209" operator="lessThanOrEqual">
      <formula>G84</formula>
    </cfRule>
  </conditionalFormatting>
  <conditionalFormatting sqref="AE85">
    <cfRule type="cellIs" dxfId="4" priority="1214" operator="lessThanOrEqual">
      <formula>G85</formula>
    </cfRule>
  </conditionalFormatting>
  <conditionalFormatting sqref="AE9">
    <cfRule type="cellIs" dxfId="4" priority="919" operator="lessThanOrEqual">
      <formula>G9</formula>
    </cfRule>
  </conditionalFormatting>
  <conditionalFormatting sqref="AF10">
    <cfRule type="cellIs" dxfId="4" priority="923" operator="lessThanOrEqual">
      <formula>H10</formula>
    </cfRule>
  </conditionalFormatting>
  <conditionalFormatting sqref="AF12">
    <cfRule type="cellIs" dxfId="4" priority="928" operator="lessThanOrEqual">
      <formula>H12</formula>
    </cfRule>
  </conditionalFormatting>
  <conditionalFormatting sqref="AF13">
    <cfRule type="cellIs" dxfId="4" priority="933" operator="lessThanOrEqual">
      <formula>H13</formula>
    </cfRule>
  </conditionalFormatting>
  <conditionalFormatting sqref="AF15">
    <cfRule type="cellIs" dxfId="4" priority="938" operator="lessThanOrEqual">
      <formula>H15</formula>
    </cfRule>
  </conditionalFormatting>
  <conditionalFormatting sqref="AF17">
    <cfRule type="cellIs" dxfId="4" priority="943" operator="lessThanOrEqual">
      <formula>H17</formula>
    </cfRule>
  </conditionalFormatting>
  <conditionalFormatting sqref="AF18">
    <cfRule type="cellIs" dxfId="4" priority="948" operator="lessThanOrEqual">
      <formula>H18</formula>
    </cfRule>
  </conditionalFormatting>
  <conditionalFormatting sqref="AF19">
    <cfRule type="cellIs" dxfId="4" priority="953" operator="lessThanOrEqual">
      <formula>H19</formula>
    </cfRule>
  </conditionalFormatting>
  <conditionalFormatting sqref="AF23">
    <cfRule type="cellIs" dxfId="4" priority="958" operator="lessThanOrEqual">
      <formula>H23</formula>
    </cfRule>
  </conditionalFormatting>
  <conditionalFormatting sqref="AF26">
    <cfRule type="cellIs" dxfId="4" priority="963" operator="lessThanOrEqual">
      <formula>H26</formula>
    </cfRule>
  </conditionalFormatting>
  <conditionalFormatting sqref="AF29">
    <cfRule type="cellIs" dxfId="4" priority="968" operator="lessThanOrEqual">
      <formula>H29</formula>
    </cfRule>
  </conditionalFormatting>
  <conditionalFormatting sqref="AF30">
    <cfRule type="cellIs" dxfId="4" priority="973" operator="lessThanOrEqual">
      <formula>H30</formula>
    </cfRule>
  </conditionalFormatting>
  <conditionalFormatting sqref="AF31">
    <cfRule type="cellIs" dxfId="4" priority="978" operator="lessThanOrEqual">
      <formula>H31</formula>
    </cfRule>
  </conditionalFormatting>
  <conditionalFormatting sqref="AF32">
    <cfRule type="cellIs" dxfId="4" priority="983" operator="lessThanOrEqual">
      <formula>H32</formula>
    </cfRule>
  </conditionalFormatting>
  <conditionalFormatting sqref="AF33">
    <cfRule type="cellIs" dxfId="4" priority="988" operator="lessThanOrEqual">
      <formula>H33</formula>
    </cfRule>
  </conditionalFormatting>
  <conditionalFormatting sqref="AF34">
    <cfRule type="cellIs" dxfId="4" priority="993" operator="lessThanOrEqual">
      <formula>H34</formula>
    </cfRule>
  </conditionalFormatting>
  <conditionalFormatting sqref="AF35">
    <cfRule type="cellIs" dxfId="4" priority="998" operator="lessThanOrEqual">
      <formula>H35</formula>
    </cfRule>
  </conditionalFormatting>
  <conditionalFormatting sqref="AF36">
    <cfRule type="cellIs" dxfId="4" priority="1003" operator="lessThanOrEqual">
      <formula>H36</formula>
    </cfRule>
  </conditionalFormatting>
  <conditionalFormatting sqref="AF37">
    <cfRule type="cellIs" dxfId="4" priority="1008" operator="lessThanOrEqual">
      <formula>H37</formula>
    </cfRule>
  </conditionalFormatting>
  <conditionalFormatting sqref="AF38">
    <cfRule type="cellIs" dxfId="4" priority="1013" operator="lessThanOrEqual">
      <formula>H38</formula>
    </cfRule>
  </conditionalFormatting>
  <conditionalFormatting sqref="AF39">
    <cfRule type="cellIs" dxfId="4" priority="1018" operator="lessThanOrEqual">
      <formula>H39</formula>
    </cfRule>
  </conditionalFormatting>
  <conditionalFormatting sqref="AF40">
    <cfRule type="cellIs" dxfId="4" priority="1023" operator="lessThanOrEqual">
      <formula>H40</formula>
    </cfRule>
  </conditionalFormatting>
  <conditionalFormatting sqref="AF41">
    <cfRule type="cellIs" dxfId="4" priority="1028" operator="lessThanOrEqual">
      <formula>H41</formula>
    </cfRule>
  </conditionalFormatting>
  <conditionalFormatting sqref="AF43">
    <cfRule type="cellIs" dxfId="4" priority="1033" operator="lessThanOrEqual">
      <formula>H43</formula>
    </cfRule>
  </conditionalFormatting>
  <conditionalFormatting sqref="AF44">
    <cfRule type="cellIs" dxfId="4" priority="1038" operator="lessThanOrEqual">
      <formula>H44</formula>
    </cfRule>
  </conditionalFormatting>
  <conditionalFormatting sqref="AF45">
    <cfRule type="cellIs" dxfId="4" priority="1043" operator="lessThanOrEqual">
      <formula>H45</formula>
    </cfRule>
  </conditionalFormatting>
  <conditionalFormatting sqref="AF46">
    <cfRule type="cellIs" dxfId="4" priority="1048" operator="lessThanOrEqual">
      <formula>H46</formula>
    </cfRule>
  </conditionalFormatting>
  <conditionalFormatting sqref="AF47">
    <cfRule type="cellIs" dxfId="4" priority="1053" operator="lessThanOrEqual">
      <formula>H47</formula>
    </cfRule>
  </conditionalFormatting>
  <conditionalFormatting sqref="AF48">
    <cfRule type="cellIs" dxfId="4" priority="1058" operator="lessThanOrEqual">
      <formula>H48</formula>
    </cfRule>
  </conditionalFormatting>
  <conditionalFormatting sqref="AF49">
    <cfRule type="cellIs" dxfId="4" priority="1063" operator="lessThanOrEqual">
      <formula>H49</formula>
    </cfRule>
  </conditionalFormatting>
  <conditionalFormatting sqref="AF50">
    <cfRule type="cellIs" dxfId="4" priority="1068" operator="lessThanOrEqual">
      <formula>H50</formula>
    </cfRule>
  </conditionalFormatting>
  <conditionalFormatting sqref="AF53">
    <cfRule type="cellIs" dxfId="4" priority="1073" operator="lessThanOrEqual">
      <formula>H53</formula>
    </cfRule>
  </conditionalFormatting>
  <conditionalFormatting sqref="AF54">
    <cfRule type="cellIs" dxfId="4" priority="1078" operator="lessThanOrEqual">
      <formula>H54</formula>
    </cfRule>
  </conditionalFormatting>
  <conditionalFormatting sqref="AF55">
    <cfRule type="cellIs" dxfId="4" priority="1083" operator="lessThanOrEqual">
      <formula>H55</formula>
    </cfRule>
  </conditionalFormatting>
  <conditionalFormatting sqref="AF56">
    <cfRule type="cellIs" dxfId="4" priority="1088" operator="lessThanOrEqual">
      <formula>H56</formula>
    </cfRule>
  </conditionalFormatting>
  <conditionalFormatting sqref="AF57">
    <cfRule type="cellIs" dxfId="4" priority="1093" operator="lessThanOrEqual">
      <formula>H57</formula>
    </cfRule>
  </conditionalFormatting>
  <conditionalFormatting sqref="AF58">
    <cfRule type="cellIs" dxfId="4" priority="1098" operator="lessThanOrEqual">
      <formula>H58</formula>
    </cfRule>
  </conditionalFormatting>
  <conditionalFormatting sqref="AF59">
    <cfRule type="cellIs" dxfId="4" priority="1103" operator="lessThanOrEqual">
      <formula>H59</formula>
    </cfRule>
  </conditionalFormatting>
  <conditionalFormatting sqref="AF60">
    <cfRule type="cellIs" dxfId="4" priority="1108" operator="lessThanOrEqual">
      <formula>H60</formula>
    </cfRule>
  </conditionalFormatting>
  <conditionalFormatting sqref="AF61">
    <cfRule type="cellIs" dxfId="4" priority="1113" operator="lessThanOrEqual">
      <formula>H61</formula>
    </cfRule>
  </conditionalFormatting>
  <conditionalFormatting sqref="AF62">
    <cfRule type="cellIs" dxfId="4" priority="1118" operator="lessThanOrEqual">
      <formula>H62</formula>
    </cfRule>
  </conditionalFormatting>
  <conditionalFormatting sqref="AF63">
    <cfRule type="cellIs" dxfId="4" priority="1123" operator="lessThanOrEqual">
      <formula>H63</formula>
    </cfRule>
  </conditionalFormatting>
  <conditionalFormatting sqref="AF64">
    <cfRule type="cellIs" dxfId="4" priority="1128" operator="lessThanOrEqual">
      <formula>H64</formula>
    </cfRule>
  </conditionalFormatting>
  <conditionalFormatting sqref="AF65">
    <cfRule type="cellIs" dxfId="4" priority="1133" operator="lessThanOrEqual">
      <formula>H65</formula>
    </cfRule>
  </conditionalFormatting>
  <conditionalFormatting sqref="AF66">
    <cfRule type="cellIs" dxfId="4" priority="1138" operator="lessThanOrEqual">
      <formula>H66</formula>
    </cfRule>
  </conditionalFormatting>
  <conditionalFormatting sqref="AF67">
    <cfRule type="cellIs" dxfId="4" priority="1143" operator="lessThanOrEqual">
      <formula>H67</formula>
    </cfRule>
  </conditionalFormatting>
  <conditionalFormatting sqref="AF68">
    <cfRule type="cellIs" dxfId="4" priority="1148" operator="lessThanOrEqual">
      <formula>H68</formula>
    </cfRule>
  </conditionalFormatting>
  <conditionalFormatting sqref="AF69">
    <cfRule type="cellIs" dxfId="4" priority="1153" operator="lessThanOrEqual">
      <formula>H69</formula>
    </cfRule>
  </conditionalFormatting>
  <conditionalFormatting sqref="AF7">
    <cfRule type="cellIs" dxfId="4" priority="908" operator="lessThanOrEqual">
      <formula>H7</formula>
    </cfRule>
  </conditionalFormatting>
  <conditionalFormatting sqref="AF70">
    <cfRule type="cellIs" dxfId="4" priority="1158" operator="lessThanOrEqual">
      <formula>H70</formula>
    </cfRule>
  </conditionalFormatting>
  <conditionalFormatting sqref="AF72">
    <cfRule type="cellIs" dxfId="4" priority="1163" operator="lessThanOrEqual">
      <formula>H72</formula>
    </cfRule>
  </conditionalFormatting>
  <conditionalFormatting sqref="AF73">
    <cfRule type="cellIs" dxfId="4" priority="1168" operator="lessThanOrEqual">
      <formula>H73</formula>
    </cfRule>
  </conditionalFormatting>
  <conditionalFormatting sqref="AF74">
    <cfRule type="cellIs" dxfId="4" priority="1173" operator="lessThanOrEqual">
      <formula>H74</formula>
    </cfRule>
  </conditionalFormatting>
  <conditionalFormatting sqref="AF75">
    <cfRule type="cellIs" dxfId="4" priority="1178" operator="lessThanOrEqual">
      <formula>H75</formula>
    </cfRule>
  </conditionalFormatting>
  <conditionalFormatting sqref="AF77">
    <cfRule type="cellIs" dxfId="4" priority="1183" operator="lessThanOrEqual">
      <formula>H77</formula>
    </cfRule>
  </conditionalFormatting>
  <conditionalFormatting sqref="AF78">
    <cfRule type="cellIs" dxfId="4" priority="1188" operator="lessThanOrEqual">
      <formula>H78</formula>
    </cfRule>
  </conditionalFormatting>
  <conditionalFormatting sqref="AF79">
    <cfRule type="cellIs" dxfId="4" priority="1193" operator="lessThanOrEqual">
      <formula>H79</formula>
    </cfRule>
  </conditionalFormatting>
  <conditionalFormatting sqref="AF8">
    <cfRule type="cellIs" dxfId="4" priority="913" operator="lessThanOrEqual">
      <formula>H8</formula>
    </cfRule>
  </conditionalFormatting>
  <conditionalFormatting sqref="AF80">
    <cfRule type="cellIs" dxfId="4" priority="1198" operator="lessThanOrEqual">
      <formula>H80</formula>
    </cfRule>
  </conditionalFormatting>
  <conditionalFormatting sqref="AF83">
    <cfRule type="cellIs" dxfId="4" priority="1203" operator="lessThanOrEqual">
      <formula>H83</formula>
    </cfRule>
  </conditionalFormatting>
  <conditionalFormatting sqref="AF84">
    <cfRule type="cellIs" dxfId="4" priority="1208" operator="lessThanOrEqual">
      <formula>H84</formula>
    </cfRule>
  </conditionalFormatting>
  <conditionalFormatting sqref="AF85">
    <cfRule type="cellIs" dxfId="4" priority="1213" operator="lessThanOrEqual">
      <formula>H85</formula>
    </cfRule>
  </conditionalFormatting>
  <conditionalFormatting sqref="AF9">
    <cfRule type="cellIs" dxfId="4" priority="918" operator="lessThanOrEqual">
      <formula>H9</formula>
    </cfRule>
  </conditionalFormatting>
  <conditionalFormatting sqref="AH10">
    <cfRule type="cellIs" dxfId="1" priority="1232" operator="equal">
      <formula>0</formula>
    </cfRule>
    <cfRule type="cellIs" dxfId="2" priority="1233" operator="lessThan">
      <formula>F10</formula>
    </cfRule>
  </conditionalFormatting>
  <conditionalFormatting sqref="AH12">
    <cfRule type="cellIs" dxfId="1" priority="1238" operator="equal">
      <formula>0</formula>
    </cfRule>
    <cfRule type="cellIs" dxfId="2" priority="1239" operator="lessThan">
      <formula>F12</formula>
    </cfRule>
  </conditionalFormatting>
  <conditionalFormatting sqref="AH13">
    <cfRule type="cellIs" dxfId="1" priority="1244" operator="equal">
      <formula>0</formula>
    </cfRule>
    <cfRule type="cellIs" dxfId="2" priority="1245" operator="lessThan">
      <formula>F13</formula>
    </cfRule>
  </conditionalFormatting>
  <conditionalFormatting sqref="AH15">
    <cfRule type="cellIs" dxfId="1" priority="1249" operator="equal">
      <formula>0</formula>
    </cfRule>
    <cfRule type="cellIs" dxfId="2" priority="1250" operator="lessThan">
      <formula>F15</formula>
    </cfRule>
  </conditionalFormatting>
  <conditionalFormatting sqref="AH18">
    <cfRule type="cellIs" dxfId="1" priority="1254" operator="equal">
      <formula>0</formula>
    </cfRule>
    <cfRule type="cellIs" dxfId="2" priority="1255" operator="lessThan">
      <formula>F18</formula>
    </cfRule>
  </conditionalFormatting>
  <conditionalFormatting sqref="AH33">
    <cfRule type="cellIs" dxfId="1" priority="1259" operator="equal">
      <formula>0</formula>
    </cfRule>
    <cfRule type="cellIs" dxfId="2" priority="1260" operator="lessThan">
      <formula>F33</formula>
    </cfRule>
  </conditionalFormatting>
  <conditionalFormatting sqref="AH34">
    <cfRule type="cellIs" dxfId="1" priority="1265" operator="equal">
      <formula>0</formula>
    </cfRule>
    <cfRule type="cellIs" dxfId="2" priority="1266" operator="lessThan">
      <formula>F34</formula>
    </cfRule>
  </conditionalFormatting>
  <conditionalFormatting sqref="AH35">
    <cfRule type="cellIs" dxfId="1" priority="1270" operator="equal">
      <formula>0</formula>
    </cfRule>
    <cfRule type="cellIs" dxfId="2" priority="1271" operator="lessThan">
      <formula>F35</formula>
    </cfRule>
  </conditionalFormatting>
  <conditionalFormatting sqref="AH36">
    <cfRule type="cellIs" dxfId="1" priority="1275" operator="equal">
      <formula>0</formula>
    </cfRule>
    <cfRule type="cellIs" dxfId="2" priority="1276" operator="lessThan">
      <formula>F36</formula>
    </cfRule>
  </conditionalFormatting>
  <conditionalFormatting sqref="AH37">
    <cfRule type="cellIs" dxfId="1" priority="1280" operator="equal">
      <formula>0</formula>
    </cfRule>
    <cfRule type="cellIs" dxfId="2" priority="1281" operator="lessThan">
      <formula>F37</formula>
    </cfRule>
  </conditionalFormatting>
  <conditionalFormatting sqref="AH38">
    <cfRule type="cellIs" dxfId="1" priority="1286" operator="equal">
      <formula>0</formula>
    </cfRule>
    <cfRule type="cellIs" dxfId="2" priority="1287" operator="lessThan">
      <formula>F38</formula>
    </cfRule>
  </conditionalFormatting>
  <conditionalFormatting sqref="AH39">
    <cfRule type="cellIs" dxfId="1" priority="1291" operator="equal">
      <formula>0</formula>
    </cfRule>
    <cfRule type="cellIs" dxfId="2" priority="1292" operator="lessThan">
      <formula>F39</formula>
    </cfRule>
  </conditionalFormatting>
  <conditionalFormatting sqref="AH41">
    <cfRule type="cellIs" dxfId="1" priority="1296" operator="equal">
      <formula>0</formula>
    </cfRule>
    <cfRule type="cellIs" dxfId="2" priority="1297" operator="lessThan">
      <formula>F41</formula>
    </cfRule>
  </conditionalFormatting>
  <conditionalFormatting sqref="AH45">
    <cfRule type="cellIs" dxfId="1" priority="1302" operator="equal">
      <formula>0</formula>
    </cfRule>
    <cfRule type="cellIs" dxfId="2" priority="1303" operator="lessThan">
      <formula>F45</formula>
    </cfRule>
  </conditionalFormatting>
  <conditionalFormatting sqref="AH46">
    <cfRule type="cellIs" dxfId="1" priority="1308" operator="equal">
      <formula>0</formula>
    </cfRule>
    <cfRule type="cellIs" dxfId="2" priority="1309" operator="lessThan">
      <formula>F46</formula>
    </cfRule>
  </conditionalFormatting>
  <conditionalFormatting sqref="AH47">
    <cfRule type="cellIs" dxfId="1" priority="1314" operator="equal">
      <formula>0</formula>
    </cfRule>
    <cfRule type="cellIs" dxfId="2" priority="1315" operator="lessThan">
      <formula>F47</formula>
    </cfRule>
  </conditionalFormatting>
  <conditionalFormatting sqref="AH48">
    <cfRule type="cellIs" dxfId="1" priority="1319" operator="equal">
      <formula>0</formula>
    </cfRule>
    <cfRule type="cellIs" dxfId="2" priority="1320" operator="lessThan">
      <formula>F48</formula>
    </cfRule>
  </conditionalFormatting>
  <conditionalFormatting sqref="AH49">
    <cfRule type="cellIs" dxfId="1" priority="1324" operator="equal">
      <formula>0</formula>
    </cfRule>
    <cfRule type="cellIs" dxfId="2" priority="1325" operator="lessThan">
      <formula>F49</formula>
    </cfRule>
  </conditionalFormatting>
  <conditionalFormatting sqref="AH53">
    <cfRule type="cellIs" dxfId="1" priority="1330" operator="equal">
      <formula>0</formula>
    </cfRule>
    <cfRule type="cellIs" dxfId="2" priority="1331" operator="lessThan">
      <formula>F53</formula>
    </cfRule>
  </conditionalFormatting>
  <conditionalFormatting sqref="AH54">
    <cfRule type="cellIs" dxfId="1" priority="1335" operator="equal">
      <formula>0</formula>
    </cfRule>
    <cfRule type="cellIs" dxfId="2" priority="1336" operator="lessThan">
      <formula>F54</formula>
    </cfRule>
  </conditionalFormatting>
  <conditionalFormatting sqref="AH57">
    <cfRule type="cellIs" dxfId="1" priority="1340" operator="equal">
      <formula>0</formula>
    </cfRule>
    <cfRule type="cellIs" dxfId="2" priority="1341" operator="lessThan">
      <formula>F57</formula>
    </cfRule>
  </conditionalFormatting>
  <conditionalFormatting sqref="AH58">
    <cfRule type="cellIs" dxfId="1" priority="1346" operator="equal">
      <formula>0</formula>
    </cfRule>
    <cfRule type="cellIs" dxfId="2" priority="1347" operator="lessThan">
      <formula>F58</formula>
    </cfRule>
  </conditionalFormatting>
  <conditionalFormatting sqref="AH61">
    <cfRule type="cellIs" dxfId="1" priority="1352" operator="equal">
      <formula>0</formula>
    </cfRule>
    <cfRule type="cellIs" dxfId="2" priority="1353" operator="lessThan">
      <formula>F61</formula>
    </cfRule>
  </conditionalFormatting>
  <conditionalFormatting sqref="AH63">
    <cfRule type="cellIs" dxfId="1" priority="1357" operator="equal">
      <formula>0</formula>
    </cfRule>
    <cfRule type="cellIs" dxfId="2" priority="1358" operator="lessThan">
      <formula>F63</formula>
    </cfRule>
  </conditionalFormatting>
  <conditionalFormatting sqref="AH64">
    <cfRule type="cellIs" dxfId="1" priority="1362" operator="equal">
      <formula>0</formula>
    </cfRule>
    <cfRule type="cellIs" dxfId="2" priority="1363" operator="lessThan">
      <formula>F64</formula>
    </cfRule>
  </conditionalFormatting>
  <conditionalFormatting sqref="AH66">
    <cfRule type="cellIs" dxfId="1" priority="1367" operator="equal">
      <formula>0</formula>
    </cfRule>
    <cfRule type="cellIs" dxfId="2" priority="1368" operator="lessThan">
      <formula>F66</formula>
    </cfRule>
  </conditionalFormatting>
  <conditionalFormatting sqref="AH67">
    <cfRule type="cellIs" dxfId="1" priority="1372" operator="equal">
      <formula>0</formula>
    </cfRule>
    <cfRule type="cellIs" dxfId="2" priority="1373" operator="lessThan">
      <formula>F67</formula>
    </cfRule>
  </conditionalFormatting>
  <conditionalFormatting sqref="AH68">
    <cfRule type="cellIs" dxfId="1" priority="1377" operator="equal">
      <formula>0</formula>
    </cfRule>
    <cfRule type="cellIs" dxfId="2" priority="1378" operator="lessThan">
      <formula>F68</formula>
    </cfRule>
  </conditionalFormatting>
  <conditionalFormatting sqref="AH7">
    <cfRule type="cellIs" dxfId="1" priority="1215" operator="equal">
      <formula>0</formula>
    </cfRule>
    <cfRule type="cellIs" dxfId="2" priority="1216" operator="lessThan">
      <formula>F7</formula>
    </cfRule>
  </conditionalFormatting>
  <conditionalFormatting sqref="AH70">
    <cfRule type="cellIs" dxfId="1" priority="1382" operator="equal">
      <formula>0</formula>
    </cfRule>
    <cfRule type="cellIs" dxfId="2" priority="1383" operator="lessThan">
      <formula>F70</formula>
    </cfRule>
  </conditionalFormatting>
  <conditionalFormatting sqref="AH75">
    <cfRule type="cellIs" dxfId="1" priority="1388" operator="equal">
      <formula>0</formula>
    </cfRule>
    <cfRule type="cellIs" dxfId="2" priority="1389" operator="lessThan">
      <formula>F75</formula>
    </cfRule>
  </conditionalFormatting>
  <conditionalFormatting sqref="AH78">
    <cfRule type="cellIs" dxfId="1" priority="1393" operator="equal">
      <formula>0</formula>
    </cfRule>
    <cfRule type="cellIs" dxfId="2" priority="1394" operator="lessThan">
      <formula>F78</formula>
    </cfRule>
  </conditionalFormatting>
  <conditionalFormatting sqref="AH79">
    <cfRule type="cellIs" dxfId="1" priority="1398" operator="equal">
      <formula>0</formula>
    </cfRule>
    <cfRule type="cellIs" dxfId="2" priority="1399" operator="lessThan">
      <formula>F79</formula>
    </cfRule>
  </conditionalFormatting>
  <conditionalFormatting sqref="AH8">
    <cfRule type="cellIs" dxfId="1" priority="1221" operator="equal">
      <formula>0</formula>
    </cfRule>
    <cfRule type="cellIs" dxfId="2" priority="1222" operator="lessThan">
      <formula>F8</formula>
    </cfRule>
  </conditionalFormatting>
  <conditionalFormatting sqref="AH80">
    <cfRule type="cellIs" dxfId="1" priority="1404" operator="equal">
      <formula>0</formula>
    </cfRule>
    <cfRule type="cellIs" dxfId="2" priority="1405" operator="lessThan">
      <formula>F80</formula>
    </cfRule>
  </conditionalFormatting>
  <conditionalFormatting sqref="AH83">
    <cfRule type="cellIs" dxfId="1" priority="1409" operator="equal">
      <formula>0</formula>
    </cfRule>
    <cfRule type="cellIs" dxfId="2" priority="1410" operator="lessThan">
      <formula>F83</formula>
    </cfRule>
  </conditionalFormatting>
  <conditionalFormatting sqref="AH84">
    <cfRule type="cellIs" dxfId="1" priority="1415" operator="equal">
      <formula>0</formula>
    </cfRule>
    <cfRule type="cellIs" dxfId="2" priority="1416" operator="lessThan">
      <formula>F84</formula>
    </cfRule>
  </conditionalFormatting>
  <conditionalFormatting sqref="AH85">
    <cfRule type="cellIs" dxfId="1" priority="1420" operator="equal">
      <formula>0</formula>
    </cfRule>
    <cfRule type="cellIs" dxfId="2" priority="1421" operator="lessThan">
      <formula>F85</formula>
    </cfRule>
  </conditionalFormatting>
  <conditionalFormatting sqref="AH9">
    <cfRule type="cellIs" dxfId="1" priority="1226" operator="equal">
      <formula>0</formula>
    </cfRule>
    <cfRule type="cellIs" dxfId="2" priority="1227" operator="lessThan">
      <formula>F9</formula>
    </cfRule>
  </conditionalFormatting>
  <conditionalFormatting sqref="AI10">
    <cfRule type="expression" dxfId="3" priority="1234">
      <formula>AND(AI10&gt;0,AI10&lt;4000)</formula>
    </cfRule>
    <cfRule type="cellIs" dxfId="1" priority="1235" operator="greaterThan">
      <formula>AH10</formula>
    </cfRule>
  </conditionalFormatting>
  <conditionalFormatting sqref="AI12">
    <cfRule type="expression" dxfId="3" priority="1240">
      <formula>AND(AI12&gt;0,AI12&lt;10)</formula>
    </cfRule>
    <cfRule type="cellIs" dxfId="1" priority="1241" operator="greaterThan">
      <formula>AH12</formula>
    </cfRule>
  </conditionalFormatting>
  <conditionalFormatting sqref="AI13">
    <cfRule type="cellIs" dxfId="1" priority="1246" operator="greaterThan">
      <formula>AH13</formula>
    </cfRule>
  </conditionalFormatting>
  <conditionalFormatting sqref="AI15">
    <cfRule type="cellIs" dxfId="1" priority="1251" operator="greaterThan">
      <formula>AH15</formula>
    </cfRule>
  </conditionalFormatting>
  <conditionalFormatting sqref="AI18">
    <cfRule type="cellIs" dxfId="1" priority="1256" operator="greaterThan">
      <formula>AH18</formula>
    </cfRule>
  </conditionalFormatting>
  <conditionalFormatting sqref="AI33">
    <cfRule type="expression" dxfId="3" priority="1261">
      <formula>AND(AI33&gt;0,AI33&lt;60)</formula>
    </cfRule>
    <cfRule type="cellIs" dxfId="1" priority="1262" operator="greaterThan">
      <formula>AH33</formula>
    </cfRule>
  </conditionalFormatting>
  <conditionalFormatting sqref="AI34">
    <cfRule type="cellIs" dxfId="1" priority="1267" operator="greaterThan">
      <formula>AH34</formula>
    </cfRule>
  </conditionalFormatting>
  <conditionalFormatting sqref="AI35">
    <cfRule type="cellIs" dxfId="1" priority="1272" operator="greaterThan">
      <formula>AH35</formula>
    </cfRule>
  </conditionalFormatting>
  <conditionalFormatting sqref="AI36">
    <cfRule type="cellIs" dxfId="1" priority="1277" operator="greaterThan">
      <formula>AH36</formula>
    </cfRule>
  </conditionalFormatting>
  <conditionalFormatting sqref="AI37">
    <cfRule type="expression" dxfId="3" priority="1282">
      <formula>AND(AI37&gt;0,AI37&lt;4000)</formula>
    </cfRule>
    <cfRule type="cellIs" dxfId="1" priority="1283" operator="greaterThan">
      <formula>AH37</formula>
    </cfRule>
  </conditionalFormatting>
  <conditionalFormatting sqref="AI38">
    <cfRule type="cellIs" dxfId="1" priority="1288" operator="greaterThan">
      <formula>AH38</formula>
    </cfRule>
  </conditionalFormatting>
  <conditionalFormatting sqref="AI39">
    <cfRule type="cellIs" dxfId="1" priority="1293" operator="greaterThan">
      <formula>AH39</formula>
    </cfRule>
  </conditionalFormatting>
  <conditionalFormatting sqref="AI41">
    <cfRule type="expression" dxfId="3" priority="1298">
      <formula>AND(AI41&gt;0,AI41&lt;10)</formula>
    </cfRule>
    <cfRule type="cellIs" dxfId="1" priority="1299" operator="greaterThan">
      <formula>AH41</formula>
    </cfRule>
  </conditionalFormatting>
  <conditionalFormatting sqref="AI45">
    <cfRule type="expression" dxfId="3" priority="1304">
      <formula>AND(AI45&gt;0,AI45&lt;10)</formula>
    </cfRule>
    <cfRule type="cellIs" dxfId="1" priority="1305" operator="greaterThan">
      <formula>AH45</formula>
    </cfRule>
  </conditionalFormatting>
  <conditionalFormatting sqref="AI46">
    <cfRule type="expression" dxfId="3" priority="1310">
      <formula>AND(AI46&gt;0,AI46&lt;10)</formula>
    </cfRule>
    <cfRule type="cellIs" dxfId="1" priority="1311" operator="greaterThan">
      <formula>AH46</formula>
    </cfRule>
  </conditionalFormatting>
  <conditionalFormatting sqref="AI47">
    <cfRule type="cellIs" dxfId="1" priority="1316" operator="greaterThan">
      <formula>AH47</formula>
    </cfRule>
  </conditionalFormatting>
  <conditionalFormatting sqref="AI48">
    <cfRule type="cellIs" dxfId="1" priority="1321" operator="greaterThan">
      <formula>AH48</formula>
    </cfRule>
  </conditionalFormatting>
  <conditionalFormatting sqref="AI49">
    <cfRule type="expression" dxfId="3" priority="1326">
      <formula>AND(AI49&gt;0,AI49&lt;10)</formula>
    </cfRule>
    <cfRule type="cellIs" dxfId="1" priority="1327" operator="greaterThan">
      <formula>AH49</formula>
    </cfRule>
  </conditionalFormatting>
  <conditionalFormatting sqref="AI53">
    <cfRule type="cellIs" dxfId="1" priority="1332" operator="greaterThan">
      <formula>AH53</formula>
    </cfRule>
  </conditionalFormatting>
  <conditionalFormatting sqref="AI54">
    <cfRule type="cellIs" dxfId="1" priority="1337" operator="greaterThan">
      <formula>AH54</formula>
    </cfRule>
  </conditionalFormatting>
  <conditionalFormatting sqref="AI57">
    <cfRule type="expression" dxfId="3" priority="1342">
      <formula>AND(AI57&gt;0,AI57&lt;5000)</formula>
    </cfRule>
    <cfRule type="cellIs" dxfId="1" priority="1343" operator="greaterThan">
      <formula>AH57</formula>
    </cfRule>
  </conditionalFormatting>
  <conditionalFormatting sqref="AI58">
    <cfRule type="expression" dxfId="3" priority="1348">
      <formula>AND(AI58&gt;0,AI58&lt;10)</formula>
    </cfRule>
    <cfRule type="cellIs" dxfId="1" priority="1349" operator="greaterThan">
      <formula>AH58</formula>
    </cfRule>
  </conditionalFormatting>
  <conditionalFormatting sqref="AI61">
    <cfRule type="cellIs" dxfId="1" priority="1354" operator="greaterThan">
      <formula>AH61</formula>
    </cfRule>
  </conditionalFormatting>
  <conditionalFormatting sqref="AI63">
    <cfRule type="cellIs" dxfId="1" priority="1359" operator="greaterThan">
      <formula>AH63</formula>
    </cfRule>
  </conditionalFormatting>
  <conditionalFormatting sqref="AI64">
    <cfRule type="cellIs" dxfId="1" priority="1364" operator="greaterThan">
      <formula>AH64</formula>
    </cfRule>
  </conditionalFormatting>
  <conditionalFormatting sqref="AI66">
    <cfRule type="cellIs" dxfId="1" priority="1369" operator="greaterThan">
      <formula>AH66</formula>
    </cfRule>
  </conditionalFormatting>
  <conditionalFormatting sqref="AI67">
    <cfRule type="cellIs" dxfId="1" priority="1374" operator="greaterThan">
      <formula>AH67</formula>
    </cfRule>
  </conditionalFormatting>
  <conditionalFormatting sqref="AI68">
    <cfRule type="cellIs" dxfId="1" priority="1379" operator="greaterThan">
      <formula>AH68</formula>
    </cfRule>
  </conditionalFormatting>
  <conditionalFormatting sqref="AI7">
    <cfRule type="expression" dxfId="3" priority="1217">
      <formula>AND(AI7&gt;0,AI7&lt;4000)</formula>
    </cfRule>
    <cfRule type="cellIs" dxfId="1" priority="1218" operator="greaterThan">
      <formula>AH7</formula>
    </cfRule>
  </conditionalFormatting>
  <conditionalFormatting sqref="AI70">
    <cfRule type="expression" dxfId="3" priority="1384">
      <formula>AND(AI70&gt;0,AI70&lt;5)</formula>
    </cfRule>
    <cfRule type="cellIs" dxfId="1" priority="1385" operator="greaterThan">
      <formula>AH70</formula>
    </cfRule>
  </conditionalFormatting>
  <conditionalFormatting sqref="AI75">
    <cfRule type="cellIs" dxfId="1" priority="1390" operator="greaterThan">
      <formula>AH75</formula>
    </cfRule>
  </conditionalFormatting>
  <conditionalFormatting sqref="AI78">
    <cfRule type="cellIs" dxfId="1" priority="1395" operator="greaterThan">
      <formula>AH78</formula>
    </cfRule>
  </conditionalFormatting>
  <conditionalFormatting sqref="AI79">
    <cfRule type="expression" dxfId="3" priority="1400">
      <formula>AND(AI79&gt;0,AI79&lt;10)</formula>
    </cfRule>
    <cfRule type="cellIs" dxfId="1" priority="1401" operator="greaterThan">
      <formula>AH79</formula>
    </cfRule>
  </conditionalFormatting>
  <conditionalFormatting sqref="AI8">
    <cfRule type="cellIs" dxfId="1" priority="1223" operator="greaterThan">
      <formula>AH8</formula>
    </cfRule>
  </conditionalFormatting>
  <conditionalFormatting sqref="AI80">
    <cfRule type="cellIs" dxfId="1" priority="1406" operator="greaterThan">
      <formula>AH80</formula>
    </cfRule>
  </conditionalFormatting>
  <conditionalFormatting sqref="AI83">
    <cfRule type="expression" dxfId="3" priority="1411">
      <formula>AND(AI83&gt;0,AI83&lt;5000)</formula>
    </cfRule>
    <cfRule type="cellIs" dxfId="1" priority="1412" operator="greaterThan">
      <formula>AH83</formula>
    </cfRule>
  </conditionalFormatting>
  <conditionalFormatting sqref="AI84">
    <cfRule type="cellIs" dxfId="1" priority="1417" operator="greaterThan">
      <formula>AH84</formula>
    </cfRule>
  </conditionalFormatting>
  <conditionalFormatting sqref="AI85">
    <cfRule type="expression" dxfId="3" priority="1422">
      <formula>AND(AI85&gt;0,AI85&lt;10)</formula>
    </cfRule>
    <cfRule type="cellIs" dxfId="1" priority="1423" operator="greaterThan">
      <formula>AH85</formula>
    </cfRule>
  </conditionalFormatting>
  <conditionalFormatting sqref="AI9">
    <cfRule type="expression" dxfId="3" priority="1228">
      <formula>AND(AI9&gt;0,AI9&lt;4000)</formula>
    </cfRule>
    <cfRule type="cellIs" dxfId="1" priority="1229" operator="greaterThan">
      <formula>AH9</formula>
    </cfRule>
  </conditionalFormatting>
  <conditionalFormatting sqref="AJ10">
    <cfRule type="cellIs" dxfId="4" priority="1237" operator="lessThanOrEqual">
      <formula>G10</formula>
    </cfRule>
  </conditionalFormatting>
  <conditionalFormatting sqref="AJ12">
    <cfRule type="cellIs" dxfId="4" priority="1243" operator="lessThanOrEqual">
      <formula>G12</formula>
    </cfRule>
  </conditionalFormatting>
  <conditionalFormatting sqref="AJ13">
    <cfRule type="cellIs" dxfId="4" priority="1248" operator="lessThanOrEqual">
      <formula>G13</formula>
    </cfRule>
  </conditionalFormatting>
  <conditionalFormatting sqref="AJ15">
    <cfRule type="cellIs" dxfId="4" priority="1253" operator="lessThanOrEqual">
      <formula>G15</formula>
    </cfRule>
  </conditionalFormatting>
  <conditionalFormatting sqref="AJ18">
    <cfRule type="cellIs" dxfId="4" priority="1258" operator="lessThanOrEqual">
      <formula>G18</formula>
    </cfRule>
  </conditionalFormatting>
  <conditionalFormatting sqref="AJ33">
    <cfRule type="cellIs" dxfId="4" priority="1264" operator="lessThanOrEqual">
      <formula>G33</formula>
    </cfRule>
  </conditionalFormatting>
  <conditionalFormatting sqref="AJ34">
    <cfRule type="cellIs" dxfId="4" priority="1269" operator="lessThanOrEqual">
      <formula>G34</formula>
    </cfRule>
  </conditionalFormatting>
  <conditionalFormatting sqref="AJ35">
    <cfRule type="cellIs" dxfId="4" priority="1274" operator="lessThanOrEqual">
      <formula>G35</formula>
    </cfRule>
  </conditionalFormatting>
  <conditionalFormatting sqref="AJ36">
    <cfRule type="cellIs" dxfId="4" priority="1279" operator="lessThanOrEqual">
      <formula>G36</formula>
    </cfRule>
  </conditionalFormatting>
  <conditionalFormatting sqref="AJ37">
    <cfRule type="cellIs" dxfId="4" priority="1285" operator="lessThanOrEqual">
      <formula>G37</formula>
    </cfRule>
  </conditionalFormatting>
  <conditionalFormatting sqref="AJ38">
    <cfRule type="cellIs" dxfId="4" priority="1290" operator="lessThanOrEqual">
      <formula>G38</formula>
    </cfRule>
  </conditionalFormatting>
  <conditionalFormatting sqref="AJ39">
    <cfRule type="cellIs" dxfId="4" priority="1295" operator="lessThanOrEqual">
      <formula>G39</formula>
    </cfRule>
  </conditionalFormatting>
  <conditionalFormatting sqref="AJ41">
    <cfRule type="cellIs" dxfId="4" priority="1301" operator="lessThanOrEqual">
      <formula>G41</formula>
    </cfRule>
  </conditionalFormatting>
  <conditionalFormatting sqref="AJ45">
    <cfRule type="cellIs" dxfId="4" priority="1307" operator="lessThanOrEqual">
      <formula>G45</formula>
    </cfRule>
  </conditionalFormatting>
  <conditionalFormatting sqref="AJ46">
    <cfRule type="cellIs" dxfId="4" priority="1313" operator="lessThanOrEqual">
      <formula>G46</formula>
    </cfRule>
  </conditionalFormatting>
  <conditionalFormatting sqref="AJ47">
    <cfRule type="cellIs" dxfId="4" priority="1318" operator="lessThanOrEqual">
      <formula>G47</formula>
    </cfRule>
  </conditionalFormatting>
  <conditionalFormatting sqref="AJ48">
    <cfRule type="cellIs" dxfId="4" priority="1323" operator="lessThanOrEqual">
      <formula>G48</formula>
    </cfRule>
  </conditionalFormatting>
  <conditionalFormatting sqref="AJ49">
    <cfRule type="cellIs" dxfId="4" priority="1329" operator="lessThanOrEqual">
      <formula>G49</formula>
    </cfRule>
  </conditionalFormatting>
  <conditionalFormatting sqref="AJ53">
    <cfRule type="cellIs" dxfId="4" priority="1334" operator="lessThanOrEqual">
      <formula>G53</formula>
    </cfRule>
  </conditionalFormatting>
  <conditionalFormatting sqref="AJ54">
    <cfRule type="cellIs" dxfId="4" priority="1339" operator="lessThanOrEqual">
      <formula>G54</formula>
    </cfRule>
  </conditionalFormatting>
  <conditionalFormatting sqref="AJ57">
    <cfRule type="cellIs" dxfId="4" priority="1345" operator="lessThanOrEqual">
      <formula>G57</formula>
    </cfRule>
  </conditionalFormatting>
  <conditionalFormatting sqref="AJ58">
    <cfRule type="cellIs" dxfId="4" priority="1351" operator="lessThanOrEqual">
      <formula>G58</formula>
    </cfRule>
  </conditionalFormatting>
  <conditionalFormatting sqref="AJ61">
    <cfRule type="cellIs" dxfId="4" priority="1356" operator="lessThanOrEqual">
      <formula>G61</formula>
    </cfRule>
  </conditionalFormatting>
  <conditionalFormatting sqref="AJ63">
    <cfRule type="cellIs" dxfId="4" priority="1361" operator="lessThanOrEqual">
      <formula>G63</formula>
    </cfRule>
  </conditionalFormatting>
  <conditionalFormatting sqref="AJ64">
    <cfRule type="cellIs" dxfId="4" priority="1366" operator="lessThanOrEqual">
      <formula>G64</formula>
    </cfRule>
  </conditionalFormatting>
  <conditionalFormatting sqref="AJ66">
    <cfRule type="cellIs" dxfId="4" priority="1371" operator="lessThanOrEqual">
      <formula>G66</formula>
    </cfRule>
  </conditionalFormatting>
  <conditionalFormatting sqref="AJ67">
    <cfRule type="cellIs" dxfId="4" priority="1376" operator="lessThanOrEqual">
      <formula>G67</formula>
    </cfRule>
  </conditionalFormatting>
  <conditionalFormatting sqref="AJ68">
    <cfRule type="cellIs" dxfId="4" priority="1381" operator="lessThanOrEqual">
      <formula>G68</formula>
    </cfRule>
  </conditionalFormatting>
  <conditionalFormatting sqref="AJ7">
    <cfRule type="cellIs" dxfId="4" priority="1220" operator="lessThanOrEqual">
      <formula>G7</formula>
    </cfRule>
  </conditionalFormatting>
  <conditionalFormatting sqref="AJ70">
    <cfRule type="cellIs" dxfId="4" priority="1387" operator="lessThanOrEqual">
      <formula>G70</formula>
    </cfRule>
  </conditionalFormatting>
  <conditionalFormatting sqref="AJ75">
    <cfRule type="cellIs" dxfId="4" priority="1392" operator="lessThanOrEqual">
      <formula>G75</formula>
    </cfRule>
  </conditionalFormatting>
  <conditionalFormatting sqref="AJ78">
    <cfRule type="cellIs" dxfId="4" priority="1397" operator="lessThanOrEqual">
      <formula>G78</formula>
    </cfRule>
  </conditionalFormatting>
  <conditionalFormatting sqref="AJ79">
    <cfRule type="cellIs" dxfId="4" priority="1403" operator="lessThanOrEqual">
      <formula>G79</formula>
    </cfRule>
  </conditionalFormatting>
  <conditionalFormatting sqref="AJ8">
    <cfRule type="cellIs" dxfId="4" priority="1225" operator="lessThanOrEqual">
      <formula>G8</formula>
    </cfRule>
  </conditionalFormatting>
  <conditionalFormatting sqref="AJ80">
    <cfRule type="cellIs" dxfId="4" priority="1408" operator="lessThanOrEqual">
      <formula>G80</formula>
    </cfRule>
  </conditionalFormatting>
  <conditionalFormatting sqref="AJ83">
    <cfRule type="cellIs" dxfId="4" priority="1414" operator="lessThanOrEqual">
      <formula>G83</formula>
    </cfRule>
  </conditionalFormatting>
  <conditionalFormatting sqref="AJ84">
    <cfRule type="cellIs" dxfId="4" priority="1419" operator="lessThanOrEqual">
      <formula>G84</formula>
    </cfRule>
  </conditionalFormatting>
  <conditionalFormatting sqref="AJ85">
    <cfRule type="cellIs" dxfId="4" priority="1425" operator="lessThanOrEqual">
      <formula>G85</formula>
    </cfRule>
  </conditionalFormatting>
  <conditionalFormatting sqref="AJ9">
    <cfRule type="cellIs" dxfId="4" priority="1231" operator="lessThanOrEqual">
      <formula>G9</formula>
    </cfRule>
  </conditionalFormatting>
  <conditionalFormatting sqref="AK10">
    <cfRule type="cellIs" dxfId="4" priority="1236" operator="lessThanOrEqual">
      <formula>H10</formula>
    </cfRule>
  </conditionalFormatting>
  <conditionalFormatting sqref="AK12">
    <cfRule type="cellIs" dxfId="4" priority="1242" operator="lessThanOrEqual">
      <formula>H12</formula>
    </cfRule>
  </conditionalFormatting>
  <conditionalFormatting sqref="AK13">
    <cfRule type="cellIs" dxfId="4" priority="1247" operator="lessThanOrEqual">
      <formula>H13</formula>
    </cfRule>
  </conditionalFormatting>
  <conditionalFormatting sqref="AK15">
    <cfRule type="cellIs" dxfId="4" priority="1252" operator="lessThanOrEqual">
      <formula>H15</formula>
    </cfRule>
  </conditionalFormatting>
  <conditionalFormatting sqref="AK18">
    <cfRule type="cellIs" dxfId="4" priority="1257" operator="lessThanOrEqual">
      <formula>H18</formula>
    </cfRule>
  </conditionalFormatting>
  <conditionalFormatting sqref="AK33">
    <cfRule type="cellIs" dxfId="4" priority="1263" operator="lessThanOrEqual">
      <formula>H33</formula>
    </cfRule>
  </conditionalFormatting>
  <conditionalFormatting sqref="AK34">
    <cfRule type="cellIs" dxfId="4" priority="1268" operator="lessThanOrEqual">
      <formula>H34</formula>
    </cfRule>
  </conditionalFormatting>
  <conditionalFormatting sqref="AK35">
    <cfRule type="cellIs" dxfId="4" priority="1273" operator="lessThanOrEqual">
      <formula>H35</formula>
    </cfRule>
  </conditionalFormatting>
  <conditionalFormatting sqref="AK36">
    <cfRule type="cellIs" dxfId="4" priority="1278" operator="lessThanOrEqual">
      <formula>H36</formula>
    </cfRule>
  </conditionalFormatting>
  <conditionalFormatting sqref="AK37">
    <cfRule type="cellIs" dxfId="4" priority="1284" operator="lessThanOrEqual">
      <formula>H37</formula>
    </cfRule>
  </conditionalFormatting>
  <conditionalFormatting sqref="AK38">
    <cfRule type="cellIs" dxfId="4" priority="1289" operator="lessThanOrEqual">
      <formula>H38</formula>
    </cfRule>
  </conditionalFormatting>
  <conditionalFormatting sqref="AK39">
    <cfRule type="cellIs" dxfId="4" priority="1294" operator="lessThanOrEqual">
      <formula>H39</formula>
    </cfRule>
  </conditionalFormatting>
  <conditionalFormatting sqref="AK41">
    <cfRule type="cellIs" dxfId="4" priority="1300" operator="lessThanOrEqual">
      <formula>H41</formula>
    </cfRule>
  </conditionalFormatting>
  <conditionalFormatting sqref="AK45">
    <cfRule type="cellIs" dxfId="4" priority="1306" operator="lessThanOrEqual">
      <formula>H45</formula>
    </cfRule>
  </conditionalFormatting>
  <conditionalFormatting sqref="AK46">
    <cfRule type="cellIs" dxfId="4" priority="1312" operator="lessThanOrEqual">
      <formula>H46</formula>
    </cfRule>
  </conditionalFormatting>
  <conditionalFormatting sqref="AK47">
    <cfRule type="cellIs" dxfId="4" priority="1317" operator="lessThanOrEqual">
      <formula>H47</formula>
    </cfRule>
  </conditionalFormatting>
  <conditionalFormatting sqref="AK48">
    <cfRule type="cellIs" dxfId="4" priority="1322" operator="lessThanOrEqual">
      <formula>H48</formula>
    </cfRule>
  </conditionalFormatting>
  <conditionalFormatting sqref="AK49">
    <cfRule type="cellIs" dxfId="4" priority="1328" operator="lessThanOrEqual">
      <formula>H49</formula>
    </cfRule>
  </conditionalFormatting>
  <conditionalFormatting sqref="AK53">
    <cfRule type="cellIs" dxfId="4" priority="1333" operator="lessThanOrEqual">
      <formula>H53</formula>
    </cfRule>
  </conditionalFormatting>
  <conditionalFormatting sqref="AK54">
    <cfRule type="cellIs" dxfId="4" priority="1338" operator="lessThanOrEqual">
      <formula>H54</formula>
    </cfRule>
  </conditionalFormatting>
  <conditionalFormatting sqref="AK57">
    <cfRule type="cellIs" dxfId="4" priority="1344" operator="lessThanOrEqual">
      <formula>H57</formula>
    </cfRule>
  </conditionalFormatting>
  <conditionalFormatting sqref="AK58">
    <cfRule type="cellIs" dxfId="4" priority="1350" operator="lessThanOrEqual">
      <formula>H58</formula>
    </cfRule>
  </conditionalFormatting>
  <conditionalFormatting sqref="AK61">
    <cfRule type="cellIs" dxfId="4" priority="1355" operator="lessThanOrEqual">
      <formula>H61</formula>
    </cfRule>
  </conditionalFormatting>
  <conditionalFormatting sqref="AK63">
    <cfRule type="cellIs" dxfId="4" priority="1360" operator="lessThanOrEqual">
      <formula>H63</formula>
    </cfRule>
  </conditionalFormatting>
  <conditionalFormatting sqref="AK64">
    <cfRule type="cellIs" dxfId="4" priority="1365" operator="lessThanOrEqual">
      <formula>H64</formula>
    </cfRule>
  </conditionalFormatting>
  <conditionalFormatting sqref="AK66">
    <cfRule type="cellIs" dxfId="4" priority="1370" operator="lessThanOrEqual">
      <formula>H66</formula>
    </cfRule>
  </conditionalFormatting>
  <conditionalFormatting sqref="AK67">
    <cfRule type="cellIs" dxfId="4" priority="1375" operator="lessThanOrEqual">
      <formula>H67</formula>
    </cfRule>
  </conditionalFormatting>
  <conditionalFormatting sqref="AK68">
    <cfRule type="cellIs" dxfId="4" priority="1380" operator="lessThanOrEqual">
      <formula>H68</formula>
    </cfRule>
  </conditionalFormatting>
  <conditionalFormatting sqref="AK7">
    <cfRule type="cellIs" dxfId="4" priority="1219" operator="lessThanOrEqual">
      <formula>H7</formula>
    </cfRule>
  </conditionalFormatting>
  <conditionalFormatting sqref="AK70">
    <cfRule type="cellIs" dxfId="4" priority="1386" operator="lessThanOrEqual">
      <formula>H70</formula>
    </cfRule>
  </conditionalFormatting>
  <conditionalFormatting sqref="AK75">
    <cfRule type="cellIs" dxfId="4" priority="1391" operator="lessThanOrEqual">
      <formula>H75</formula>
    </cfRule>
  </conditionalFormatting>
  <conditionalFormatting sqref="AK78">
    <cfRule type="cellIs" dxfId="4" priority="1396" operator="lessThanOrEqual">
      <formula>H78</formula>
    </cfRule>
  </conditionalFormatting>
  <conditionalFormatting sqref="AK79">
    <cfRule type="cellIs" dxfId="4" priority="1402" operator="lessThanOrEqual">
      <formula>H79</formula>
    </cfRule>
  </conditionalFormatting>
  <conditionalFormatting sqref="AK8">
    <cfRule type="cellIs" dxfId="4" priority="1224" operator="lessThanOrEqual">
      <formula>H8</formula>
    </cfRule>
  </conditionalFormatting>
  <conditionalFormatting sqref="AK80">
    <cfRule type="cellIs" dxfId="4" priority="1407" operator="lessThanOrEqual">
      <formula>H80</formula>
    </cfRule>
  </conditionalFormatting>
  <conditionalFormatting sqref="AK83">
    <cfRule type="cellIs" dxfId="4" priority="1413" operator="lessThanOrEqual">
      <formula>H83</formula>
    </cfRule>
  </conditionalFormatting>
  <conditionalFormatting sqref="AK84">
    <cfRule type="cellIs" dxfId="4" priority="1418" operator="lessThanOrEqual">
      <formula>H84</formula>
    </cfRule>
  </conditionalFormatting>
  <conditionalFormatting sqref="AK85">
    <cfRule type="cellIs" dxfId="4" priority="1424" operator="lessThanOrEqual">
      <formula>H85</formula>
    </cfRule>
  </conditionalFormatting>
  <conditionalFormatting sqref="AK9">
    <cfRule type="cellIs" dxfId="4" priority="1230" operator="lessThanOrEqual">
      <formula>H9</formula>
    </cfRule>
  </conditionalFormatting>
  <conditionalFormatting sqref="AM12">
    <cfRule type="cellIs" dxfId="1" priority="1426" operator="equal">
      <formula>0</formula>
    </cfRule>
    <cfRule type="cellIs" dxfId="2" priority="1427" operator="lessThan">
      <formula>F12</formula>
    </cfRule>
  </conditionalFormatting>
  <conditionalFormatting sqref="AM13">
    <cfRule type="cellIs" dxfId="1" priority="1432" operator="equal">
      <formula>0</formula>
    </cfRule>
    <cfRule type="cellIs" dxfId="2" priority="1433" operator="lessThan">
      <formula>F13</formula>
    </cfRule>
  </conditionalFormatting>
  <conditionalFormatting sqref="AM15">
    <cfRule type="cellIs" dxfId="1" priority="1438" operator="equal">
      <formula>0</formula>
    </cfRule>
    <cfRule type="cellIs" dxfId="2" priority="1439" operator="lessThan">
      <formula>F15</formula>
    </cfRule>
  </conditionalFormatting>
  <conditionalFormatting sqref="AM17">
    <cfRule type="cellIs" dxfId="1" priority="1444" operator="equal">
      <formula>0</formula>
    </cfRule>
    <cfRule type="cellIs" dxfId="2" priority="1445" operator="lessThan">
      <formula>F17</formula>
    </cfRule>
  </conditionalFormatting>
  <conditionalFormatting sqref="AM33">
    <cfRule type="cellIs" dxfId="1" priority="1450" operator="equal">
      <formula>0</formula>
    </cfRule>
    <cfRule type="cellIs" dxfId="2" priority="1451" operator="lessThan">
      <formula>F33</formula>
    </cfRule>
  </conditionalFormatting>
  <conditionalFormatting sqref="AM34">
    <cfRule type="cellIs" dxfId="1" priority="1456" operator="equal">
      <formula>0</formula>
    </cfRule>
    <cfRule type="cellIs" dxfId="2" priority="1457" operator="lessThan">
      <formula>F34</formula>
    </cfRule>
  </conditionalFormatting>
  <conditionalFormatting sqref="AM36">
    <cfRule type="cellIs" dxfId="1" priority="1462" operator="equal">
      <formula>0</formula>
    </cfRule>
    <cfRule type="cellIs" dxfId="2" priority="1463" operator="lessThan">
      <formula>F36</formula>
    </cfRule>
  </conditionalFormatting>
  <conditionalFormatting sqref="AM37">
    <cfRule type="cellIs" dxfId="1" priority="1468" operator="equal">
      <formula>0</formula>
    </cfRule>
    <cfRule type="cellIs" dxfId="2" priority="1469" operator="lessThan">
      <formula>F37</formula>
    </cfRule>
  </conditionalFormatting>
  <conditionalFormatting sqref="AM41">
    <cfRule type="cellIs" dxfId="1" priority="1474" operator="equal">
      <formula>0</formula>
    </cfRule>
    <cfRule type="cellIs" dxfId="2" priority="1475" operator="lessThan">
      <formula>F41</formula>
    </cfRule>
  </conditionalFormatting>
  <conditionalFormatting sqref="AM47">
    <cfRule type="cellIs" dxfId="1" priority="1480" operator="equal">
      <formula>0</formula>
    </cfRule>
    <cfRule type="cellIs" dxfId="2" priority="1481" operator="lessThan">
      <formula>F47</formula>
    </cfRule>
  </conditionalFormatting>
  <conditionalFormatting sqref="AM48">
    <cfRule type="cellIs" dxfId="1" priority="1486" operator="equal">
      <formula>0</formula>
    </cfRule>
    <cfRule type="cellIs" dxfId="2" priority="1487" operator="lessThan">
      <formula>F48</formula>
    </cfRule>
  </conditionalFormatting>
  <conditionalFormatting sqref="AM53">
    <cfRule type="cellIs" dxfId="1" priority="1492" operator="equal">
      <formula>0</formula>
    </cfRule>
    <cfRule type="cellIs" dxfId="2" priority="1493" operator="lessThan">
      <formula>F53</formula>
    </cfRule>
  </conditionalFormatting>
  <conditionalFormatting sqref="AM54">
    <cfRule type="cellIs" dxfId="1" priority="1498" operator="equal">
      <formula>0</formula>
    </cfRule>
    <cfRule type="cellIs" dxfId="2" priority="1499" operator="lessThan">
      <formula>F54</formula>
    </cfRule>
  </conditionalFormatting>
  <conditionalFormatting sqref="AM57">
    <cfRule type="cellIs" dxfId="1" priority="1504" operator="equal">
      <formula>0</formula>
    </cfRule>
    <cfRule type="cellIs" dxfId="2" priority="1505" operator="lessThan">
      <formula>F57</formula>
    </cfRule>
  </conditionalFormatting>
  <conditionalFormatting sqref="AM58">
    <cfRule type="cellIs" dxfId="1" priority="1510" operator="equal">
      <formula>0</formula>
    </cfRule>
    <cfRule type="cellIs" dxfId="2" priority="1511" operator="lessThan">
      <formula>F58</formula>
    </cfRule>
  </conditionalFormatting>
  <conditionalFormatting sqref="AM64">
    <cfRule type="cellIs" dxfId="1" priority="1516" operator="equal">
      <formula>0</formula>
    </cfRule>
    <cfRule type="cellIs" dxfId="2" priority="1517" operator="lessThan">
      <formula>F64</formula>
    </cfRule>
  </conditionalFormatting>
  <conditionalFormatting sqref="AM70">
    <cfRule type="cellIs" dxfId="1" priority="1522" operator="equal">
      <formula>0</formula>
    </cfRule>
    <cfRule type="cellIs" dxfId="2" priority="1523" operator="lessThan">
      <formula>F70</formula>
    </cfRule>
  </conditionalFormatting>
  <conditionalFormatting sqref="AM75">
    <cfRule type="cellIs" dxfId="1" priority="1528" operator="equal">
      <formula>0</formula>
    </cfRule>
    <cfRule type="cellIs" dxfId="2" priority="1529" operator="lessThan">
      <formula>F75</formula>
    </cfRule>
  </conditionalFormatting>
  <conditionalFormatting sqref="AM79">
    <cfRule type="cellIs" dxfId="1" priority="1534" operator="equal">
      <formula>0</formula>
    </cfRule>
    <cfRule type="cellIs" dxfId="2" priority="1535" operator="lessThan">
      <formula>F79</formula>
    </cfRule>
  </conditionalFormatting>
  <conditionalFormatting sqref="AM80">
    <cfRule type="cellIs" dxfId="1" priority="1540" operator="equal">
      <formula>0</formula>
    </cfRule>
    <cfRule type="cellIs" dxfId="2" priority="1541" operator="lessThan">
      <formula>F80</formula>
    </cfRule>
  </conditionalFormatting>
  <conditionalFormatting sqref="AM83">
    <cfRule type="cellIs" dxfId="1" priority="1546" operator="equal">
      <formula>0</formula>
    </cfRule>
    <cfRule type="cellIs" dxfId="2" priority="1547" operator="lessThan">
      <formula>F83</formula>
    </cfRule>
  </conditionalFormatting>
  <conditionalFormatting sqref="AM84">
    <cfRule type="cellIs" dxfId="1" priority="1552" operator="equal">
      <formula>0</formula>
    </cfRule>
    <cfRule type="cellIs" dxfId="2" priority="1553" operator="lessThan">
      <formula>F84</formula>
    </cfRule>
  </conditionalFormatting>
  <conditionalFormatting sqref="AN12">
    <cfRule type="expression" dxfId="3" priority="1428">
      <formula>AND(AN12&gt;0,AN12&lt;4000)</formula>
    </cfRule>
    <cfRule type="cellIs" dxfId="1" priority="1429" operator="greaterThan">
      <formula>AM12</formula>
    </cfRule>
  </conditionalFormatting>
  <conditionalFormatting sqref="AN13">
    <cfRule type="expression" dxfId="3" priority="1434">
      <formula>AND(AN13&gt;0,AN13&lt;4000)</formula>
    </cfRule>
    <cfRule type="cellIs" dxfId="1" priority="1435" operator="greaterThan">
      <formula>AM13</formula>
    </cfRule>
  </conditionalFormatting>
  <conditionalFormatting sqref="AN15">
    <cfRule type="expression" dxfId="3" priority="1440">
      <formula>AND(AN15&gt;0,AN15&lt;100)</formula>
    </cfRule>
    <cfRule type="cellIs" dxfId="1" priority="1441" operator="greaterThan">
      <formula>AM15</formula>
    </cfRule>
  </conditionalFormatting>
  <conditionalFormatting sqref="AN17">
    <cfRule type="expression" dxfId="3" priority="1446">
      <formula>AND(AN17&gt;0,AN17&lt;25)</formula>
    </cfRule>
    <cfRule type="cellIs" dxfId="1" priority="1447" operator="greaterThan">
      <formula>AM17</formula>
    </cfRule>
  </conditionalFormatting>
  <conditionalFormatting sqref="AN33">
    <cfRule type="expression" dxfId="3" priority="1452">
      <formula>AND(AN33&gt;0,AN33&lt;60)</formula>
    </cfRule>
    <cfRule type="cellIs" dxfId="1" priority="1453" operator="greaterThan">
      <formula>AM33</formula>
    </cfRule>
  </conditionalFormatting>
  <conditionalFormatting sqref="AN34">
    <cfRule type="expression" dxfId="3" priority="1458">
      <formula>AND(AN34&gt;0,AN34&lt;100)</formula>
    </cfRule>
    <cfRule type="cellIs" dxfId="1" priority="1459" operator="greaterThan">
      <formula>AM34</formula>
    </cfRule>
  </conditionalFormatting>
  <conditionalFormatting sqref="AN36">
    <cfRule type="expression" dxfId="3" priority="1464">
      <formula>AND(AN36&gt;0,AN36&lt;5000)</formula>
    </cfRule>
    <cfRule type="cellIs" dxfId="1" priority="1465" operator="greaterThan">
      <formula>AM36</formula>
    </cfRule>
  </conditionalFormatting>
  <conditionalFormatting sqref="AN37">
    <cfRule type="expression" dxfId="3" priority="1470">
      <formula>AND(AN37&gt;0,AN37&lt;100)</formula>
    </cfRule>
    <cfRule type="cellIs" dxfId="1" priority="1471" operator="greaterThan">
      <formula>AM37</formula>
    </cfRule>
  </conditionalFormatting>
  <conditionalFormatting sqref="AN41">
    <cfRule type="expression" dxfId="3" priority="1476">
      <formula>AND(AN41&gt;0,AN41&lt;5000)</formula>
    </cfRule>
    <cfRule type="cellIs" dxfId="1" priority="1477" operator="greaterThan">
      <formula>AM41</formula>
    </cfRule>
  </conditionalFormatting>
  <conditionalFormatting sqref="AN47">
    <cfRule type="expression" dxfId="3" priority="1482">
      <formula>AND(AN47&gt;0,AN47&lt;5000)</formula>
    </cfRule>
    <cfRule type="cellIs" dxfId="1" priority="1483" operator="greaterThan">
      <formula>AM47</formula>
    </cfRule>
  </conditionalFormatting>
  <conditionalFormatting sqref="AN48">
    <cfRule type="expression" dxfId="3" priority="1488">
      <formula>AND(AN48&gt;0,AN48&lt;5000)</formula>
    </cfRule>
    <cfRule type="cellIs" dxfId="1" priority="1489" operator="greaterThan">
      <formula>AM48</formula>
    </cfRule>
  </conditionalFormatting>
  <conditionalFormatting sqref="AN53">
    <cfRule type="expression" dxfId="3" priority="1494">
      <formula>AND(AN53&gt;0,AN53&lt;5000)</formula>
    </cfRule>
    <cfRule type="cellIs" dxfId="1" priority="1495" operator="greaterThan">
      <formula>AM53</formula>
    </cfRule>
  </conditionalFormatting>
  <conditionalFormatting sqref="AN54">
    <cfRule type="expression" dxfId="3" priority="1500">
      <formula>AND(AN54&gt;0,AN54&lt;5000)</formula>
    </cfRule>
    <cfRule type="cellIs" dxfId="1" priority="1501" operator="greaterThan">
      <formula>AM54</formula>
    </cfRule>
  </conditionalFormatting>
  <conditionalFormatting sqref="AN57">
    <cfRule type="expression" dxfId="3" priority="1506">
      <formula>AND(AN57&gt;0,AN57&lt;100)</formula>
    </cfRule>
    <cfRule type="cellIs" dxfId="1" priority="1507" operator="greaterThan">
      <formula>AM57</formula>
    </cfRule>
  </conditionalFormatting>
  <conditionalFormatting sqref="AN58">
    <cfRule type="expression" dxfId="3" priority="1512">
      <formula>AND(AN58&gt;0,AN58&lt;5000)</formula>
    </cfRule>
    <cfRule type="cellIs" dxfId="1" priority="1513" operator="greaterThan">
      <formula>AM58</formula>
    </cfRule>
  </conditionalFormatting>
  <conditionalFormatting sqref="AN64">
    <cfRule type="expression" dxfId="3" priority="1518">
      <formula>AND(AN64&gt;0,AN64&lt;5)</formula>
    </cfRule>
    <cfRule type="cellIs" dxfId="1" priority="1519" operator="greaterThan">
      <formula>AM64</formula>
    </cfRule>
  </conditionalFormatting>
  <conditionalFormatting sqref="AN70">
    <cfRule type="expression" dxfId="3" priority="1524">
      <formula>AND(AN70&gt;0,AN70&lt;10)</formula>
    </cfRule>
    <cfRule type="cellIs" dxfId="1" priority="1525" operator="greaterThan">
      <formula>AM70</formula>
    </cfRule>
  </conditionalFormatting>
  <conditionalFormatting sqref="AN75">
    <cfRule type="expression" dxfId="3" priority="1530">
      <formula>AND(AN75&gt;0,AN75&lt;5)</formula>
    </cfRule>
    <cfRule type="cellIs" dxfId="1" priority="1531" operator="greaterThan">
      <formula>AM75</formula>
    </cfRule>
  </conditionalFormatting>
  <conditionalFormatting sqref="AN79">
    <cfRule type="expression" dxfId="3" priority="1536">
      <formula>AND(AN79&gt;0,AN79&lt;4000)</formula>
    </cfRule>
    <cfRule type="cellIs" dxfId="1" priority="1537" operator="greaterThan">
      <formula>AM79</formula>
    </cfRule>
  </conditionalFormatting>
  <conditionalFormatting sqref="AN80">
    <cfRule type="expression" dxfId="3" priority="1542">
      <formula>AND(AN80&gt;0,AN80&lt;4000)</formula>
    </cfRule>
    <cfRule type="cellIs" dxfId="1" priority="1543" operator="greaterThan">
      <formula>AM80</formula>
    </cfRule>
  </conditionalFormatting>
  <conditionalFormatting sqref="AN83">
    <cfRule type="expression" dxfId="3" priority="1548">
      <formula>AND(AN83&gt;0,AN83&lt;100)</formula>
    </cfRule>
    <cfRule type="cellIs" dxfId="1" priority="1549" operator="greaterThan">
      <formula>AM83</formula>
    </cfRule>
  </conditionalFormatting>
  <conditionalFormatting sqref="AN84">
    <cfRule type="expression" dxfId="3" priority="1554">
      <formula>AND(AN84&gt;0,AN84&lt;5000)</formula>
    </cfRule>
    <cfRule type="cellIs" dxfId="1" priority="1555" operator="greaterThan">
      <formula>AM84</formula>
    </cfRule>
  </conditionalFormatting>
  <conditionalFormatting sqref="AO12">
    <cfRule type="cellIs" dxfId="4" priority="1431" operator="lessThanOrEqual">
      <formula>G12</formula>
    </cfRule>
  </conditionalFormatting>
  <conditionalFormatting sqref="AO13">
    <cfRule type="cellIs" dxfId="4" priority="1437" operator="lessThanOrEqual">
      <formula>G13</formula>
    </cfRule>
  </conditionalFormatting>
  <conditionalFormatting sqref="AO15">
    <cfRule type="cellIs" dxfId="4" priority="1443" operator="lessThanOrEqual">
      <formula>G15</formula>
    </cfRule>
  </conditionalFormatting>
  <conditionalFormatting sqref="AO17">
    <cfRule type="cellIs" dxfId="4" priority="1449" operator="lessThanOrEqual">
      <formula>G17</formula>
    </cfRule>
  </conditionalFormatting>
  <conditionalFormatting sqref="AO33">
    <cfRule type="cellIs" dxfId="4" priority="1455" operator="lessThanOrEqual">
      <formula>G33</formula>
    </cfRule>
  </conditionalFormatting>
  <conditionalFormatting sqref="AO34">
    <cfRule type="cellIs" dxfId="4" priority="1461" operator="lessThanOrEqual">
      <formula>G34</formula>
    </cfRule>
  </conditionalFormatting>
  <conditionalFormatting sqref="AO36">
    <cfRule type="cellIs" dxfId="4" priority="1467" operator="lessThanOrEqual">
      <formula>G36</formula>
    </cfRule>
  </conditionalFormatting>
  <conditionalFormatting sqref="AO37">
    <cfRule type="cellIs" dxfId="4" priority="1473" operator="lessThanOrEqual">
      <formula>G37</formula>
    </cfRule>
  </conditionalFormatting>
  <conditionalFormatting sqref="AO41">
    <cfRule type="cellIs" dxfId="4" priority="1479" operator="lessThanOrEqual">
      <formula>G41</formula>
    </cfRule>
  </conditionalFormatting>
  <conditionalFormatting sqref="AO47">
    <cfRule type="cellIs" dxfId="4" priority="1485" operator="lessThanOrEqual">
      <formula>G47</formula>
    </cfRule>
  </conditionalFormatting>
  <conditionalFormatting sqref="AO48">
    <cfRule type="cellIs" dxfId="4" priority="1491" operator="lessThanOrEqual">
      <formula>G48</formula>
    </cfRule>
  </conditionalFormatting>
  <conditionalFormatting sqref="AO53">
    <cfRule type="cellIs" dxfId="4" priority="1497" operator="lessThanOrEqual">
      <formula>G53</formula>
    </cfRule>
  </conditionalFormatting>
  <conditionalFormatting sqref="AO54">
    <cfRule type="cellIs" dxfId="4" priority="1503" operator="lessThanOrEqual">
      <formula>G54</formula>
    </cfRule>
  </conditionalFormatting>
  <conditionalFormatting sqref="AO57">
    <cfRule type="cellIs" dxfId="4" priority="1509" operator="lessThanOrEqual">
      <formula>G57</formula>
    </cfRule>
  </conditionalFormatting>
  <conditionalFormatting sqref="AO58">
    <cfRule type="cellIs" dxfId="4" priority="1515" operator="lessThanOrEqual">
      <formula>G58</formula>
    </cfRule>
  </conditionalFormatting>
  <conditionalFormatting sqref="AO64">
    <cfRule type="cellIs" dxfId="4" priority="1521" operator="lessThanOrEqual">
      <formula>G64</formula>
    </cfRule>
  </conditionalFormatting>
  <conditionalFormatting sqref="AO70">
    <cfRule type="cellIs" dxfId="4" priority="1527" operator="lessThanOrEqual">
      <formula>G70</formula>
    </cfRule>
  </conditionalFormatting>
  <conditionalFormatting sqref="AO75">
    <cfRule type="cellIs" dxfId="4" priority="1533" operator="lessThanOrEqual">
      <formula>G75</formula>
    </cfRule>
  </conditionalFormatting>
  <conditionalFormatting sqref="AO79">
    <cfRule type="cellIs" dxfId="4" priority="1539" operator="lessThanOrEqual">
      <formula>G79</formula>
    </cfRule>
  </conditionalFormatting>
  <conditionalFormatting sqref="AO80">
    <cfRule type="cellIs" dxfId="4" priority="1545" operator="lessThanOrEqual">
      <formula>G80</formula>
    </cfRule>
  </conditionalFormatting>
  <conditionalFormatting sqref="AO83">
    <cfRule type="cellIs" dxfId="4" priority="1551" operator="lessThanOrEqual">
      <formula>G83</formula>
    </cfRule>
  </conditionalFormatting>
  <conditionalFormatting sqref="AO84">
    <cfRule type="cellIs" dxfId="4" priority="1557" operator="lessThanOrEqual">
      <formula>G84</formula>
    </cfRule>
  </conditionalFormatting>
  <conditionalFormatting sqref="AP12">
    <cfRule type="cellIs" dxfId="4" priority="1430" operator="lessThanOrEqual">
      <formula>H12</formula>
    </cfRule>
  </conditionalFormatting>
  <conditionalFormatting sqref="AP13">
    <cfRule type="cellIs" dxfId="4" priority="1436" operator="lessThanOrEqual">
      <formula>H13</formula>
    </cfRule>
  </conditionalFormatting>
  <conditionalFormatting sqref="AP15">
    <cfRule type="cellIs" dxfId="4" priority="1442" operator="lessThanOrEqual">
      <formula>H15</formula>
    </cfRule>
  </conditionalFormatting>
  <conditionalFormatting sqref="AP17">
    <cfRule type="cellIs" dxfId="4" priority="1448" operator="lessThanOrEqual">
      <formula>H17</formula>
    </cfRule>
  </conditionalFormatting>
  <conditionalFormatting sqref="AP33">
    <cfRule type="cellIs" dxfId="4" priority="1454" operator="lessThanOrEqual">
      <formula>H33</formula>
    </cfRule>
  </conditionalFormatting>
  <conditionalFormatting sqref="AP34">
    <cfRule type="cellIs" dxfId="4" priority="1460" operator="lessThanOrEqual">
      <formula>H34</formula>
    </cfRule>
  </conditionalFormatting>
  <conditionalFormatting sqref="AP36">
    <cfRule type="cellIs" dxfId="4" priority="1466" operator="lessThanOrEqual">
      <formula>H36</formula>
    </cfRule>
  </conditionalFormatting>
  <conditionalFormatting sqref="AP37">
    <cfRule type="cellIs" dxfId="4" priority="1472" operator="lessThanOrEqual">
      <formula>H37</formula>
    </cfRule>
  </conditionalFormatting>
  <conditionalFormatting sqref="AP41">
    <cfRule type="cellIs" dxfId="4" priority="1478" operator="lessThanOrEqual">
      <formula>H41</formula>
    </cfRule>
  </conditionalFormatting>
  <conditionalFormatting sqref="AP47">
    <cfRule type="cellIs" dxfId="4" priority="1484" operator="lessThanOrEqual">
      <formula>H47</formula>
    </cfRule>
  </conditionalFormatting>
  <conditionalFormatting sqref="AP48">
    <cfRule type="cellIs" dxfId="4" priority="1490" operator="lessThanOrEqual">
      <formula>H48</formula>
    </cfRule>
  </conditionalFormatting>
  <conditionalFormatting sqref="AP53">
    <cfRule type="cellIs" dxfId="4" priority="1496" operator="lessThanOrEqual">
      <formula>H53</formula>
    </cfRule>
  </conditionalFormatting>
  <conditionalFormatting sqref="AP54">
    <cfRule type="cellIs" dxfId="4" priority="1502" operator="lessThanOrEqual">
      <formula>H54</formula>
    </cfRule>
  </conditionalFormatting>
  <conditionalFormatting sqref="AP57">
    <cfRule type="cellIs" dxfId="4" priority="1508" operator="lessThanOrEqual">
      <formula>H57</formula>
    </cfRule>
  </conditionalFormatting>
  <conditionalFormatting sqref="AP58">
    <cfRule type="cellIs" dxfId="4" priority="1514" operator="lessThanOrEqual">
      <formula>H58</formula>
    </cfRule>
  </conditionalFormatting>
  <conditionalFormatting sqref="AP64">
    <cfRule type="cellIs" dxfId="4" priority="1520" operator="lessThanOrEqual">
      <formula>H64</formula>
    </cfRule>
  </conditionalFormatting>
  <conditionalFormatting sqref="AP70">
    <cfRule type="cellIs" dxfId="4" priority="1526" operator="lessThanOrEqual">
      <formula>H70</formula>
    </cfRule>
  </conditionalFormatting>
  <conditionalFormatting sqref="AP75">
    <cfRule type="cellIs" dxfId="4" priority="1532" operator="lessThanOrEqual">
      <formula>H75</formula>
    </cfRule>
  </conditionalFormatting>
  <conditionalFormatting sqref="AP79">
    <cfRule type="cellIs" dxfId="4" priority="1538" operator="lessThanOrEqual">
      <formula>H79</formula>
    </cfRule>
  </conditionalFormatting>
  <conditionalFormatting sqref="AP80">
    <cfRule type="cellIs" dxfId="4" priority="1544" operator="lessThanOrEqual">
      <formula>H80</formula>
    </cfRule>
  </conditionalFormatting>
  <conditionalFormatting sqref="AP83">
    <cfRule type="cellIs" dxfId="4" priority="1550" operator="lessThanOrEqual">
      <formula>H83</formula>
    </cfRule>
  </conditionalFormatting>
  <conditionalFormatting sqref="AP84">
    <cfRule type="cellIs" dxfId="4" priority="1556" operator="lessThanOrEqual">
      <formula>H84</formula>
    </cfRule>
  </conditionalFormatting>
  <conditionalFormatting sqref="AR12">
    <cfRule type="cellIs" dxfId="1" priority="1564" operator="equal">
      <formula>0</formula>
    </cfRule>
    <cfRule type="cellIs" dxfId="2" priority="1565" operator="lessThan">
      <formula>F12</formula>
    </cfRule>
  </conditionalFormatting>
  <conditionalFormatting sqref="AR13">
    <cfRule type="cellIs" dxfId="1" priority="1570" operator="equal">
      <formula>0</formula>
    </cfRule>
    <cfRule type="cellIs" dxfId="2" priority="1571" operator="lessThan">
      <formula>F13</formula>
    </cfRule>
  </conditionalFormatting>
  <conditionalFormatting sqref="AR17">
    <cfRule type="cellIs" dxfId="1" priority="1576" operator="equal">
      <formula>0</formula>
    </cfRule>
    <cfRule type="cellIs" dxfId="2" priority="1577" operator="lessThan">
      <formula>F17</formula>
    </cfRule>
  </conditionalFormatting>
  <conditionalFormatting sqref="AR34">
    <cfRule type="cellIs" dxfId="1" priority="1582" operator="equal">
      <formula>0</formula>
    </cfRule>
    <cfRule type="cellIs" dxfId="2" priority="1583" operator="lessThan">
      <formula>F34</formula>
    </cfRule>
  </conditionalFormatting>
  <conditionalFormatting sqref="AR35">
    <cfRule type="cellIs" dxfId="1" priority="1588" operator="equal">
      <formula>0</formula>
    </cfRule>
    <cfRule type="cellIs" dxfId="2" priority="1589" operator="lessThan">
      <formula>F35</formula>
    </cfRule>
  </conditionalFormatting>
  <conditionalFormatting sqref="AR36">
    <cfRule type="cellIs" dxfId="1" priority="1594" operator="equal">
      <formula>0</formula>
    </cfRule>
    <cfRule type="cellIs" dxfId="2" priority="1595" operator="lessThan">
      <formula>F36</formula>
    </cfRule>
  </conditionalFormatting>
  <conditionalFormatting sqref="AR38">
    <cfRule type="cellIs" dxfId="1" priority="1600" operator="equal">
      <formula>0</formula>
    </cfRule>
    <cfRule type="cellIs" dxfId="2" priority="1601" operator="lessThan">
      <formula>F38</formula>
    </cfRule>
  </conditionalFormatting>
  <conditionalFormatting sqref="AR39">
    <cfRule type="cellIs" dxfId="1" priority="1606" operator="equal">
      <formula>0</formula>
    </cfRule>
    <cfRule type="cellIs" dxfId="2" priority="1607" operator="lessThan">
      <formula>F39</formula>
    </cfRule>
  </conditionalFormatting>
  <conditionalFormatting sqref="AR41">
    <cfRule type="cellIs" dxfId="1" priority="1612" operator="equal">
      <formula>0</formula>
    </cfRule>
    <cfRule type="cellIs" dxfId="2" priority="1613" operator="lessThan">
      <formula>F41</formula>
    </cfRule>
  </conditionalFormatting>
  <conditionalFormatting sqref="AR44">
    <cfRule type="cellIs" dxfId="1" priority="1618" operator="equal">
      <formula>0</formula>
    </cfRule>
    <cfRule type="cellIs" dxfId="2" priority="1619" operator="lessThan">
      <formula>F44</formula>
    </cfRule>
  </conditionalFormatting>
  <conditionalFormatting sqref="AR45">
    <cfRule type="cellIs" dxfId="1" priority="1624" operator="equal">
      <formula>0</formula>
    </cfRule>
    <cfRule type="cellIs" dxfId="2" priority="1625" operator="lessThan">
      <formula>F45</formula>
    </cfRule>
  </conditionalFormatting>
  <conditionalFormatting sqref="AR47">
    <cfRule type="cellIs" dxfId="1" priority="1630" operator="equal">
      <formula>0</formula>
    </cfRule>
    <cfRule type="cellIs" dxfId="2" priority="1631" operator="lessThan">
      <formula>F47</formula>
    </cfRule>
  </conditionalFormatting>
  <conditionalFormatting sqref="AR48">
    <cfRule type="cellIs" dxfId="1" priority="1636" operator="equal">
      <formula>0</formula>
    </cfRule>
    <cfRule type="cellIs" dxfId="2" priority="1637" operator="lessThan">
      <formula>F48</formula>
    </cfRule>
  </conditionalFormatting>
  <conditionalFormatting sqref="AR49">
    <cfRule type="cellIs" dxfId="1" priority="1642" operator="equal">
      <formula>0</formula>
    </cfRule>
    <cfRule type="cellIs" dxfId="2" priority="1643" operator="lessThan">
      <formula>F49</formula>
    </cfRule>
  </conditionalFormatting>
  <conditionalFormatting sqref="AR53">
    <cfRule type="cellIs" dxfId="1" priority="1648" operator="equal">
      <formula>0</formula>
    </cfRule>
    <cfRule type="cellIs" dxfId="2" priority="1649" operator="lessThan">
      <formula>F53</formula>
    </cfRule>
  </conditionalFormatting>
  <conditionalFormatting sqref="AR54">
    <cfRule type="cellIs" dxfId="1" priority="1654" operator="equal">
      <formula>0</formula>
    </cfRule>
    <cfRule type="cellIs" dxfId="2" priority="1655" operator="lessThan">
      <formula>F54</formula>
    </cfRule>
  </conditionalFormatting>
  <conditionalFormatting sqref="AR56">
    <cfRule type="cellIs" dxfId="1" priority="1660" operator="equal">
      <formula>0</formula>
    </cfRule>
    <cfRule type="cellIs" dxfId="2" priority="1661" operator="lessThan">
      <formula>F56</formula>
    </cfRule>
  </conditionalFormatting>
  <conditionalFormatting sqref="AR57">
    <cfRule type="cellIs" dxfId="1" priority="1666" operator="equal">
      <formula>0</formula>
    </cfRule>
    <cfRule type="cellIs" dxfId="2" priority="1667" operator="lessThan">
      <formula>F57</formula>
    </cfRule>
  </conditionalFormatting>
  <conditionalFormatting sqref="AR58">
    <cfRule type="cellIs" dxfId="1" priority="1672" operator="equal">
      <formula>0</formula>
    </cfRule>
    <cfRule type="cellIs" dxfId="2" priority="1673" operator="lessThan">
      <formula>F58</formula>
    </cfRule>
  </conditionalFormatting>
  <conditionalFormatting sqref="AR64">
    <cfRule type="cellIs" dxfId="1" priority="1678" operator="equal">
      <formula>0</formula>
    </cfRule>
    <cfRule type="cellIs" dxfId="2" priority="1679" operator="lessThan">
      <formula>F64</formula>
    </cfRule>
  </conditionalFormatting>
  <conditionalFormatting sqref="AR70">
    <cfRule type="cellIs" dxfId="1" priority="1683" operator="equal">
      <formula>0</formula>
    </cfRule>
    <cfRule type="cellIs" dxfId="2" priority="1684" operator="lessThan">
      <formula>F70</formula>
    </cfRule>
  </conditionalFormatting>
  <conditionalFormatting sqref="AR75">
    <cfRule type="cellIs" dxfId="1" priority="1689" operator="equal">
      <formula>0</formula>
    </cfRule>
    <cfRule type="cellIs" dxfId="2" priority="1690" operator="lessThan">
      <formula>F75</formula>
    </cfRule>
  </conditionalFormatting>
  <conditionalFormatting sqref="AR8">
    <cfRule type="cellIs" dxfId="1" priority="1558" operator="equal">
      <formula>0</formula>
    </cfRule>
    <cfRule type="cellIs" dxfId="2" priority="1559" operator="lessThan">
      <formula>F8</formula>
    </cfRule>
  </conditionalFormatting>
  <conditionalFormatting sqref="AR80">
    <cfRule type="cellIs" dxfId="1" priority="1694" operator="equal">
      <formula>0</formula>
    </cfRule>
    <cfRule type="cellIs" dxfId="2" priority="1695" operator="lessThan">
      <formula>F80</formula>
    </cfRule>
  </conditionalFormatting>
  <conditionalFormatting sqref="AR83">
    <cfRule type="cellIs" dxfId="1" priority="1700" operator="equal">
      <formula>0</formula>
    </cfRule>
    <cfRule type="cellIs" dxfId="2" priority="1701" operator="lessThan">
      <formula>F83</formula>
    </cfRule>
  </conditionalFormatting>
  <conditionalFormatting sqref="AR84">
    <cfRule type="cellIs" dxfId="1" priority="1706" operator="equal">
      <formula>0</formula>
    </cfRule>
    <cfRule type="cellIs" dxfId="2" priority="1707" operator="lessThan">
      <formula>F84</formula>
    </cfRule>
  </conditionalFormatting>
  <conditionalFormatting sqref="AR85">
    <cfRule type="cellIs" dxfId="1" priority="1712" operator="equal">
      <formula>0</formula>
    </cfRule>
    <cfRule type="cellIs" dxfId="2" priority="1713" operator="lessThan">
      <formula>F85</formula>
    </cfRule>
  </conditionalFormatting>
  <conditionalFormatting sqref="AS12">
    <cfRule type="expression" dxfId="3" priority="1566">
      <formula>AND(AS12&gt;0,AS12&lt;100)</formula>
    </cfRule>
    <cfRule type="cellIs" dxfId="1" priority="1567" operator="greaterThan">
      <formula>AR12</formula>
    </cfRule>
  </conditionalFormatting>
  <conditionalFormatting sqref="AS13">
    <cfRule type="expression" dxfId="3" priority="1572">
      <formula>AND(AS13&gt;0,AS13&lt;50)</formula>
    </cfRule>
    <cfRule type="cellIs" dxfId="1" priority="1573" operator="greaterThan">
      <formula>AR13</formula>
    </cfRule>
  </conditionalFormatting>
  <conditionalFormatting sqref="AS17">
    <cfRule type="expression" dxfId="3" priority="1578">
      <formula>AND(AS17&gt;0,AS17&lt;10)</formula>
    </cfRule>
    <cfRule type="cellIs" dxfId="1" priority="1579" operator="greaterThan">
      <formula>AR17</formula>
    </cfRule>
  </conditionalFormatting>
  <conditionalFormatting sqref="AS34">
    <cfRule type="expression" dxfId="3" priority="1584">
      <formula>AND(AS34&gt;0,AS34&lt;20)</formula>
    </cfRule>
    <cfRule type="cellIs" dxfId="1" priority="1585" operator="greaterThan">
      <formula>AR34</formula>
    </cfRule>
  </conditionalFormatting>
  <conditionalFormatting sqref="AS35">
    <cfRule type="expression" dxfId="3" priority="1590">
      <formula>AND(AS35&gt;0,AS35&lt;100)</formula>
    </cfRule>
    <cfRule type="cellIs" dxfId="1" priority="1591" operator="greaterThan">
      <formula>AR35</formula>
    </cfRule>
  </conditionalFormatting>
  <conditionalFormatting sqref="AS36">
    <cfRule type="expression" dxfId="3" priority="1596">
      <formula>AND(AS36&gt;0,AS36&lt;100)</formula>
    </cfRule>
    <cfRule type="cellIs" dxfId="1" priority="1597" operator="greaterThan">
      <formula>AR36</formula>
    </cfRule>
  </conditionalFormatting>
  <conditionalFormatting sqref="AS38">
    <cfRule type="expression" dxfId="3" priority="1602">
      <formula>AND(AS38&gt;0,AS38&lt;100)</formula>
    </cfRule>
    <cfRule type="cellIs" dxfId="1" priority="1603" operator="greaterThan">
      <formula>AR38</formula>
    </cfRule>
  </conditionalFormatting>
  <conditionalFormatting sqref="AS39">
    <cfRule type="expression" dxfId="3" priority="1608">
      <formula>AND(AS39&gt;0,AS39&lt;100)</formula>
    </cfRule>
    <cfRule type="cellIs" dxfId="1" priority="1609" operator="greaterThan">
      <formula>AR39</formula>
    </cfRule>
  </conditionalFormatting>
  <conditionalFormatting sqref="AS41">
    <cfRule type="expression" dxfId="3" priority="1614">
      <formula>AND(AS41&gt;0,AS41&lt;100)</formula>
    </cfRule>
    <cfRule type="cellIs" dxfId="1" priority="1615" operator="greaterThan">
      <formula>AR41</formula>
    </cfRule>
  </conditionalFormatting>
  <conditionalFormatting sqref="AS44">
    <cfRule type="expression" dxfId="3" priority="1620">
      <formula>AND(AS44&gt;0,AS44&lt;100)</formula>
    </cfRule>
    <cfRule type="cellIs" dxfId="1" priority="1621" operator="greaterThan">
      <formula>AR44</formula>
    </cfRule>
  </conditionalFormatting>
  <conditionalFormatting sqref="AS45">
    <cfRule type="expression" dxfId="3" priority="1626">
      <formula>AND(AS45&gt;0,AS45&lt;100)</formula>
    </cfRule>
    <cfRule type="cellIs" dxfId="1" priority="1627" operator="greaterThan">
      <formula>AR45</formula>
    </cfRule>
  </conditionalFormatting>
  <conditionalFormatting sqref="AS47">
    <cfRule type="expression" dxfId="3" priority="1632">
      <formula>AND(AS47&gt;0,AS47&lt;100)</formula>
    </cfRule>
    <cfRule type="cellIs" dxfId="1" priority="1633" operator="greaterThan">
      <formula>AR47</formula>
    </cfRule>
  </conditionalFormatting>
  <conditionalFormatting sqref="AS48">
    <cfRule type="expression" dxfId="3" priority="1638">
      <formula>AND(AS48&gt;0,AS48&lt;100)</formula>
    </cfRule>
    <cfRule type="cellIs" dxfId="1" priority="1639" operator="greaterThan">
      <formula>AR48</formula>
    </cfRule>
  </conditionalFormatting>
  <conditionalFormatting sqref="AS49">
    <cfRule type="expression" dxfId="3" priority="1644">
      <formula>AND(AS49&gt;0,AS49&lt;100)</formula>
    </cfRule>
    <cfRule type="cellIs" dxfId="1" priority="1645" operator="greaterThan">
      <formula>AR49</formula>
    </cfRule>
  </conditionalFormatting>
  <conditionalFormatting sqref="AS53">
    <cfRule type="expression" dxfId="3" priority="1650">
      <formula>AND(AS53&gt;0,AS53&lt;100)</formula>
    </cfRule>
    <cfRule type="cellIs" dxfId="1" priority="1651" operator="greaterThan">
      <formula>AR53</formula>
    </cfRule>
  </conditionalFormatting>
  <conditionalFormatting sqref="AS54">
    <cfRule type="expression" dxfId="3" priority="1656">
      <formula>AND(AS54&gt;0,AS54&lt;100)</formula>
    </cfRule>
    <cfRule type="cellIs" dxfId="1" priority="1657" operator="greaterThan">
      <formula>AR54</formula>
    </cfRule>
  </conditionalFormatting>
  <conditionalFormatting sqref="AS56">
    <cfRule type="expression" dxfId="3" priority="1662">
      <formula>AND(AS56&gt;0,AS56&lt;100)</formula>
    </cfRule>
    <cfRule type="cellIs" dxfId="1" priority="1663" operator="greaterThan">
      <formula>AR56</formula>
    </cfRule>
  </conditionalFormatting>
  <conditionalFormatting sqref="AS57">
    <cfRule type="expression" dxfId="3" priority="1668">
      <formula>AND(AS57&gt;0,AS57&lt;100)</formula>
    </cfRule>
    <cfRule type="cellIs" dxfId="1" priority="1669" operator="greaterThan">
      <formula>AR57</formula>
    </cfRule>
  </conditionalFormatting>
  <conditionalFormatting sqref="AS58">
    <cfRule type="expression" dxfId="3" priority="1674">
      <formula>AND(AS58&gt;0,AS58&lt;100)</formula>
    </cfRule>
    <cfRule type="cellIs" dxfId="1" priority="1675" operator="greaterThan">
      <formula>AR58</formula>
    </cfRule>
  </conditionalFormatting>
  <conditionalFormatting sqref="AS64">
    <cfRule type="cellIs" dxfId="1" priority="1680" operator="greaterThan">
      <formula>AR64</formula>
    </cfRule>
  </conditionalFormatting>
  <conditionalFormatting sqref="AS70">
    <cfRule type="expression" dxfId="3" priority="1685">
      <formula>AND(AS70&gt;0,AS70&lt;2500)</formula>
    </cfRule>
    <cfRule type="cellIs" dxfId="1" priority="1686" operator="greaterThan">
      <formula>AR70</formula>
    </cfRule>
  </conditionalFormatting>
  <conditionalFormatting sqref="AS75">
    <cfRule type="cellIs" dxfId="1" priority="1691" operator="greaterThan">
      <formula>AR75</formula>
    </cfRule>
  </conditionalFormatting>
  <conditionalFormatting sqref="AS8">
    <cfRule type="expression" dxfId="3" priority="1560">
      <formula>AND(AS8&gt;0,AS8&lt;100)</formula>
    </cfRule>
    <cfRule type="cellIs" dxfId="1" priority="1561" operator="greaterThan">
      <formula>AR8</formula>
    </cfRule>
  </conditionalFormatting>
  <conditionalFormatting sqref="AS80">
    <cfRule type="expression" dxfId="3" priority="1696">
      <formula>AND(AS80&gt;0,AS80&lt;100)</formula>
    </cfRule>
    <cfRule type="cellIs" dxfId="1" priority="1697" operator="greaterThan">
      <formula>AR80</formula>
    </cfRule>
  </conditionalFormatting>
  <conditionalFormatting sqref="AS83">
    <cfRule type="expression" dxfId="3" priority="1702">
      <formula>AND(AS83&gt;0,AS83&lt;100)</formula>
    </cfRule>
    <cfRule type="cellIs" dxfId="1" priority="1703" operator="greaterThan">
      <formula>AR83</formula>
    </cfRule>
  </conditionalFormatting>
  <conditionalFormatting sqref="AS84">
    <cfRule type="expression" dxfId="3" priority="1708">
      <formula>AND(AS84&gt;0,AS84&lt;100)</formula>
    </cfRule>
    <cfRule type="cellIs" dxfId="1" priority="1709" operator="greaterThan">
      <formula>AR84</formula>
    </cfRule>
  </conditionalFormatting>
  <conditionalFormatting sqref="AS85">
    <cfRule type="expression" dxfId="3" priority="1714">
      <formula>AND(AS85&gt;0,AS85&lt;100)</formula>
    </cfRule>
    <cfRule type="cellIs" dxfId="1" priority="1715" operator="greaterThan">
      <formula>AR85</formula>
    </cfRule>
  </conditionalFormatting>
  <conditionalFormatting sqref="AT12">
    <cfRule type="cellIs" dxfId="4" priority="1569" operator="lessThanOrEqual">
      <formula>G12</formula>
    </cfRule>
  </conditionalFormatting>
  <conditionalFormatting sqref="AT13">
    <cfRule type="cellIs" dxfId="4" priority="1575" operator="lessThanOrEqual">
      <formula>G13</formula>
    </cfRule>
  </conditionalFormatting>
  <conditionalFormatting sqref="AT17">
    <cfRule type="cellIs" dxfId="4" priority="1581" operator="lessThanOrEqual">
      <formula>G17</formula>
    </cfRule>
  </conditionalFormatting>
  <conditionalFormatting sqref="AT34">
    <cfRule type="cellIs" dxfId="4" priority="1587" operator="lessThanOrEqual">
      <formula>G34</formula>
    </cfRule>
  </conditionalFormatting>
  <conditionalFormatting sqref="AT35">
    <cfRule type="cellIs" dxfId="4" priority="1593" operator="lessThanOrEqual">
      <formula>G35</formula>
    </cfRule>
  </conditionalFormatting>
  <conditionalFormatting sqref="AT36">
    <cfRule type="cellIs" dxfId="4" priority="1599" operator="lessThanOrEqual">
      <formula>G36</formula>
    </cfRule>
  </conditionalFormatting>
  <conditionalFormatting sqref="AT38">
    <cfRule type="cellIs" dxfId="4" priority="1605" operator="lessThanOrEqual">
      <formula>G38</formula>
    </cfRule>
  </conditionalFormatting>
  <conditionalFormatting sqref="AT39">
    <cfRule type="cellIs" dxfId="4" priority="1611" operator="lessThanOrEqual">
      <formula>G39</formula>
    </cfRule>
  </conditionalFormatting>
  <conditionalFormatting sqref="AT41">
    <cfRule type="cellIs" dxfId="4" priority="1617" operator="lessThanOrEqual">
      <formula>G41</formula>
    </cfRule>
  </conditionalFormatting>
  <conditionalFormatting sqref="AT44">
    <cfRule type="cellIs" dxfId="4" priority="1623" operator="lessThanOrEqual">
      <formula>G44</formula>
    </cfRule>
  </conditionalFormatting>
  <conditionalFormatting sqref="AT45">
    <cfRule type="cellIs" dxfId="4" priority="1629" operator="lessThanOrEqual">
      <formula>G45</formula>
    </cfRule>
  </conditionalFormatting>
  <conditionalFormatting sqref="AT47">
    <cfRule type="cellIs" dxfId="4" priority="1635" operator="lessThanOrEqual">
      <formula>G47</formula>
    </cfRule>
  </conditionalFormatting>
  <conditionalFormatting sqref="AT48">
    <cfRule type="cellIs" dxfId="4" priority="1641" operator="lessThanOrEqual">
      <formula>G48</formula>
    </cfRule>
  </conditionalFormatting>
  <conditionalFormatting sqref="AT49">
    <cfRule type="cellIs" dxfId="4" priority="1647" operator="lessThanOrEqual">
      <formula>G49</formula>
    </cfRule>
  </conditionalFormatting>
  <conditionalFormatting sqref="AT53">
    <cfRule type="cellIs" dxfId="4" priority="1653" operator="lessThanOrEqual">
      <formula>G53</formula>
    </cfRule>
  </conditionalFormatting>
  <conditionalFormatting sqref="AT54">
    <cfRule type="cellIs" dxfId="4" priority="1659" operator="lessThanOrEqual">
      <formula>G54</formula>
    </cfRule>
  </conditionalFormatting>
  <conditionalFormatting sqref="AT56">
    <cfRule type="cellIs" dxfId="4" priority="1665" operator="lessThanOrEqual">
      <formula>G56</formula>
    </cfRule>
  </conditionalFormatting>
  <conditionalFormatting sqref="AT57">
    <cfRule type="cellIs" dxfId="4" priority="1671" operator="lessThanOrEqual">
      <formula>G57</formula>
    </cfRule>
  </conditionalFormatting>
  <conditionalFormatting sqref="AT58">
    <cfRule type="cellIs" dxfId="4" priority="1677" operator="lessThanOrEqual">
      <formula>G58</formula>
    </cfRule>
  </conditionalFormatting>
  <conditionalFormatting sqref="AT64">
    <cfRule type="cellIs" dxfId="4" priority="1682" operator="lessThanOrEqual">
      <formula>G64</formula>
    </cfRule>
  </conditionalFormatting>
  <conditionalFormatting sqref="AT70">
    <cfRule type="cellIs" dxfId="4" priority="1688" operator="lessThanOrEqual">
      <formula>G70</formula>
    </cfRule>
  </conditionalFormatting>
  <conditionalFormatting sqref="AT75">
    <cfRule type="cellIs" dxfId="4" priority="1693" operator="lessThanOrEqual">
      <formula>G75</formula>
    </cfRule>
  </conditionalFormatting>
  <conditionalFormatting sqref="AT8">
    <cfRule type="cellIs" dxfId="4" priority="1563" operator="lessThanOrEqual">
      <formula>G8</formula>
    </cfRule>
  </conditionalFormatting>
  <conditionalFormatting sqref="AT80">
    <cfRule type="cellIs" dxfId="4" priority="1699" operator="lessThanOrEqual">
      <formula>G80</formula>
    </cfRule>
  </conditionalFormatting>
  <conditionalFormatting sqref="AT83">
    <cfRule type="cellIs" dxfId="4" priority="1705" operator="lessThanOrEqual">
      <formula>G83</formula>
    </cfRule>
  </conditionalFormatting>
  <conditionalFormatting sqref="AT84">
    <cfRule type="cellIs" dxfId="4" priority="1711" operator="lessThanOrEqual">
      <formula>G84</formula>
    </cfRule>
  </conditionalFormatting>
  <conditionalFormatting sqref="AT85">
    <cfRule type="cellIs" dxfId="4" priority="1717" operator="lessThanOrEqual">
      <formula>G85</formula>
    </cfRule>
  </conditionalFormatting>
  <conditionalFormatting sqref="AU12">
    <cfRule type="cellIs" dxfId="4" priority="1568" operator="lessThanOrEqual">
      <formula>H12</formula>
    </cfRule>
  </conditionalFormatting>
  <conditionalFormatting sqref="AU13">
    <cfRule type="cellIs" dxfId="4" priority="1574" operator="lessThanOrEqual">
      <formula>H13</formula>
    </cfRule>
  </conditionalFormatting>
  <conditionalFormatting sqref="AU17">
    <cfRule type="cellIs" dxfId="4" priority="1580" operator="lessThanOrEqual">
      <formula>H17</formula>
    </cfRule>
  </conditionalFormatting>
  <conditionalFormatting sqref="AU34">
    <cfRule type="cellIs" dxfId="4" priority="1586" operator="lessThanOrEqual">
      <formula>H34</formula>
    </cfRule>
  </conditionalFormatting>
  <conditionalFormatting sqref="AU35">
    <cfRule type="cellIs" dxfId="4" priority="1592" operator="lessThanOrEqual">
      <formula>H35</formula>
    </cfRule>
  </conditionalFormatting>
  <conditionalFormatting sqref="AU36">
    <cfRule type="cellIs" dxfId="4" priority="1598" operator="lessThanOrEqual">
      <formula>H36</formula>
    </cfRule>
  </conditionalFormatting>
  <conditionalFormatting sqref="AU38">
    <cfRule type="cellIs" dxfId="4" priority="1604" operator="lessThanOrEqual">
      <formula>H38</formula>
    </cfRule>
  </conditionalFormatting>
  <conditionalFormatting sqref="AU39">
    <cfRule type="cellIs" dxfId="4" priority="1610" operator="lessThanOrEqual">
      <formula>H39</formula>
    </cfRule>
  </conditionalFormatting>
  <conditionalFormatting sqref="AU41">
    <cfRule type="cellIs" dxfId="4" priority="1616" operator="lessThanOrEqual">
      <formula>H41</formula>
    </cfRule>
  </conditionalFormatting>
  <conditionalFormatting sqref="AU44">
    <cfRule type="cellIs" dxfId="4" priority="1622" operator="lessThanOrEqual">
      <formula>H44</formula>
    </cfRule>
  </conditionalFormatting>
  <conditionalFormatting sqref="AU45">
    <cfRule type="cellIs" dxfId="4" priority="1628" operator="lessThanOrEqual">
      <formula>H45</formula>
    </cfRule>
  </conditionalFormatting>
  <conditionalFormatting sqref="AU47">
    <cfRule type="cellIs" dxfId="4" priority="1634" operator="lessThanOrEqual">
      <formula>H47</formula>
    </cfRule>
  </conditionalFormatting>
  <conditionalFormatting sqref="AU48">
    <cfRule type="cellIs" dxfId="4" priority="1640" operator="lessThanOrEqual">
      <formula>H48</formula>
    </cfRule>
  </conditionalFormatting>
  <conditionalFormatting sqref="AU49">
    <cfRule type="cellIs" dxfId="4" priority="1646" operator="lessThanOrEqual">
      <formula>H49</formula>
    </cfRule>
  </conditionalFormatting>
  <conditionalFormatting sqref="AU53">
    <cfRule type="cellIs" dxfId="4" priority="1652" operator="lessThanOrEqual">
      <formula>H53</formula>
    </cfRule>
  </conditionalFormatting>
  <conditionalFormatting sqref="AU54">
    <cfRule type="cellIs" dxfId="4" priority="1658" operator="lessThanOrEqual">
      <formula>H54</formula>
    </cfRule>
  </conditionalFormatting>
  <conditionalFormatting sqref="AU56">
    <cfRule type="cellIs" dxfId="4" priority="1664" operator="lessThanOrEqual">
      <formula>H56</formula>
    </cfRule>
  </conditionalFormatting>
  <conditionalFormatting sqref="AU57">
    <cfRule type="cellIs" dxfId="4" priority="1670" operator="lessThanOrEqual">
      <formula>H57</formula>
    </cfRule>
  </conditionalFormatting>
  <conditionalFormatting sqref="AU58">
    <cfRule type="cellIs" dxfId="4" priority="1676" operator="lessThanOrEqual">
      <formula>H58</formula>
    </cfRule>
  </conditionalFormatting>
  <conditionalFormatting sqref="AU64">
    <cfRule type="cellIs" dxfId="4" priority="1681" operator="lessThanOrEqual">
      <formula>H64</formula>
    </cfRule>
  </conditionalFormatting>
  <conditionalFormatting sqref="AU70">
    <cfRule type="cellIs" dxfId="4" priority="1687" operator="lessThanOrEqual">
      <formula>H70</formula>
    </cfRule>
  </conditionalFormatting>
  <conditionalFormatting sqref="AU75">
    <cfRule type="cellIs" dxfId="4" priority="1692" operator="lessThanOrEqual">
      <formula>H75</formula>
    </cfRule>
  </conditionalFormatting>
  <conditionalFormatting sqref="AU8">
    <cfRule type="cellIs" dxfId="4" priority="1562" operator="lessThanOrEqual">
      <formula>H8</formula>
    </cfRule>
  </conditionalFormatting>
  <conditionalFormatting sqref="AU80">
    <cfRule type="cellIs" dxfId="4" priority="1698" operator="lessThanOrEqual">
      <formula>H80</formula>
    </cfRule>
  </conditionalFormatting>
  <conditionalFormatting sqref="AU83">
    <cfRule type="cellIs" dxfId="4" priority="1704" operator="lessThanOrEqual">
      <formula>H83</formula>
    </cfRule>
  </conditionalFormatting>
  <conditionalFormatting sqref="AU84">
    <cfRule type="cellIs" dxfId="4" priority="1710" operator="lessThanOrEqual">
      <formula>H84</formula>
    </cfRule>
  </conditionalFormatting>
  <conditionalFormatting sqref="AU85">
    <cfRule type="cellIs" dxfId="4" priority="1716" operator="lessThanOrEqual">
      <formula>H85</formula>
    </cfRule>
  </conditionalFormatting>
  <conditionalFormatting sqref="F10">
    <cfRule type="expression" dxfId="0" priority="13">
      <formula>AND(ISBLANK(E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1">
    <cfRule type="expression" dxfId="0" priority="17">
      <formula>AND(ISBLANK(E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2">
    <cfRule type="expression" dxfId="0" priority="21">
      <formula>AND(ISBLANK(E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3">
    <cfRule type="expression" dxfId="0" priority="25">
      <formula>AND(ISBLANK(E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4">
    <cfRule type="expression" dxfId="0" priority="29">
      <formula>AND(ISBLANK(E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5">
    <cfRule type="expression" dxfId="0" priority="33">
      <formula>AND(ISBLANK(E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6">
    <cfRule type="expression" dxfId="0" priority="37">
      <formula>AND(ISBLANK(E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7">
    <cfRule type="expression" dxfId="0" priority="41">
      <formula>AND(ISBLANK(E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8">
    <cfRule type="expression" dxfId="0" priority="45">
      <formula>AND(ISBLANK(E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9">
    <cfRule type="expression" dxfId="0" priority="49">
      <formula>AND(ISBLANK(E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0">
    <cfRule type="expression" dxfId="0" priority="53">
      <formula>AND(ISBLANK(E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1">
    <cfRule type="expression" dxfId="0" priority="57">
      <formula>AND(ISBLANK(E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2">
    <cfRule type="expression" dxfId="0" priority="61">
      <formula>AND(ISBLANK(E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3">
    <cfRule type="expression" dxfId="0" priority="65">
      <formula>AND(ISBLANK(E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4">
    <cfRule type="expression" dxfId="0" priority="69">
      <formula>AND(ISBLANK(E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5">
    <cfRule type="expression" dxfId="0" priority="73">
      <formula>AND(ISBLANK(E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6">
    <cfRule type="expression" dxfId="0" priority="77">
      <formula>AND(ISBLANK(E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7">
    <cfRule type="expression" dxfId="0" priority="81">
      <formula>AND(ISBLANK(E27)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8">
    <cfRule type="expression" dxfId="0" priority="85">
      <formula>AND(ISBLANK(E28)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9">
    <cfRule type="expression" dxfId="0" priority="89">
      <formula>AND(ISBLANK(E29)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0">
    <cfRule type="expression" dxfId="0" priority="93">
      <formula>AND(ISBLANK(E30)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1">
    <cfRule type="expression" dxfId="0" priority="97">
      <formula>AND(ISBLANK(E31)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2">
    <cfRule type="expression" dxfId="0" priority="101">
      <formula>AND(ISBLANK(E32)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3">
    <cfRule type="expression" dxfId="0" priority="105">
      <formula>AND(ISBLANK(E33)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4">
    <cfRule type="expression" dxfId="0" priority="109">
      <formula>AND(ISBLANK(E34)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5">
    <cfRule type="expression" dxfId="0" priority="113">
      <formula>AND(ISBLANK(E35)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6">
    <cfRule type="expression" dxfId="0" priority="117">
      <formula>AND(ISBLANK(E36)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7">
    <cfRule type="expression" dxfId="0" priority="121">
      <formula>AND(ISBLANK(E37)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8">
    <cfRule type="expression" dxfId="0" priority="125">
      <formula>AND(ISBLANK(E38)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9">
    <cfRule type="expression" dxfId="0" priority="129">
      <formula>AND(ISBLANK(E39)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40">
    <cfRule type="expression" dxfId="0" priority="133">
      <formula>AND(ISBLANK(E40)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41">
    <cfRule type="expression" dxfId="0" priority="137">
      <formula>AND(ISBLANK(E41)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42">
    <cfRule type="expression" dxfId="0" priority="141">
      <formula>AND(ISBLANK(E42)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43">
    <cfRule type="expression" dxfId="0" priority="145">
      <formula>AND(ISBLANK(E43)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44">
    <cfRule type="expression" dxfId="0" priority="149">
      <formula>AND(ISBLANK(E44)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45">
    <cfRule type="expression" dxfId="0" priority="153">
      <formula>AND(ISBLANK(E45)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46">
    <cfRule type="expression" dxfId="0" priority="157">
      <formula>AND(ISBLANK(E46)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47">
    <cfRule type="expression" dxfId="0" priority="161">
      <formula>AND(ISBLANK(E47)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48">
    <cfRule type="expression" dxfId="0" priority="165">
      <formula>AND(ISBLANK(E48)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49">
    <cfRule type="expression" dxfId="0" priority="169">
      <formula>AND(ISBLANK(E49)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50">
    <cfRule type="expression" dxfId="0" priority="173">
      <formula>AND(ISBLANK(E50)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51">
    <cfRule type="expression" dxfId="0" priority="177">
      <formula>AND(ISBLANK(E51)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52">
    <cfRule type="expression" dxfId="0" priority="181">
      <formula>AND(ISBLANK(E52)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53">
    <cfRule type="expression" dxfId="0" priority="185">
      <formula>AND(ISBLANK(E53)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54">
    <cfRule type="expression" dxfId="0" priority="189">
      <formula>AND(ISBLANK(E54)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55">
    <cfRule type="expression" dxfId="0" priority="193">
      <formula>AND(ISBLANK(E55)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56">
    <cfRule type="expression" dxfId="0" priority="197">
      <formula>AND(ISBLANK(E56)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57">
    <cfRule type="expression" dxfId="0" priority="201">
      <formula>AND(ISBLANK(E57)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58">
    <cfRule type="expression" dxfId="0" priority="205">
      <formula>AND(ISBLANK(E58)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59">
    <cfRule type="expression" dxfId="0" priority="209">
      <formula>AND(ISBLANK(E59)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60">
    <cfRule type="expression" dxfId="0" priority="213">
      <formula>AND(ISBLANK(E60)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61">
    <cfRule type="expression" dxfId="0" priority="217">
      <formula>AND(ISBLANK(E61)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62">
    <cfRule type="expression" dxfId="0" priority="221">
      <formula>AND(ISBLANK(E62)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63">
    <cfRule type="expression" dxfId="0" priority="225">
      <formula>AND(ISBLANK(E63)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64">
    <cfRule type="expression" dxfId="0" priority="229">
      <formula>AND(ISBLANK(E64)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65">
    <cfRule type="expression" dxfId="0" priority="233">
      <formula>AND(ISBLANK(E65)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66">
    <cfRule type="expression" dxfId="0" priority="237">
      <formula>AND(ISBLANK(E66)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67">
    <cfRule type="expression" dxfId="0" priority="241">
      <formula>AND(ISBLANK(E67)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68">
    <cfRule type="expression" dxfId="0" priority="245">
      <formula>AND(ISBLANK(E68)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69">
    <cfRule type="expression" dxfId="0" priority="249">
      <formula>AND(ISBLANK(E69)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7">
    <cfRule type="expression" dxfId="0" priority="1">
      <formula>AND(ISBLANK(E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70">
    <cfRule type="expression" dxfId="0" priority="253">
      <formula>AND(ISBLANK(E70)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71">
    <cfRule type="expression" dxfId="0" priority="257">
      <formula>AND(ISBLANK(E71)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72">
    <cfRule type="expression" dxfId="0" priority="261">
      <formula>AND(ISBLANK(E72)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73">
    <cfRule type="expression" dxfId="0" priority="265">
      <formula>AND(ISBLANK(E73)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74">
    <cfRule type="expression" dxfId="0" priority="269">
      <formula>AND(ISBLANK(E74)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75">
    <cfRule type="expression" dxfId="0" priority="273">
      <formula>AND(ISBLANK(E75)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76">
    <cfRule type="expression" dxfId="0" priority="277">
      <formula>AND(ISBLANK(E76)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77">
    <cfRule type="expression" dxfId="0" priority="281">
      <formula>AND(ISBLANK(E77)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78">
    <cfRule type="expression" dxfId="0" priority="285">
      <formula>AND(ISBLANK(E78)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79">
    <cfRule type="expression" dxfId="0" priority="289">
      <formula>AND(ISBLANK(E79)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8">
    <cfRule type="expression" dxfId="0" priority="5">
      <formula>AND(ISBLANK(E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80">
    <cfRule type="expression" dxfId="0" priority="293">
      <formula>AND(ISBLANK(E80)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81">
    <cfRule type="expression" dxfId="0" priority="297">
      <formula>AND(ISBLANK(E81)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82">
    <cfRule type="expression" dxfId="0" priority="301">
      <formula>AND(ISBLANK(E82)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83">
    <cfRule type="expression" dxfId="0" priority="305">
      <formula>AND(ISBLANK(E83)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84">
    <cfRule type="expression" dxfId="0" priority="309">
      <formula>AND(ISBLANK(E84)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85">
    <cfRule type="expression" dxfId="0" priority="313">
      <formula>AND(ISBLANK(E85)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9">
    <cfRule type="expression" dxfId="0" priority="9">
      <formula>AND(ISBLANK(E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N10">
    <cfRule type="cellIs" dxfId="1" priority="332" operator="equal">
      <formula>0</formula>
    </cfRule>
    <cfRule type="cellIs" dxfId="2" priority="333" operator="lessThan">
      <formula>F10</formula>
    </cfRule>
  </conditionalFormatting>
  <conditionalFormatting sqref="N12">
    <cfRule type="cellIs" dxfId="1" priority="337" operator="equal">
      <formula>0</formula>
    </cfRule>
    <cfRule type="cellIs" dxfId="2" priority="338" operator="lessThan">
      <formula>F12</formula>
    </cfRule>
  </conditionalFormatting>
  <conditionalFormatting sqref="N13">
    <cfRule type="cellIs" dxfId="1" priority="342" operator="equal">
      <formula>0</formula>
    </cfRule>
    <cfRule type="cellIs" dxfId="2" priority="343" operator="lessThan">
      <formula>F13</formula>
    </cfRule>
  </conditionalFormatting>
  <conditionalFormatting sqref="N15">
    <cfRule type="cellIs" dxfId="1" priority="347" operator="equal">
      <formula>0</formula>
    </cfRule>
    <cfRule type="cellIs" dxfId="2" priority="348" operator="lessThan">
      <formula>F15</formula>
    </cfRule>
  </conditionalFormatting>
  <conditionalFormatting sqref="N17">
    <cfRule type="cellIs" dxfId="1" priority="352" operator="equal">
      <formula>0</formula>
    </cfRule>
    <cfRule type="cellIs" dxfId="2" priority="353" operator="lessThan">
      <formula>F17</formula>
    </cfRule>
  </conditionalFormatting>
  <conditionalFormatting sqref="N18">
    <cfRule type="cellIs" dxfId="1" priority="357" operator="equal">
      <formula>0</formula>
    </cfRule>
    <cfRule type="cellIs" dxfId="2" priority="358" operator="lessThan">
      <formula>F18</formula>
    </cfRule>
  </conditionalFormatting>
  <conditionalFormatting sqref="N19">
    <cfRule type="cellIs" dxfId="1" priority="362" operator="equal">
      <formula>0</formula>
    </cfRule>
    <cfRule type="cellIs" dxfId="2" priority="363" operator="lessThan">
      <formula>F19</formula>
    </cfRule>
  </conditionalFormatting>
  <conditionalFormatting sqref="N23">
    <cfRule type="cellIs" dxfId="1" priority="367" operator="equal">
      <formula>0</formula>
    </cfRule>
    <cfRule type="cellIs" dxfId="2" priority="368" operator="lessThan">
      <formula>F23</formula>
    </cfRule>
  </conditionalFormatting>
  <conditionalFormatting sqref="N26">
    <cfRule type="cellIs" dxfId="1" priority="372" operator="equal">
      <formula>0</formula>
    </cfRule>
    <cfRule type="cellIs" dxfId="2" priority="373" operator="lessThan">
      <formula>F26</formula>
    </cfRule>
  </conditionalFormatting>
  <conditionalFormatting sqref="N29">
    <cfRule type="cellIs" dxfId="1" priority="377" operator="equal">
      <formula>0</formula>
    </cfRule>
    <cfRule type="cellIs" dxfId="2" priority="378" operator="lessThan">
      <formula>F29</formula>
    </cfRule>
  </conditionalFormatting>
  <conditionalFormatting sqref="N30">
    <cfRule type="cellIs" dxfId="1" priority="382" operator="equal">
      <formula>0</formula>
    </cfRule>
    <cfRule type="cellIs" dxfId="2" priority="383" operator="lessThan">
      <formula>F30</formula>
    </cfRule>
  </conditionalFormatting>
  <conditionalFormatting sqref="N31">
    <cfRule type="cellIs" dxfId="1" priority="387" operator="equal">
      <formula>0</formula>
    </cfRule>
    <cfRule type="cellIs" dxfId="2" priority="388" operator="lessThan">
      <formula>F31</formula>
    </cfRule>
  </conditionalFormatting>
  <conditionalFormatting sqref="N32">
    <cfRule type="cellIs" dxfId="1" priority="392" operator="equal">
      <formula>0</formula>
    </cfRule>
    <cfRule type="cellIs" dxfId="2" priority="393" operator="lessThan">
      <formula>F32</formula>
    </cfRule>
  </conditionalFormatting>
  <conditionalFormatting sqref="N33">
    <cfRule type="cellIs" dxfId="1" priority="397" operator="equal">
      <formula>0</formula>
    </cfRule>
    <cfRule type="cellIs" dxfId="2" priority="398" operator="lessThan">
      <formula>F33</formula>
    </cfRule>
  </conditionalFormatting>
  <conditionalFormatting sqref="N34">
    <cfRule type="cellIs" dxfId="1" priority="402" operator="equal">
      <formula>0</formula>
    </cfRule>
    <cfRule type="cellIs" dxfId="2" priority="403" operator="lessThan">
      <formula>F34</formula>
    </cfRule>
  </conditionalFormatting>
  <conditionalFormatting sqref="N35">
    <cfRule type="cellIs" dxfId="1" priority="407" operator="equal">
      <formula>0</formula>
    </cfRule>
    <cfRule type="cellIs" dxfId="2" priority="408" operator="lessThan">
      <formula>F35</formula>
    </cfRule>
  </conditionalFormatting>
  <conditionalFormatting sqref="N36">
    <cfRule type="cellIs" dxfId="1" priority="412" operator="equal">
      <formula>0</formula>
    </cfRule>
    <cfRule type="cellIs" dxfId="2" priority="413" operator="lessThan">
      <formula>F36</formula>
    </cfRule>
  </conditionalFormatting>
  <conditionalFormatting sqref="N37">
    <cfRule type="cellIs" dxfId="1" priority="417" operator="equal">
      <formula>0</formula>
    </cfRule>
    <cfRule type="cellIs" dxfId="2" priority="418" operator="lessThan">
      <formula>F37</formula>
    </cfRule>
  </conditionalFormatting>
  <conditionalFormatting sqref="N38">
    <cfRule type="cellIs" dxfId="1" priority="422" operator="equal">
      <formula>0</formula>
    </cfRule>
    <cfRule type="cellIs" dxfId="2" priority="423" operator="lessThan">
      <formula>F38</formula>
    </cfRule>
  </conditionalFormatting>
  <conditionalFormatting sqref="N39">
    <cfRule type="cellIs" dxfId="1" priority="427" operator="equal">
      <formula>0</formula>
    </cfRule>
    <cfRule type="cellIs" dxfId="2" priority="428" operator="lessThan">
      <formula>F39</formula>
    </cfRule>
  </conditionalFormatting>
  <conditionalFormatting sqref="N40">
    <cfRule type="cellIs" dxfId="1" priority="432" operator="equal">
      <formula>0</formula>
    </cfRule>
    <cfRule type="cellIs" dxfId="2" priority="433" operator="lessThan">
      <formula>F40</formula>
    </cfRule>
  </conditionalFormatting>
  <conditionalFormatting sqref="N41">
    <cfRule type="cellIs" dxfId="1" priority="437" operator="equal">
      <formula>0</formula>
    </cfRule>
    <cfRule type="cellIs" dxfId="2" priority="438" operator="lessThan">
      <formula>F41</formula>
    </cfRule>
  </conditionalFormatting>
  <conditionalFormatting sqref="N43">
    <cfRule type="cellIs" dxfId="1" priority="442" operator="equal">
      <formula>0</formula>
    </cfRule>
    <cfRule type="cellIs" dxfId="2" priority="443" operator="lessThan">
      <formula>F43</formula>
    </cfRule>
  </conditionalFormatting>
  <conditionalFormatting sqref="N44">
    <cfRule type="cellIs" dxfId="1" priority="447" operator="equal">
      <formula>0</formula>
    </cfRule>
    <cfRule type="cellIs" dxfId="2" priority="448" operator="lessThan">
      <formula>F44</formula>
    </cfRule>
  </conditionalFormatting>
  <conditionalFormatting sqref="N45">
    <cfRule type="cellIs" dxfId="1" priority="452" operator="equal">
      <formula>0</formula>
    </cfRule>
    <cfRule type="cellIs" dxfId="2" priority="453" operator="lessThan">
      <formula>F45</formula>
    </cfRule>
  </conditionalFormatting>
  <conditionalFormatting sqref="N46">
    <cfRule type="cellIs" dxfId="1" priority="457" operator="equal">
      <formula>0</formula>
    </cfRule>
    <cfRule type="cellIs" dxfId="2" priority="458" operator="lessThan">
      <formula>F46</formula>
    </cfRule>
  </conditionalFormatting>
  <conditionalFormatting sqref="N47">
    <cfRule type="cellIs" dxfId="1" priority="462" operator="equal">
      <formula>0</formula>
    </cfRule>
    <cfRule type="cellIs" dxfId="2" priority="463" operator="lessThan">
      <formula>F47</formula>
    </cfRule>
  </conditionalFormatting>
  <conditionalFormatting sqref="N48">
    <cfRule type="cellIs" dxfId="1" priority="467" operator="equal">
      <formula>0</formula>
    </cfRule>
    <cfRule type="cellIs" dxfId="2" priority="468" operator="lessThan">
      <formula>F48</formula>
    </cfRule>
  </conditionalFormatting>
  <conditionalFormatting sqref="N49">
    <cfRule type="cellIs" dxfId="1" priority="472" operator="equal">
      <formula>0</formula>
    </cfRule>
    <cfRule type="cellIs" dxfId="2" priority="473" operator="lessThan">
      <formula>F49</formula>
    </cfRule>
  </conditionalFormatting>
  <conditionalFormatting sqref="N50">
    <cfRule type="cellIs" dxfId="1" priority="477" operator="equal">
      <formula>0</formula>
    </cfRule>
    <cfRule type="cellIs" dxfId="2" priority="478" operator="lessThan">
      <formula>F50</formula>
    </cfRule>
  </conditionalFormatting>
  <conditionalFormatting sqref="N53">
    <cfRule type="cellIs" dxfId="1" priority="482" operator="equal">
      <formula>0</formula>
    </cfRule>
    <cfRule type="cellIs" dxfId="2" priority="483" operator="lessThan">
      <formula>F53</formula>
    </cfRule>
  </conditionalFormatting>
  <conditionalFormatting sqref="N54">
    <cfRule type="cellIs" dxfId="1" priority="487" operator="equal">
      <formula>0</formula>
    </cfRule>
    <cfRule type="cellIs" dxfId="2" priority="488" operator="lessThan">
      <formula>F54</formula>
    </cfRule>
  </conditionalFormatting>
  <conditionalFormatting sqref="N55">
    <cfRule type="cellIs" dxfId="1" priority="492" operator="equal">
      <formula>0</formula>
    </cfRule>
    <cfRule type="cellIs" dxfId="2" priority="493" operator="lessThan">
      <formula>F55</formula>
    </cfRule>
  </conditionalFormatting>
  <conditionalFormatting sqref="N56">
    <cfRule type="cellIs" dxfId="1" priority="497" operator="equal">
      <formula>0</formula>
    </cfRule>
    <cfRule type="cellIs" dxfId="2" priority="498" operator="lessThan">
      <formula>F56</formula>
    </cfRule>
  </conditionalFormatting>
  <conditionalFormatting sqref="N57">
    <cfRule type="cellIs" dxfId="1" priority="502" operator="equal">
      <formula>0</formula>
    </cfRule>
    <cfRule type="cellIs" dxfId="2" priority="503" operator="lessThan">
      <formula>F57</formula>
    </cfRule>
  </conditionalFormatting>
  <conditionalFormatting sqref="N58">
    <cfRule type="cellIs" dxfId="1" priority="507" operator="equal">
      <formula>0</formula>
    </cfRule>
    <cfRule type="cellIs" dxfId="2" priority="508" operator="lessThan">
      <formula>F58</formula>
    </cfRule>
  </conditionalFormatting>
  <conditionalFormatting sqref="N59">
    <cfRule type="cellIs" dxfId="1" priority="512" operator="equal">
      <formula>0</formula>
    </cfRule>
    <cfRule type="cellIs" dxfId="2" priority="513" operator="lessThan">
      <formula>F59</formula>
    </cfRule>
  </conditionalFormatting>
  <conditionalFormatting sqref="N60">
    <cfRule type="cellIs" dxfId="1" priority="517" operator="equal">
      <formula>0</formula>
    </cfRule>
    <cfRule type="cellIs" dxfId="2" priority="518" operator="lessThan">
      <formula>F60</formula>
    </cfRule>
  </conditionalFormatting>
  <conditionalFormatting sqref="N61">
    <cfRule type="cellIs" dxfId="1" priority="522" operator="equal">
      <formula>0</formula>
    </cfRule>
    <cfRule type="cellIs" dxfId="2" priority="523" operator="lessThan">
      <formula>F61</formula>
    </cfRule>
  </conditionalFormatting>
  <conditionalFormatting sqref="N62">
    <cfRule type="cellIs" dxfId="1" priority="527" operator="equal">
      <formula>0</formula>
    </cfRule>
    <cfRule type="cellIs" dxfId="2" priority="528" operator="lessThan">
      <formula>F62</formula>
    </cfRule>
  </conditionalFormatting>
  <conditionalFormatting sqref="N63">
    <cfRule type="cellIs" dxfId="1" priority="532" operator="equal">
      <formula>0</formula>
    </cfRule>
    <cfRule type="cellIs" dxfId="2" priority="533" operator="lessThan">
      <formula>F63</formula>
    </cfRule>
  </conditionalFormatting>
  <conditionalFormatting sqref="N64">
    <cfRule type="cellIs" dxfId="1" priority="537" operator="equal">
      <formula>0</formula>
    </cfRule>
    <cfRule type="cellIs" dxfId="2" priority="538" operator="lessThan">
      <formula>F64</formula>
    </cfRule>
  </conditionalFormatting>
  <conditionalFormatting sqref="N65">
    <cfRule type="cellIs" dxfId="1" priority="542" operator="equal">
      <formula>0</formula>
    </cfRule>
    <cfRule type="cellIs" dxfId="2" priority="543" operator="lessThan">
      <formula>F65</formula>
    </cfRule>
  </conditionalFormatting>
  <conditionalFormatting sqref="N66">
    <cfRule type="cellIs" dxfId="1" priority="547" operator="equal">
      <formula>0</formula>
    </cfRule>
    <cfRule type="cellIs" dxfId="2" priority="548" operator="lessThan">
      <formula>F66</formula>
    </cfRule>
  </conditionalFormatting>
  <conditionalFormatting sqref="N67">
    <cfRule type="cellIs" dxfId="1" priority="552" operator="equal">
      <formula>0</formula>
    </cfRule>
    <cfRule type="cellIs" dxfId="2" priority="553" operator="lessThan">
      <formula>F67</formula>
    </cfRule>
  </conditionalFormatting>
  <conditionalFormatting sqref="N68">
    <cfRule type="cellIs" dxfId="1" priority="557" operator="equal">
      <formula>0</formula>
    </cfRule>
    <cfRule type="cellIs" dxfId="2" priority="558" operator="lessThan">
      <formula>F68</formula>
    </cfRule>
  </conditionalFormatting>
  <conditionalFormatting sqref="N69">
    <cfRule type="cellIs" dxfId="1" priority="562" operator="equal">
      <formula>0</formula>
    </cfRule>
    <cfRule type="cellIs" dxfId="2" priority="563" operator="lessThan">
      <formula>F69</formula>
    </cfRule>
  </conditionalFormatting>
  <conditionalFormatting sqref="N7">
    <cfRule type="cellIs" dxfId="1" priority="317" operator="equal">
      <formula>0</formula>
    </cfRule>
    <cfRule type="cellIs" dxfId="2" priority="318" operator="lessThan">
      <formula>F7</formula>
    </cfRule>
  </conditionalFormatting>
  <conditionalFormatting sqref="N70">
    <cfRule type="cellIs" dxfId="1" priority="567" operator="equal">
      <formula>0</formula>
    </cfRule>
    <cfRule type="cellIs" dxfId="2" priority="568" operator="lessThan">
      <formula>F70</formula>
    </cfRule>
  </conditionalFormatting>
  <conditionalFormatting sqref="N71">
    <cfRule type="cellIs" dxfId="1" priority="572" operator="equal">
      <formula>0</formula>
    </cfRule>
    <cfRule type="cellIs" dxfId="2" priority="573" operator="lessThan">
      <formula>F71</formula>
    </cfRule>
  </conditionalFormatting>
  <conditionalFormatting sqref="N72">
    <cfRule type="cellIs" dxfId="1" priority="577" operator="equal">
      <formula>0</formula>
    </cfRule>
    <cfRule type="cellIs" dxfId="2" priority="578" operator="lessThan">
      <formula>F72</formula>
    </cfRule>
  </conditionalFormatting>
  <conditionalFormatting sqref="N73">
    <cfRule type="cellIs" dxfId="1" priority="582" operator="equal">
      <formula>0</formula>
    </cfRule>
    <cfRule type="cellIs" dxfId="2" priority="583" operator="lessThan">
      <formula>F73</formula>
    </cfRule>
  </conditionalFormatting>
  <conditionalFormatting sqref="N74">
    <cfRule type="cellIs" dxfId="1" priority="587" operator="equal">
      <formula>0</formula>
    </cfRule>
    <cfRule type="cellIs" dxfId="2" priority="588" operator="lessThan">
      <formula>F74</formula>
    </cfRule>
  </conditionalFormatting>
  <conditionalFormatting sqref="N75">
    <cfRule type="cellIs" dxfId="1" priority="592" operator="equal">
      <formula>0</formula>
    </cfRule>
    <cfRule type="cellIs" dxfId="2" priority="593" operator="lessThan">
      <formula>F75</formula>
    </cfRule>
  </conditionalFormatting>
  <conditionalFormatting sqref="N76">
    <cfRule type="cellIs" dxfId="1" priority="597" operator="equal">
      <formula>0</formula>
    </cfRule>
    <cfRule type="cellIs" dxfId="2" priority="598" operator="lessThan">
      <formula>F76</formula>
    </cfRule>
  </conditionalFormatting>
  <conditionalFormatting sqref="N77">
    <cfRule type="cellIs" dxfId="1" priority="602" operator="equal">
      <formula>0</formula>
    </cfRule>
    <cfRule type="cellIs" dxfId="2" priority="603" operator="lessThan">
      <formula>F77</formula>
    </cfRule>
  </conditionalFormatting>
  <conditionalFormatting sqref="N78">
    <cfRule type="cellIs" dxfId="1" priority="607" operator="equal">
      <formula>0</formula>
    </cfRule>
    <cfRule type="cellIs" dxfId="2" priority="608" operator="lessThan">
      <formula>F78</formula>
    </cfRule>
  </conditionalFormatting>
  <conditionalFormatting sqref="N79">
    <cfRule type="cellIs" dxfId="1" priority="612" operator="equal">
      <formula>0</formula>
    </cfRule>
    <cfRule type="cellIs" dxfId="2" priority="613" operator="lessThan">
      <formula>F79</formula>
    </cfRule>
  </conditionalFormatting>
  <conditionalFormatting sqref="N8">
    <cfRule type="cellIs" dxfId="1" priority="322" operator="equal">
      <formula>0</formula>
    </cfRule>
    <cfRule type="cellIs" dxfId="2" priority="323" operator="lessThan">
      <formula>F8</formula>
    </cfRule>
  </conditionalFormatting>
  <conditionalFormatting sqref="N80">
    <cfRule type="cellIs" dxfId="1" priority="617" operator="equal">
      <formula>0</formula>
    </cfRule>
    <cfRule type="cellIs" dxfId="2" priority="618" operator="lessThan">
      <formula>F80</formula>
    </cfRule>
  </conditionalFormatting>
  <conditionalFormatting sqref="N83">
    <cfRule type="cellIs" dxfId="1" priority="622" operator="equal">
      <formula>0</formula>
    </cfRule>
    <cfRule type="cellIs" dxfId="2" priority="623" operator="lessThan">
      <formula>F83</formula>
    </cfRule>
  </conditionalFormatting>
  <conditionalFormatting sqref="N84">
    <cfRule type="cellIs" dxfId="1" priority="627" operator="equal">
      <formula>0</formula>
    </cfRule>
    <cfRule type="cellIs" dxfId="2" priority="628" operator="lessThan">
      <formula>F84</formula>
    </cfRule>
  </conditionalFormatting>
  <conditionalFormatting sqref="N85">
    <cfRule type="cellIs" dxfId="1" priority="632" operator="equal">
      <formula>0</formula>
    </cfRule>
    <cfRule type="cellIs" dxfId="2" priority="633" operator="lessThan">
      <formula>F85</formula>
    </cfRule>
  </conditionalFormatting>
  <conditionalFormatting sqref="N9">
    <cfRule type="cellIs" dxfId="1" priority="327" operator="equal">
      <formula>0</formula>
    </cfRule>
    <cfRule type="cellIs" dxfId="2" priority="328" operator="lessThan">
      <formula>F9</formula>
    </cfRule>
  </conditionalFormatting>
  <conditionalFormatting sqref="O10">
    <cfRule type="cellIs" dxfId="1" priority="334" operator="greaterThan">
      <formula>N10</formula>
    </cfRule>
  </conditionalFormatting>
  <conditionalFormatting sqref="O12">
    <cfRule type="cellIs" dxfId="1" priority="339" operator="greaterThan">
      <formula>N12</formula>
    </cfRule>
  </conditionalFormatting>
  <conditionalFormatting sqref="O13">
    <cfRule type="cellIs" dxfId="1" priority="344" operator="greaterThan">
      <formula>N13</formula>
    </cfRule>
  </conditionalFormatting>
  <conditionalFormatting sqref="O15">
    <cfRule type="cellIs" dxfId="1" priority="349" operator="greaterThan">
      <formula>N15</formula>
    </cfRule>
  </conditionalFormatting>
  <conditionalFormatting sqref="O17">
    <cfRule type="cellIs" dxfId="1" priority="354" operator="greaterThan">
      <formula>N17</formula>
    </cfRule>
  </conditionalFormatting>
  <conditionalFormatting sqref="O18">
    <cfRule type="cellIs" dxfId="1" priority="359" operator="greaterThan">
      <formula>N18</formula>
    </cfRule>
  </conditionalFormatting>
  <conditionalFormatting sqref="O19">
    <cfRule type="cellIs" dxfId="1" priority="364" operator="greaterThan">
      <formula>N19</formula>
    </cfRule>
  </conditionalFormatting>
  <conditionalFormatting sqref="O23">
    <cfRule type="cellIs" dxfId="1" priority="369" operator="greaterThan">
      <formula>N23</formula>
    </cfRule>
  </conditionalFormatting>
  <conditionalFormatting sqref="O26">
    <cfRule type="cellIs" dxfId="1" priority="374" operator="greaterThan">
      <formula>N26</formula>
    </cfRule>
  </conditionalFormatting>
  <conditionalFormatting sqref="O29">
    <cfRule type="cellIs" dxfId="1" priority="379" operator="greaterThan">
      <formula>N29</formula>
    </cfRule>
  </conditionalFormatting>
  <conditionalFormatting sqref="O30">
    <cfRule type="cellIs" dxfId="1" priority="384" operator="greaterThan">
      <formula>N30</formula>
    </cfRule>
  </conditionalFormatting>
  <conditionalFormatting sqref="O31">
    <cfRule type="cellIs" dxfId="1" priority="389" operator="greaterThan">
      <formula>N31</formula>
    </cfRule>
  </conditionalFormatting>
  <conditionalFormatting sqref="O32">
    <cfRule type="cellIs" dxfId="1" priority="394" operator="greaterThan">
      <formula>N32</formula>
    </cfRule>
  </conditionalFormatting>
  <conditionalFormatting sqref="O33">
    <cfRule type="cellIs" dxfId="1" priority="399" operator="greaterThan">
      <formula>N33</formula>
    </cfRule>
  </conditionalFormatting>
  <conditionalFormatting sqref="O34">
    <cfRule type="cellIs" dxfId="1" priority="404" operator="greaterThan">
      <formula>N34</formula>
    </cfRule>
  </conditionalFormatting>
  <conditionalFormatting sqref="O35">
    <cfRule type="cellIs" dxfId="1" priority="409" operator="greaterThan">
      <formula>N35</formula>
    </cfRule>
  </conditionalFormatting>
  <conditionalFormatting sqref="O36">
    <cfRule type="cellIs" dxfId="1" priority="414" operator="greaterThan">
      <formula>N36</formula>
    </cfRule>
  </conditionalFormatting>
  <conditionalFormatting sqref="O37">
    <cfRule type="cellIs" dxfId="1" priority="419" operator="greaterThan">
      <formula>N37</formula>
    </cfRule>
  </conditionalFormatting>
  <conditionalFormatting sqref="O38">
    <cfRule type="cellIs" dxfId="1" priority="424" operator="greaterThan">
      <formula>N38</formula>
    </cfRule>
  </conditionalFormatting>
  <conditionalFormatting sqref="O39">
    <cfRule type="cellIs" dxfId="1" priority="429" operator="greaterThan">
      <formula>N39</formula>
    </cfRule>
  </conditionalFormatting>
  <conditionalFormatting sqref="O40">
    <cfRule type="cellIs" dxfId="1" priority="434" operator="greaterThan">
      <formula>N40</formula>
    </cfRule>
  </conditionalFormatting>
  <conditionalFormatting sqref="O41">
    <cfRule type="cellIs" dxfId="1" priority="439" operator="greaterThan">
      <formula>N41</formula>
    </cfRule>
  </conditionalFormatting>
  <conditionalFormatting sqref="O43">
    <cfRule type="cellIs" dxfId="1" priority="444" operator="greaterThan">
      <formula>N43</formula>
    </cfRule>
  </conditionalFormatting>
  <conditionalFormatting sqref="O44">
    <cfRule type="cellIs" dxfId="1" priority="449" operator="greaterThan">
      <formula>N44</formula>
    </cfRule>
  </conditionalFormatting>
  <conditionalFormatting sqref="O45">
    <cfRule type="cellIs" dxfId="1" priority="454" operator="greaterThan">
      <formula>N45</formula>
    </cfRule>
  </conditionalFormatting>
  <conditionalFormatting sqref="O46">
    <cfRule type="cellIs" dxfId="1" priority="459" operator="greaterThan">
      <formula>N46</formula>
    </cfRule>
  </conditionalFormatting>
  <conditionalFormatting sqref="O47">
    <cfRule type="cellIs" dxfId="1" priority="464" operator="greaterThan">
      <formula>N47</formula>
    </cfRule>
  </conditionalFormatting>
  <conditionalFormatting sqref="O48">
    <cfRule type="cellIs" dxfId="1" priority="469" operator="greaterThan">
      <formula>N48</formula>
    </cfRule>
  </conditionalFormatting>
  <conditionalFormatting sqref="O49">
    <cfRule type="cellIs" dxfId="1" priority="474" operator="greaterThan">
      <formula>N49</formula>
    </cfRule>
  </conditionalFormatting>
  <conditionalFormatting sqref="O50">
    <cfRule type="cellIs" dxfId="1" priority="479" operator="greaterThan">
      <formula>N50</formula>
    </cfRule>
  </conditionalFormatting>
  <conditionalFormatting sqref="O53">
    <cfRule type="cellIs" dxfId="1" priority="484" operator="greaterThan">
      <formula>N53</formula>
    </cfRule>
  </conditionalFormatting>
  <conditionalFormatting sqref="O54">
    <cfRule type="cellIs" dxfId="1" priority="489" operator="greaterThan">
      <formula>N54</formula>
    </cfRule>
  </conditionalFormatting>
  <conditionalFormatting sqref="O55">
    <cfRule type="cellIs" dxfId="1" priority="494" operator="greaterThan">
      <formula>N55</formula>
    </cfRule>
  </conditionalFormatting>
  <conditionalFormatting sqref="O56">
    <cfRule type="cellIs" dxfId="1" priority="499" operator="greaterThan">
      <formula>N56</formula>
    </cfRule>
  </conditionalFormatting>
  <conditionalFormatting sqref="O57">
    <cfRule type="cellIs" dxfId="1" priority="504" operator="greaterThan">
      <formula>N57</formula>
    </cfRule>
  </conditionalFormatting>
  <conditionalFormatting sqref="O58">
    <cfRule type="cellIs" dxfId="1" priority="509" operator="greaterThan">
      <formula>N58</formula>
    </cfRule>
  </conditionalFormatting>
  <conditionalFormatting sqref="O59">
    <cfRule type="cellIs" dxfId="1" priority="514" operator="greaterThan">
      <formula>N59</formula>
    </cfRule>
  </conditionalFormatting>
  <conditionalFormatting sqref="O60">
    <cfRule type="cellIs" dxfId="1" priority="519" operator="greaterThan">
      <formula>N60</formula>
    </cfRule>
  </conditionalFormatting>
  <conditionalFormatting sqref="O61">
    <cfRule type="cellIs" dxfId="1" priority="524" operator="greaterThan">
      <formula>N61</formula>
    </cfRule>
  </conditionalFormatting>
  <conditionalFormatting sqref="O62">
    <cfRule type="cellIs" dxfId="1" priority="529" operator="greaterThan">
      <formula>N62</formula>
    </cfRule>
  </conditionalFormatting>
  <conditionalFormatting sqref="O63">
    <cfRule type="cellIs" dxfId="1" priority="534" operator="greaterThan">
      <formula>N63</formula>
    </cfRule>
  </conditionalFormatting>
  <conditionalFormatting sqref="O64">
    <cfRule type="cellIs" dxfId="1" priority="539" operator="greaterThan">
      <formula>N64</formula>
    </cfRule>
  </conditionalFormatting>
  <conditionalFormatting sqref="O65">
    <cfRule type="cellIs" dxfId="1" priority="544" operator="greaterThan">
      <formula>N65</formula>
    </cfRule>
  </conditionalFormatting>
  <conditionalFormatting sqref="O66">
    <cfRule type="cellIs" dxfId="1" priority="549" operator="greaterThan">
      <formula>N66</formula>
    </cfRule>
  </conditionalFormatting>
  <conditionalFormatting sqref="O67">
    <cfRule type="cellIs" dxfId="1" priority="554" operator="greaterThan">
      <formula>N67</formula>
    </cfRule>
  </conditionalFormatting>
  <conditionalFormatting sqref="O68">
    <cfRule type="cellIs" dxfId="1" priority="559" operator="greaterThan">
      <formula>N68</formula>
    </cfRule>
  </conditionalFormatting>
  <conditionalFormatting sqref="O69">
    <cfRule type="cellIs" dxfId="1" priority="564" operator="greaterThan">
      <formula>N69</formula>
    </cfRule>
  </conditionalFormatting>
  <conditionalFormatting sqref="O7">
    <cfRule type="cellIs" dxfId="1" priority="319" operator="greaterThan">
      <formula>N7</formula>
    </cfRule>
  </conditionalFormatting>
  <conditionalFormatting sqref="O70">
    <cfRule type="cellIs" dxfId="1" priority="569" operator="greaterThan">
      <formula>N70</formula>
    </cfRule>
  </conditionalFormatting>
  <conditionalFormatting sqref="O71">
    <cfRule type="cellIs" dxfId="1" priority="574" operator="greaterThan">
      <formula>N71</formula>
    </cfRule>
  </conditionalFormatting>
  <conditionalFormatting sqref="O72">
    <cfRule type="cellIs" dxfId="1" priority="579" operator="greaterThan">
      <formula>N72</formula>
    </cfRule>
  </conditionalFormatting>
  <conditionalFormatting sqref="O73">
    <cfRule type="cellIs" dxfId="1" priority="584" operator="greaterThan">
      <formula>N73</formula>
    </cfRule>
  </conditionalFormatting>
  <conditionalFormatting sqref="O74">
    <cfRule type="cellIs" dxfId="1" priority="589" operator="greaterThan">
      <formula>N74</formula>
    </cfRule>
  </conditionalFormatting>
  <conditionalFormatting sqref="O75">
    <cfRule type="cellIs" dxfId="1" priority="594" operator="greaterThan">
      <formula>N75</formula>
    </cfRule>
  </conditionalFormatting>
  <conditionalFormatting sqref="O76">
    <cfRule type="cellIs" dxfId="1" priority="599" operator="greaterThan">
      <formula>N76</formula>
    </cfRule>
  </conditionalFormatting>
  <conditionalFormatting sqref="O77">
    <cfRule type="cellIs" dxfId="1" priority="604" operator="greaterThan">
      <formula>N77</formula>
    </cfRule>
  </conditionalFormatting>
  <conditionalFormatting sqref="O78">
    <cfRule type="cellIs" dxfId="1" priority="609" operator="greaterThan">
      <formula>N78</formula>
    </cfRule>
  </conditionalFormatting>
  <conditionalFormatting sqref="O79">
    <cfRule type="cellIs" dxfId="1" priority="614" operator="greaterThan">
      <formula>N79</formula>
    </cfRule>
  </conditionalFormatting>
  <conditionalFormatting sqref="O8">
    <cfRule type="cellIs" dxfId="1" priority="324" operator="greaterThan">
      <formula>N8</formula>
    </cfRule>
  </conditionalFormatting>
  <conditionalFormatting sqref="O80">
    <cfRule type="cellIs" dxfId="1" priority="619" operator="greaterThan">
      <formula>N80</formula>
    </cfRule>
  </conditionalFormatting>
  <conditionalFormatting sqref="O83">
    <cfRule type="cellIs" dxfId="1" priority="624" operator="greaterThan">
      <formula>N83</formula>
    </cfRule>
  </conditionalFormatting>
  <conditionalFormatting sqref="O84">
    <cfRule type="cellIs" dxfId="1" priority="629" operator="greaterThan">
      <formula>N84</formula>
    </cfRule>
  </conditionalFormatting>
  <conditionalFormatting sqref="O85">
    <cfRule type="cellIs" dxfId="1" priority="634" operator="greaterThan">
      <formula>N85</formula>
    </cfRule>
  </conditionalFormatting>
  <conditionalFormatting sqref="O9">
    <cfRule type="cellIs" dxfId="1" priority="329" operator="greaterThan">
      <formula>N9</formula>
    </cfRule>
  </conditionalFormatting>
  <conditionalFormatting sqref="P10">
    <cfRule type="cellIs" dxfId="4" priority="336" operator="lessThanOrEqual">
      <formula>G10</formula>
    </cfRule>
  </conditionalFormatting>
  <conditionalFormatting sqref="P12">
    <cfRule type="cellIs" dxfId="4" priority="341" operator="lessThanOrEqual">
      <formula>G12</formula>
    </cfRule>
  </conditionalFormatting>
  <conditionalFormatting sqref="P13">
    <cfRule type="cellIs" dxfId="4" priority="346" operator="lessThanOrEqual">
      <formula>G13</formula>
    </cfRule>
  </conditionalFormatting>
  <conditionalFormatting sqref="P15">
    <cfRule type="cellIs" dxfId="4" priority="351" operator="lessThanOrEqual">
      <formula>G15</formula>
    </cfRule>
  </conditionalFormatting>
  <conditionalFormatting sqref="P17">
    <cfRule type="cellIs" dxfId="4" priority="356" operator="lessThanOrEqual">
      <formula>G17</formula>
    </cfRule>
  </conditionalFormatting>
  <conditionalFormatting sqref="P18">
    <cfRule type="cellIs" dxfId="4" priority="361" operator="lessThanOrEqual">
      <formula>G18</formula>
    </cfRule>
  </conditionalFormatting>
  <conditionalFormatting sqref="P19">
    <cfRule type="cellIs" dxfId="4" priority="366" operator="lessThanOrEqual">
      <formula>G19</formula>
    </cfRule>
  </conditionalFormatting>
  <conditionalFormatting sqref="P23">
    <cfRule type="cellIs" dxfId="4" priority="371" operator="lessThanOrEqual">
      <formula>G23</formula>
    </cfRule>
  </conditionalFormatting>
  <conditionalFormatting sqref="P26">
    <cfRule type="cellIs" dxfId="4" priority="376" operator="lessThanOrEqual">
      <formula>G26</formula>
    </cfRule>
  </conditionalFormatting>
  <conditionalFormatting sqref="P29">
    <cfRule type="cellIs" dxfId="4" priority="381" operator="lessThanOrEqual">
      <formula>G29</formula>
    </cfRule>
  </conditionalFormatting>
  <conditionalFormatting sqref="P30">
    <cfRule type="cellIs" dxfId="4" priority="386" operator="lessThanOrEqual">
      <formula>G30</formula>
    </cfRule>
  </conditionalFormatting>
  <conditionalFormatting sqref="P31">
    <cfRule type="cellIs" dxfId="4" priority="391" operator="lessThanOrEqual">
      <formula>G31</formula>
    </cfRule>
  </conditionalFormatting>
  <conditionalFormatting sqref="P32">
    <cfRule type="cellIs" dxfId="4" priority="396" operator="lessThanOrEqual">
      <formula>G32</formula>
    </cfRule>
  </conditionalFormatting>
  <conditionalFormatting sqref="P33">
    <cfRule type="cellIs" dxfId="4" priority="401" operator="lessThanOrEqual">
      <formula>G33</formula>
    </cfRule>
  </conditionalFormatting>
  <conditionalFormatting sqref="P34">
    <cfRule type="cellIs" dxfId="4" priority="406" operator="lessThanOrEqual">
      <formula>G34</formula>
    </cfRule>
  </conditionalFormatting>
  <conditionalFormatting sqref="P35">
    <cfRule type="cellIs" dxfId="4" priority="411" operator="lessThanOrEqual">
      <formula>G35</formula>
    </cfRule>
  </conditionalFormatting>
  <conditionalFormatting sqref="P36">
    <cfRule type="cellIs" dxfId="4" priority="416" operator="lessThanOrEqual">
      <formula>G36</formula>
    </cfRule>
  </conditionalFormatting>
  <conditionalFormatting sqref="P37">
    <cfRule type="cellIs" dxfId="4" priority="421" operator="lessThanOrEqual">
      <formula>G37</formula>
    </cfRule>
  </conditionalFormatting>
  <conditionalFormatting sqref="P38">
    <cfRule type="cellIs" dxfId="4" priority="426" operator="lessThanOrEqual">
      <formula>G38</formula>
    </cfRule>
  </conditionalFormatting>
  <conditionalFormatting sqref="P39">
    <cfRule type="cellIs" dxfId="4" priority="431" operator="lessThanOrEqual">
      <formula>G39</formula>
    </cfRule>
  </conditionalFormatting>
  <conditionalFormatting sqref="P40">
    <cfRule type="cellIs" dxfId="4" priority="436" operator="lessThanOrEqual">
      <formula>G40</formula>
    </cfRule>
  </conditionalFormatting>
  <conditionalFormatting sqref="P41">
    <cfRule type="cellIs" dxfId="4" priority="441" operator="lessThanOrEqual">
      <formula>G41</formula>
    </cfRule>
  </conditionalFormatting>
  <conditionalFormatting sqref="P43">
    <cfRule type="cellIs" dxfId="4" priority="446" operator="lessThanOrEqual">
      <formula>G43</formula>
    </cfRule>
  </conditionalFormatting>
  <conditionalFormatting sqref="P44">
    <cfRule type="cellIs" dxfId="4" priority="451" operator="lessThanOrEqual">
      <formula>G44</formula>
    </cfRule>
  </conditionalFormatting>
  <conditionalFormatting sqref="P45">
    <cfRule type="cellIs" dxfId="4" priority="456" operator="lessThanOrEqual">
      <formula>G45</formula>
    </cfRule>
  </conditionalFormatting>
  <conditionalFormatting sqref="P46">
    <cfRule type="cellIs" dxfId="4" priority="461" operator="lessThanOrEqual">
      <formula>G46</formula>
    </cfRule>
  </conditionalFormatting>
  <conditionalFormatting sqref="P47">
    <cfRule type="cellIs" dxfId="4" priority="466" operator="lessThanOrEqual">
      <formula>G47</formula>
    </cfRule>
  </conditionalFormatting>
  <conditionalFormatting sqref="P48">
    <cfRule type="cellIs" dxfId="4" priority="471" operator="lessThanOrEqual">
      <formula>G48</formula>
    </cfRule>
  </conditionalFormatting>
  <conditionalFormatting sqref="P49">
    <cfRule type="cellIs" dxfId="4" priority="476" operator="lessThanOrEqual">
      <formula>G49</formula>
    </cfRule>
  </conditionalFormatting>
  <conditionalFormatting sqref="P50">
    <cfRule type="cellIs" dxfId="4" priority="481" operator="lessThanOrEqual">
      <formula>G50</formula>
    </cfRule>
  </conditionalFormatting>
  <conditionalFormatting sqref="P53">
    <cfRule type="cellIs" dxfId="4" priority="486" operator="lessThanOrEqual">
      <formula>G53</formula>
    </cfRule>
  </conditionalFormatting>
  <conditionalFormatting sqref="P54">
    <cfRule type="cellIs" dxfId="4" priority="491" operator="lessThanOrEqual">
      <formula>G54</formula>
    </cfRule>
  </conditionalFormatting>
  <conditionalFormatting sqref="P55">
    <cfRule type="cellIs" dxfId="4" priority="496" operator="lessThanOrEqual">
      <formula>G55</formula>
    </cfRule>
  </conditionalFormatting>
  <conditionalFormatting sqref="P56">
    <cfRule type="cellIs" dxfId="4" priority="501" operator="lessThanOrEqual">
      <formula>G56</formula>
    </cfRule>
  </conditionalFormatting>
  <conditionalFormatting sqref="P57">
    <cfRule type="cellIs" dxfId="4" priority="506" operator="lessThanOrEqual">
      <formula>G57</formula>
    </cfRule>
  </conditionalFormatting>
  <conditionalFormatting sqref="P58">
    <cfRule type="cellIs" dxfId="4" priority="511" operator="lessThanOrEqual">
      <formula>G58</formula>
    </cfRule>
  </conditionalFormatting>
  <conditionalFormatting sqref="P59">
    <cfRule type="cellIs" dxfId="4" priority="516" operator="lessThanOrEqual">
      <formula>G59</formula>
    </cfRule>
  </conditionalFormatting>
  <conditionalFormatting sqref="P60">
    <cfRule type="cellIs" dxfId="4" priority="521" operator="lessThanOrEqual">
      <formula>G60</formula>
    </cfRule>
  </conditionalFormatting>
  <conditionalFormatting sqref="P61">
    <cfRule type="cellIs" dxfId="4" priority="526" operator="lessThanOrEqual">
      <formula>G61</formula>
    </cfRule>
  </conditionalFormatting>
  <conditionalFormatting sqref="P62">
    <cfRule type="cellIs" dxfId="4" priority="531" operator="lessThanOrEqual">
      <formula>G62</formula>
    </cfRule>
  </conditionalFormatting>
  <conditionalFormatting sqref="P63">
    <cfRule type="cellIs" dxfId="4" priority="536" operator="lessThanOrEqual">
      <formula>G63</formula>
    </cfRule>
  </conditionalFormatting>
  <conditionalFormatting sqref="P64">
    <cfRule type="cellIs" dxfId="4" priority="541" operator="lessThanOrEqual">
      <formula>G64</formula>
    </cfRule>
  </conditionalFormatting>
  <conditionalFormatting sqref="P65">
    <cfRule type="cellIs" dxfId="4" priority="546" operator="lessThanOrEqual">
      <formula>G65</formula>
    </cfRule>
  </conditionalFormatting>
  <conditionalFormatting sqref="P66">
    <cfRule type="cellIs" dxfId="4" priority="551" operator="lessThanOrEqual">
      <formula>G66</formula>
    </cfRule>
  </conditionalFormatting>
  <conditionalFormatting sqref="P67">
    <cfRule type="cellIs" dxfId="4" priority="556" operator="lessThanOrEqual">
      <formula>G67</formula>
    </cfRule>
  </conditionalFormatting>
  <conditionalFormatting sqref="P68">
    <cfRule type="cellIs" dxfId="4" priority="561" operator="lessThanOrEqual">
      <formula>G68</formula>
    </cfRule>
  </conditionalFormatting>
  <conditionalFormatting sqref="P69">
    <cfRule type="cellIs" dxfId="4" priority="566" operator="lessThanOrEqual">
      <formula>G69</formula>
    </cfRule>
  </conditionalFormatting>
  <conditionalFormatting sqref="P7">
    <cfRule type="cellIs" dxfId="4" priority="321" operator="lessThanOrEqual">
      <formula>G7</formula>
    </cfRule>
  </conditionalFormatting>
  <conditionalFormatting sqref="P70">
    <cfRule type="cellIs" dxfId="4" priority="571" operator="lessThanOrEqual">
      <formula>G70</formula>
    </cfRule>
  </conditionalFormatting>
  <conditionalFormatting sqref="P71">
    <cfRule type="cellIs" dxfId="4" priority="576" operator="lessThanOrEqual">
      <formula>G71</formula>
    </cfRule>
  </conditionalFormatting>
  <conditionalFormatting sqref="P72">
    <cfRule type="cellIs" dxfId="4" priority="581" operator="lessThanOrEqual">
      <formula>G72</formula>
    </cfRule>
  </conditionalFormatting>
  <conditionalFormatting sqref="P73">
    <cfRule type="cellIs" dxfId="4" priority="586" operator="lessThanOrEqual">
      <formula>G73</formula>
    </cfRule>
  </conditionalFormatting>
  <conditionalFormatting sqref="P74">
    <cfRule type="cellIs" dxfId="4" priority="591" operator="lessThanOrEqual">
      <formula>G74</formula>
    </cfRule>
  </conditionalFormatting>
  <conditionalFormatting sqref="P75">
    <cfRule type="cellIs" dxfId="4" priority="596" operator="lessThanOrEqual">
      <formula>G75</formula>
    </cfRule>
  </conditionalFormatting>
  <conditionalFormatting sqref="P76">
    <cfRule type="cellIs" dxfId="4" priority="601" operator="lessThanOrEqual">
      <formula>G76</formula>
    </cfRule>
  </conditionalFormatting>
  <conditionalFormatting sqref="P77">
    <cfRule type="cellIs" dxfId="4" priority="606" operator="lessThanOrEqual">
      <formula>G77</formula>
    </cfRule>
  </conditionalFormatting>
  <conditionalFormatting sqref="P78">
    <cfRule type="cellIs" dxfId="4" priority="611" operator="lessThanOrEqual">
      <formula>G78</formula>
    </cfRule>
  </conditionalFormatting>
  <conditionalFormatting sqref="P79">
    <cfRule type="cellIs" dxfId="4" priority="616" operator="lessThanOrEqual">
      <formula>G79</formula>
    </cfRule>
  </conditionalFormatting>
  <conditionalFormatting sqref="P8">
    <cfRule type="cellIs" dxfId="4" priority="326" operator="lessThanOrEqual">
      <formula>G8</formula>
    </cfRule>
  </conditionalFormatting>
  <conditionalFormatting sqref="P80">
    <cfRule type="cellIs" dxfId="4" priority="621" operator="lessThanOrEqual">
      <formula>G80</formula>
    </cfRule>
  </conditionalFormatting>
  <conditionalFormatting sqref="P83">
    <cfRule type="cellIs" dxfId="4" priority="626" operator="lessThanOrEqual">
      <formula>G83</formula>
    </cfRule>
  </conditionalFormatting>
  <conditionalFormatting sqref="P84">
    <cfRule type="cellIs" dxfId="4" priority="631" operator="lessThanOrEqual">
      <formula>G84</formula>
    </cfRule>
  </conditionalFormatting>
  <conditionalFormatting sqref="P85">
    <cfRule type="cellIs" dxfId="4" priority="636" operator="lessThanOrEqual">
      <formula>G85</formula>
    </cfRule>
  </conditionalFormatting>
  <conditionalFormatting sqref="P9">
    <cfRule type="cellIs" dxfId="4" priority="331" operator="lessThanOrEqual">
      <formula>G9</formula>
    </cfRule>
  </conditionalFormatting>
  <conditionalFormatting sqref="Q10">
    <cfRule type="cellIs" dxfId="4" priority="335" operator="lessThanOrEqual">
      <formula>H10</formula>
    </cfRule>
  </conditionalFormatting>
  <conditionalFormatting sqref="Q12">
    <cfRule type="cellIs" dxfId="4" priority="340" operator="lessThanOrEqual">
      <formula>H12</formula>
    </cfRule>
  </conditionalFormatting>
  <conditionalFormatting sqref="Q13">
    <cfRule type="cellIs" dxfId="4" priority="345" operator="lessThanOrEqual">
      <formula>H13</formula>
    </cfRule>
  </conditionalFormatting>
  <conditionalFormatting sqref="Q15">
    <cfRule type="cellIs" dxfId="4" priority="350" operator="lessThanOrEqual">
      <formula>H15</formula>
    </cfRule>
  </conditionalFormatting>
  <conditionalFormatting sqref="Q17">
    <cfRule type="cellIs" dxfId="4" priority="355" operator="lessThanOrEqual">
      <formula>H17</formula>
    </cfRule>
  </conditionalFormatting>
  <conditionalFormatting sqref="Q18">
    <cfRule type="cellIs" dxfId="4" priority="360" operator="lessThanOrEqual">
      <formula>H18</formula>
    </cfRule>
  </conditionalFormatting>
  <conditionalFormatting sqref="Q19">
    <cfRule type="cellIs" dxfId="4" priority="365" operator="lessThanOrEqual">
      <formula>H19</formula>
    </cfRule>
  </conditionalFormatting>
  <conditionalFormatting sqref="Q23">
    <cfRule type="cellIs" dxfId="4" priority="370" operator="lessThanOrEqual">
      <formula>H23</formula>
    </cfRule>
  </conditionalFormatting>
  <conditionalFormatting sqref="Q26">
    <cfRule type="cellIs" dxfId="4" priority="375" operator="lessThanOrEqual">
      <formula>H26</formula>
    </cfRule>
  </conditionalFormatting>
  <conditionalFormatting sqref="Q29">
    <cfRule type="cellIs" dxfId="4" priority="380" operator="lessThanOrEqual">
      <formula>H29</formula>
    </cfRule>
  </conditionalFormatting>
  <conditionalFormatting sqref="Q30">
    <cfRule type="cellIs" dxfId="4" priority="385" operator="lessThanOrEqual">
      <formula>H30</formula>
    </cfRule>
  </conditionalFormatting>
  <conditionalFormatting sqref="Q31">
    <cfRule type="cellIs" dxfId="4" priority="390" operator="lessThanOrEqual">
      <formula>H31</formula>
    </cfRule>
  </conditionalFormatting>
  <conditionalFormatting sqref="Q32">
    <cfRule type="cellIs" dxfId="4" priority="395" operator="lessThanOrEqual">
      <formula>H32</formula>
    </cfRule>
  </conditionalFormatting>
  <conditionalFormatting sqref="Q33">
    <cfRule type="cellIs" dxfId="4" priority="400" operator="lessThanOrEqual">
      <formula>H33</formula>
    </cfRule>
  </conditionalFormatting>
  <conditionalFormatting sqref="Q34">
    <cfRule type="cellIs" dxfId="4" priority="405" operator="lessThanOrEqual">
      <formula>H34</formula>
    </cfRule>
  </conditionalFormatting>
  <conditionalFormatting sqref="Q35">
    <cfRule type="cellIs" dxfId="4" priority="410" operator="lessThanOrEqual">
      <formula>H35</formula>
    </cfRule>
  </conditionalFormatting>
  <conditionalFormatting sqref="Q36">
    <cfRule type="cellIs" dxfId="4" priority="415" operator="lessThanOrEqual">
      <formula>H36</formula>
    </cfRule>
  </conditionalFormatting>
  <conditionalFormatting sqref="Q37">
    <cfRule type="cellIs" dxfId="4" priority="420" operator="lessThanOrEqual">
      <formula>H37</formula>
    </cfRule>
  </conditionalFormatting>
  <conditionalFormatting sqref="Q38">
    <cfRule type="cellIs" dxfId="4" priority="425" operator="lessThanOrEqual">
      <formula>H38</formula>
    </cfRule>
  </conditionalFormatting>
  <conditionalFormatting sqref="Q39">
    <cfRule type="cellIs" dxfId="4" priority="430" operator="lessThanOrEqual">
      <formula>H39</formula>
    </cfRule>
  </conditionalFormatting>
  <conditionalFormatting sqref="Q40">
    <cfRule type="cellIs" dxfId="4" priority="435" operator="lessThanOrEqual">
      <formula>H40</formula>
    </cfRule>
  </conditionalFormatting>
  <conditionalFormatting sqref="Q41">
    <cfRule type="cellIs" dxfId="4" priority="440" operator="lessThanOrEqual">
      <formula>H41</formula>
    </cfRule>
  </conditionalFormatting>
  <conditionalFormatting sqref="Q43">
    <cfRule type="cellIs" dxfId="4" priority="445" operator="lessThanOrEqual">
      <formula>H43</formula>
    </cfRule>
  </conditionalFormatting>
  <conditionalFormatting sqref="Q44">
    <cfRule type="cellIs" dxfId="4" priority="450" operator="lessThanOrEqual">
      <formula>H44</formula>
    </cfRule>
  </conditionalFormatting>
  <conditionalFormatting sqref="Q45">
    <cfRule type="cellIs" dxfId="4" priority="455" operator="lessThanOrEqual">
      <formula>H45</formula>
    </cfRule>
  </conditionalFormatting>
  <conditionalFormatting sqref="Q46">
    <cfRule type="cellIs" dxfId="4" priority="460" operator="lessThanOrEqual">
      <formula>H46</formula>
    </cfRule>
  </conditionalFormatting>
  <conditionalFormatting sqref="Q47">
    <cfRule type="cellIs" dxfId="4" priority="465" operator="lessThanOrEqual">
      <formula>H47</formula>
    </cfRule>
  </conditionalFormatting>
  <conditionalFormatting sqref="Q48">
    <cfRule type="cellIs" dxfId="4" priority="470" operator="lessThanOrEqual">
      <formula>H48</formula>
    </cfRule>
  </conditionalFormatting>
  <conditionalFormatting sqref="Q49">
    <cfRule type="cellIs" dxfId="4" priority="475" operator="lessThanOrEqual">
      <formula>H49</formula>
    </cfRule>
  </conditionalFormatting>
  <conditionalFormatting sqref="Q50">
    <cfRule type="cellIs" dxfId="4" priority="480" operator="lessThanOrEqual">
      <formula>H50</formula>
    </cfRule>
  </conditionalFormatting>
  <conditionalFormatting sqref="Q53">
    <cfRule type="cellIs" dxfId="4" priority="485" operator="lessThanOrEqual">
      <formula>H53</formula>
    </cfRule>
  </conditionalFormatting>
  <conditionalFormatting sqref="Q54">
    <cfRule type="cellIs" dxfId="4" priority="490" operator="lessThanOrEqual">
      <formula>H54</formula>
    </cfRule>
  </conditionalFormatting>
  <conditionalFormatting sqref="Q55">
    <cfRule type="cellIs" dxfId="4" priority="495" operator="lessThanOrEqual">
      <formula>H55</formula>
    </cfRule>
  </conditionalFormatting>
  <conditionalFormatting sqref="Q56">
    <cfRule type="cellIs" dxfId="4" priority="500" operator="lessThanOrEqual">
      <formula>H56</formula>
    </cfRule>
  </conditionalFormatting>
  <conditionalFormatting sqref="Q57">
    <cfRule type="cellIs" dxfId="4" priority="505" operator="lessThanOrEqual">
      <formula>H57</formula>
    </cfRule>
  </conditionalFormatting>
  <conditionalFormatting sqref="Q58">
    <cfRule type="cellIs" dxfId="4" priority="510" operator="lessThanOrEqual">
      <formula>H58</formula>
    </cfRule>
  </conditionalFormatting>
  <conditionalFormatting sqref="Q59">
    <cfRule type="cellIs" dxfId="4" priority="515" operator="lessThanOrEqual">
      <formula>H59</formula>
    </cfRule>
  </conditionalFormatting>
  <conditionalFormatting sqref="Q60">
    <cfRule type="cellIs" dxfId="4" priority="520" operator="lessThanOrEqual">
      <formula>H60</formula>
    </cfRule>
  </conditionalFormatting>
  <conditionalFormatting sqref="Q61">
    <cfRule type="cellIs" dxfId="4" priority="525" operator="lessThanOrEqual">
      <formula>H61</formula>
    </cfRule>
  </conditionalFormatting>
  <conditionalFormatting sqref="Q62">
    <cfRule type="cellIs" dxfId="4" priority="530" operator="lessThanOrEqual">
      <formula>H62</formula>
    </cfRule>
  </conditionalFormatting>
  <conditionalFormatting sqref="Q63">
    <cfRule type="cellIs" dxfId="4" priority="535" operator="lessThanOrEqual">
      <formula>H63</formula>
    </cfRule>
  </conditionalFormatting>
  <conditionalFormatting sqref="Q64">
    <cfRule type="cellIs" dxfId="4" priority="540" operator="lessThanOrEqual">
      <formula>H64</formula>
    </cfRule>
  </conditionalFormatting>
  <conditionalFormatting sqref="Q65">
    <cfRule type="cellIs" dxfId="4" priority="545" operator="lessThanOrEqual">
      <formula>H65</formula>
    </cfRule>
  </conditionalFormatting>
  <conditionalFormatting sqref="Q66">
    <cfRule type="cellIs" dxfId="4" priority="550" operator="lessThanOrEqual">
      <formula>H66</formula>
    </cfRule>
  </conditionalFormatting>
  <conditionalFormatting sqref="Q67">
    <cfRule type="cellIs" dxfId="4" priority="555" operator="lessThanOrEqual">
      <formula>H67</formula>
    </cfRule>
  </conditionalFormatting>
  <conditionalFormatting sqref="Q68">
    <cfRule type="cellIs" dxfId="4" priority="560" operator="lessThanOrEqual">
      <formula>H68</formula>
    </cfRule>
  </conditionalFormatting>
  <conditionalFormatting sqref="Q69">
    <cfRule type="cellIs" dxfId="4" priority="565" operator="lessThanOrEqual">
      <formula>H69</formula>
    </cfRule>
  </conditionalFormatting>
  <conditionalFormatting sqref="Q7">
    <cfRule type="cellIs" dxfId="4" priority="320" operator="lessThanOrEqual">
      <formula>H7</formula>
    </cfRule>
  </conditionalFormatting>
  <conditionalFormatting sqref="Q70">
    <cfRule type="cellIs" dxfId="4" priority="570" operator="lessThanOrEqual">
      <formula>H70</formula>
    </cfRule>
  </conditionalFormatting>
  <conditionalFormatting sqref="Q71">
    <cfRule type="cellIs" dxfId="4" priority="575" operator="lessThanOrEqual">
      <formula>H71</formula>
    </cfRule>
  </conditionalFormatting>
  <conditionalFormatting sqref="Q72">
    <cfRule type="cellIs" dxfId="4" priority="580" operator="lessThanOrEqual">
      <formula>H72</formula>
    </cfRule>
  </conditionalFormatting>
  <conditionalFormatting sqref="Q73">
    <cfRule type="cellIs" dxfId="4" priority="585" operator="lessThanOrEqual">
      <formula>H73</formula>
    </cfRule>
  </conditionalFormatting>
  <conditionalFormatting sqref="Q74">
    <cfRule type="cellIs" dxfId="4" priority="590" operator="lessThanOrEqual">
      <formula>H74</formula>
    </cfRule>
  </conditionalFormatting>
  <conditionalFormatting sqref="Q75">
    <cfRule type="cellIs" dxfId="4" priority="595" operator="lessThanOrEqual">
      <formula>H75</formula>
    </cfRule>
  </conditionalFormatting>
  <conditionalFormatting sqref="Q76">
    <cfRule type="cellIs" dxfId="4" priority="600" operator="lessThanOrEqual">
      <formula>H76</formula>
    </cfRule>
  </conditionalFormatting>
  <conditionalFormatting sqref="Q77">
    <cfRule type="cellIs" dxfId="4" priority="605" operator="lessThanOrEqual">
      <formula>H77</formula>
    </cfRule>
  </conditionalFormatting>
  <conditionalFormatting sqref="Q78">
    <cfRule type="cellIs" dxfId="4" priority="610" operator="lessThanOrEqual">
      <formula>H78</formula>
    </cfRule>
  </conditionalFormatting>
  <conditionalFormatting sqref="Q79">
    <cfRule type="cellIs" dxfId="4" priority="615" operator="lessThanOrEqual">
      <formula>H79</formula>
    </cfRule>
  </conditionalFormatting>
  <conditionalFormatting sqref="Q8">
    <cfRule type="cellIs" dxfId="4" priority="325" operator="lessThanOrEqual">
      <formula>H8</formula>
    </cfRule>
  </conditionalFormatting>
  <conditionalFormatting sqref="Q80">
    <cfRule type="cellIs" dxfId="4" priority="620" operator="lessThanOrEqual">
      <formula>H80</formula>
    </cfRule>
  </conditionalFormatting>
  <conditionalFormatting sqref="Q83">
    <cfRule type="cellIs" dxfId="4" priority="625" operator="lessThanOrEqual">
      <formula>H83</formula>
    </cfRule>
  </conditionalFormatting>
  <conditionalFormatting sqref="Q84">
    <cfRule type="cellIs" dxfId="4" priority="630" operator="lessThanOrEqual">
      <formula>H84</formula>
    </cfRule>
  </conditionalFormatting>
  <conditionalFormatting sqref="Q85">
    <cfRule type="cellIs" dxfId="4" priority="635" operator="lessThanOrEqual">
      <formula>H85</formula>
    </cfRule>
  </conditionalFormatting>
  <conditionalFormatting sqref="Q9">
    <cfRule type="cellIs" dxfId="4" priority="330" operator="lessThanOrEqual">
      <formula>H9</formula>
    </cfRule>
  </conditionalFormatting>
  <conditionalFormatting sqref="S10">
    <cfRule type="cellIs" dxfId="1" priority="655" operator="equal">
      <formula>0</formula>
    </cfRule>
    <cfRule type="cellIs" dxfId="2" priority="656" operator="lessThan">
      <formula>F10</formula>
    </cfRule>
  </conditionalFormatting>
  <conditionalFormatting sqref="S12">
    <cfRule type="cellIs" dxfId="1" priority="661" operator="equal">
      <formula>0</formula>
    </cfRule>
    <cfRule type="cellIs" dxfId="2" priority="662" operator="lessThan">
      <formula>F12</formula>
    </cfRule>
  </conditionalFormatting>
  <conditionalFormatting sqref="S13">
    <cfRule type="cellIs" dxfId="1" priority="667" operator="equal">
      <formula>0</formula>
    </cfRule>
    <cfRule type="cellIs" dxfId="2" priority="668" operator="lessThan">
      <formula>F13</formula>
    </cfRule>
  </conditionalFormatting>
  <conditionalFormatting sqref="S15">
    <cfRule type="cellIs" dxfId="1" priority="672" operator="equal">
      <formula>0</formula>
    </cfRule>
    <cfRule type="cellIs" dxfId="2" priority="673" operator="lessThan">
      <formula>F15</formula>
    </cfRule>
  </conditionalFormatting>
  <conditionalFormatting sqref="S17">
    <cfRule type="cellIs" dxfId="1" priority="677" operator="equal">
      <formula>0</formula>
    </cfRule>
    <cfRule type="cellIs" dxfId="2" priority="678" operator="lessThan">
      <formula>F17</formula>
    </cfRule>
  </conditionalFormatting>
  <conditionalFormatting sqref="S18">
    <cfRule type="cellIs" dxfId="1" priority="683" operator="equal">
      <formula>0</formula>
    </cfRule>
    <cfRule type="cellIs" dxfId="2" priority="684" operator="lessThan">
      <formula>F18</formula>
    </cfRule>
  </conditionalFormatting>
  <conditionalFormatting sqref="S33">
    <cfRule type="cellIs" dxfId="1" priority="688" operator="equal">
      <formula>0</formula>
    </cfRule>
    <cfRule type="cellIs" dxfId="2" priority="689" operator="lessThan">
      <formula>F33</formula>
    </cfRule>
  </conditionalFormatting>
  <conditionalFormatting sqref="S34">
    <cfRule type="cellIs" dxfId="1" priority="693" operator="equal">
      <formula>0</formula>
    </cfRule>
    <cfRule type="cellIs" dxfId="2" priority="694" operator="lessThan">
      <formula>F34</formula>
    </cfRule>
  </conditionalFormatting>
  <conditionalFormatting sqref="S35">
    <cfRule type="cellIs" dxfId="1" priority="699" operator="equal">
      <formula>0</formula>
    </cfRule>
    <cfRule type="cellIs" dxfId="2" priority="700" operator="lessThan">
      <formula>F35</formula>
    </cfRule>
  </conditionalFormatting>
  <conditionalFormatting sqref="S36">
    <cfRule type="cellIs" dxfId="1" priority="705" operator="equal">
      <formula>0</formula>
    </cfRule>
    <cfRule type="cellIs" dxfId="2" priority="706" operator="lessThan">
      <formula>F36</formula>
    </cfRule>
  </conditionalFormatting>
  <conditionalFormatting sqref="S38">
    <cfRule type="cellIs" dxfId="1" priority="711" operator="equal">
      <formula>0</formula>
    </cfRule>
    <cfRule type="cellIs" dxfId="2" priority="712" operator="lessThan">
      <formula>F38</formula>
    </cfRule>
  </conditionalFormatting>
  <conditionalFormatting sqref="S39">
    <cfRule type="cellIs" dxfId="1" priority="717" operator="equal">
      <formula>0</formula>
    </cfRule>
    <cfRule type="cellIs" dxfId="2" priority="718" operator="lessThan">
      <formula>F39</formula>
    </cfRule>
  </conditionalFormatting>
  <conditionalFormatting sqref="S41">
    <cfRule type="cellIs" dxfId="1" priority="723" operator="equal">
      <formula>0</formula>
    </cfRule>
    <cfRule type="cellIs" dxfId="2" priority="724" operator="lessThan">
      <formula>F41</formula>
    </cfRule>
  </conditionalFormatting>
  <conditionalFormatting sqref="S45">
    <cfRule type="cellIs" dxfId="1" priority="729" operator="equal">
      <formula>0</formula>
    </cfRule>
    <cfRule type="cellIs" dxfId="2" priority="730" operator="lessThan">
      <formula>F45</formula>
    </cfRule>
  </conditionalFormatting>
  <conditionalFormatting sqref="S46">
    <cfRule type="cellIs" dxfId="1" priority="735" operator="equal">
      <formula>0</formula>
    </cfRule>
    <cfRule type="cellIs" dxfId="2" priority="736" operator="lessThan">
      <formula>F46</formula>
    </cfRule>
  </conditionalFormatting>
  <conditionalFormatting sqref="S47">
    <cfRule type="cellIs" dxfId="1" priority="741" operator="equal">
      <formula>0</formula>
    </cfRule>
    <cfRule type="cellIs" dxfId="2" priority="742" operator="lessThan">
      <formula>F47</formula>
    </cfRule>
  </conditionalFormatting>
  <conditionalFormatting sqref="S48">
    <cfRule type="cellIs" dxfId="1" priority="747" operator="equal">
      <formula>0</formula>
    </cfRule>
    <cfRule type="cellIs" dxfId="2" priority="748" operator="lessThan">
      <formula>F48</formula>
    </cfRule>
  </conditionalFormatting>
  <conditionalFormatting sqref="S49">
    <cfRule type="cellIs" dxfId="1" priority="753" operator="equal">
      <formula>0</formula>
    </cfRule>
    <cfRule type="cellIs" dxfId="2" priority="754" operator="lessThan">
      <formula>F49</formula>
    </cfRule>
  </conditionalFormatting>
  <conditionalFormatting sqref="S53">
    <cfRule type="cellIs" dxfId="1" priority="759" operator="equal">
      <formula>0</formula>
    </cfRule>
    <cfRule type="cellIs" dxfId="2" priority="760" operator="lessThan">
      <formula>F53</formula>
    </cfRule>
  </conditionalFormatting>
  <conditionalFormatting sqref="S54">
    <cfRule type="cellIs" dxfId="1" priority="765" operator="equal">
      <formula>0</formula>
    </cfRule>
    <cfRule type="cellIs" dxfId="2" priority="766" operator="lessThan">
      <formula>F54</formula>
    </cfRule>
  </conditionalFormatting>
  <conditionalFormatting sqref="S57">
    <cfRule type="cellIs" dxfId="1" priority="771" operator="equal">
      <formula>0</formula>
    </cfRule>
    <cfRule type="cellIs" dxfId="2" priority="772" operator="lessThan">
      <formula>F57</formula>
    </cfRule>
  </conditionalFormatting>
  <conditionalFormatting sqref="S58">
    <cfRule type="cellIs" dxfId="1" priority="777" operator="equal">
      <formula>0</formula>
    </cfRule>
    <cfRule type="cellIs" dxfId="2" priority="778" operator="lessThan">
      <formula>F58</formula>
    </cfRule>
  </conditionalFormatting>
  <conditionalFormatting sqref="S61">
    <cfRule type="cellIs" dxfId="1" priority="783" operator="equal">
      <formula>0</formula>
    </cfRule>
    <cfRule type="cellIs" dxfId="2" priority="784" operator="lessThan">
      <formula>F61</formula>
    </cfRule>
  </conditionalFormatting>
  <conditionalFormatting sqref="S63">
    <cfRule type="cellIs" dxfId="1" priority="788" operator="equal">
      <formula>0</formula>
    </cfRule>
    <cfRule type="cellIs" dxfId="2" priority="789" operator="lessThan">
      <formula>F63</formula>
    </cfRule>
  </conditionalFormatting>
  <conditionalFormatting sqref="S64">
    <cfRule type="cellIs" dxfId="1" priority="793" operator="equal">
      <formula>0</formula>
    </cfRule>
    <cfRule type="cellIs" dxfId="2" priority="794" operator="lessThan">
      <formula>F64</formula>
    </cfRule>
  </conditionalFormatting>
  <conditionalFormatting sqref="S65">
    <cfRule type="cellIs" dxfId="1" priority="798" operator="equal">
      <formula>0</formula>
    </cfRule>
    <cfRule type="cellIs" dxfId="2" priority="799" operator="lessThan">
      <formula>F65</formula>
    </cfRule>
  </conditionalFormatting>
  <conditionalFormatting sqref="S66">
    <cfRule type="cellIs" dxfId="1" priority="804" operator="equal">
      <formula>0</formula>
    </cfRule>
    <cfRule type="cellIs" dxfId="2" priority="805" operator="lessThan">
      <formula>F66</formula>
    </cfRule>
  </conditionalFormatting>
  <conditionalFormatting sqref="S67">
    <cfRule type="cellIs" dxfId="1" priority="809" operator="equal">
      <formula>0</formula>
    </cfRule>
    <cfRule type="cellIs" dxfId="2" priority="810" operator="lessThan">
      <formula>F67</formula>
    </cfRule>
  </conditionalFormatting>
  <conditionalFormatting sqref="S68">
    <cfRule type="cellIs" dxfId="1" priority="814" operator="equal">
      <formula>0</formula>
    </cfRule>
    <cfRule type="cellIs" dxfId="2" priority="815" operator="lessThan">
      <formula>F68</formula>
    </cfRule>
  </conditionalFormatting>
  <conditionalFormatting sqref="S7">
    <cfRule type="cellIs" dxfId="1" priority="637" operator="equal">
      <formula>0</formula>
    </cfRule>
    <cfRule type="cellIs" dxfId="2" priority="638" operator="lessThan">
      <formula>F7</formula>
    </cfRule>
  </conditionalFormatting>
  <conditionalFormatting sqref="S70">
    <cfRule type="cellIs" dxfId="1" priority="819" operator="equal">
      <formula>0</formula>
    </cfRule>
    <cfRule type="cellIs" dxfId="2" priority="820" operator="lessThan">
      <formula>F70</formula>
    </cfRule>
  </conditionalFormatting>
  <conditionalFormatting sqref="S75">
    <cfRule type="cellIs" dxfId="1" priority="825" operator="equal">
      <formula>0</formula>
    </cfRule>
    <cfRule type="cellIs" dxfId="2" priority="826" operator="lessThan">
      <formula>F75</formula>
    </cfRule>
  </conditionalFormatting>
  <conditionalFormatting sqref="S78">
    <cfRule type="cellIs" dxfId="1" priority="830" operator="equal">
      <formula>0</formula>
    </cfRule>
    <cfRule type="cellIs" dxfId="2" priority="831" operator="lessThan">
      <formula>F78</formula>
    </cfRule>
  </conditionalFormatting>
  <conditionalFormatting sqref="S79">
    <cfRule type="cellIs" dxfId="1" priority="835" operator="equal">
      <formula>0</formula>
    </cfRule>
    <cfRule type="cellIs" dxfId="2" priority="836" operator="lessThan">
      <formula>F79</formula>
    </cfRule>
  </conditionalFormatting>
  <conditionalFormatting sqref="S8">
    <cfRule type="cellIs" dxfId="1" priority="643" operator="equal">
      <formula>0</formula>
    </cfRule>
    <cfRule type="cellIs" dxfId="2" priority="644" operator="lessThan">
      <formula>F8</formula>
    </cfRule>
  </conditionalFormatting>
  <conditionalFormatting sqref="S80">
    <cfRule type="cellIs" dxfId="1" priority="841" operator="equal">
      <formula>0</formula>
    </cfRule>
    <cfRule type="cellIs" dxfId="2" priority="842" operator="lessThan">
      <formula>F80</formula>
    </cfRule>
  </conditionalFormatting>
  <conditionalFormatting sqref="S83">
    <cfRule type="cellIs" dxfId="1" priority="847" operator="equal">
      <formula>0</formula>
    </cfRule>
    <cfRule type="cellIs" dxfId="2" priority="848" operator="lessThan">
      <formula>F83</formula>
    </cfRule>
  </conditionalFormatting>
  <conditionalFormatting sqref="S84">
    <cfRule type="cellIs" dxfId="1" priority="853" operator="equal">
      <formula>0</formula>
    </cfRule>
    <cfRule type="cellIs" dxfId="2" priority="854" operator="lessThan">
      <formula>F84</formula>
    </cfRule>
  </conditionalFormatting>
  <conditionalFormatting sqref="S85">
    <cfRule type="cellIs" dxfId="1" priority="859" operator="equal">
      <formula>0</formula>
    </cfRule>
    <cfRule type="cellIs" dxfId="2" priority="860" operator="lessThan">
      <formula>F85</formula>
    </cfRule>
  </conditionalFormatting>
  <conditionalFormatting sqref="S9">
    <cfRule type="cellIs" dxfId="1" priority="649" operator="equal">
      <formula>0</formula>
    </cfRule>
    <cfRule type="cellIs" dxfId="2" priority="650" operator="lessThan">
      <formula>F9</formula>
    </cfRule>
  </conditionalFormatting>
  <conditionalFormatting sqref="T10">
    <cfRule type="expression" dxfId="3" priority="657">
      <formula>AND(T10&gt;0,T10&lt;4000)</formula>
    </cfRule>
    <cfRule type="cellIs" dxfId="1" priority="658" operator="greaterThan">
      <formula>S10</formula>
    </cfRule>
  </conditionalFormatting>
  <conditionalFormatting sqref="T12">
    <cfRule type="expression" dxfId="3" priority="663">
      <formula>AND(T12&gt;0,T12&lt;10)</formula>
    </cfRule>
    <cfRule type="cellIs" dxfId="1" priority="664" operator="greaterThan">
      <formula>S12</formula>
    </cfRule>
  </conditionalFormatting>
  <conditionalFormatting sqref="T13">
    <cfRule type="cellIs" dxfId="1" priority="669" operator="greaterThan">
      <formula>S13</formula>
    </cfRule>
  </conditionalFormatting>
  <conditionalFormatting sqref="T15">
    <cfRule type="cellIs" dxfId="1" priority="674" operator="greaterThan">
      <formula>S15</formula>
    </cfRule>
  </conditionalFormatting>
  <conditionalFormatting sqref="T17">
    <cfRule type="expression" dxfId="3" priority="679">
      <formula>AND(T17&gt;0,T17&lt;3000)</formula>
    </cfRule>
    <cfRule type="cellIs" dxfId="1" priority="680" operator="greaterThan">
      <formula>S17</formula>
    </cfRule>
  </conditionalFormatting>
  <conditionalFormatting sqref="T18">
    <cfRule type="cellIs" dxfId="1" priority="685" operator="greaterThan">
      <formula>S18</formula>
    </cfRule>
  </conditionalFormatting>
  <conditionalFormatting sqref="T33">
    <cfRule type="cellIs" dxfId="1" priority="690" operator="greaterThan">
      <formula>S33</formula>
    </cfRule>
  </conditionalFormatting>
  <conditionalFormatting sqref="T34">
    <cfRule type="expression" dxfId="3" priority="695">
      <formula>AND(T34&gt;0,T34&lt;5)</formula>
    </cfRule>
    <cfRule type="cellIs" dxfId="1" priority="696" operator="greaterThan">
      <formula>S34</formula>
    </cfRule>
  </conditionalFormatting>
  <conditionalFormatting sqref="T35">
    <cfRule type="expression" dxfId="3" priority="701">
      <formula>AND(T35&gt;0,T35&lt;10)</formula>
    </cfRule>
    <cfRule type="cellIs" dxfId="1" priority="702" operator="greaterThan">
      <formula>S35</formula>
    </cfRule>
  </conditionalFormatting>
  <conditionalFormatting sqref="T36">
    <cfRule type="expression" dxfId="3" priority="707">
      <formula>AND(T36&gt;0,T36&lt;10)</formula>
    </cfRule>
    <cfRule type="cellIs" dxfId="1" priority="708" operator="greaterThan">
      <formula>S36</formula>
    </cfRule>
  </conditionalFormatting>
  <conditionalFormatting sqref="T38">
    <cfRule type="expression" dxfId="3" priority="713">
      <formula>AND(T38&gt;0,T38&lt;10)</formula>
    </cfRule>
    <cfRule type="cellIs" dxfId="1" priority="714" operator="greaterThan">
      <formula>S38</formula>
    </cfRule>
  </conditionalFormatting>
  <conditionalFormatting sqref="T39">
    <cfRule type="expression" dxfId="3" priority="719">
      <formula>AND(T39&gt;0,T39&lt;10)</formula>
    </cfRule>
    <cfRule type="cellIs" dxfId="1" priority="720" operator="greaterThan">
      <formula>S39</formula>
    </cfRule>
  </conditionalFormatting>
  <conditionalFormatting sqref="T41">
    <cfRule type="expression" dxfId="3" priority="725">
      <formula>AND(T41&gt;0,T41&lt;10)</formula>
    </cfRule>
    <cfRule type="cellIs" dxfId="1" priority="726" operator="greaterThan">
      <formula>S41</formula>
    </cfRule>
  </conditionalFormatting>
  <conditionalFormatting sqref="T45">
    <cfRule type="expression" dxfId="3" priority="731">
      <formula>AND(T45&gt;0,T45&lt;10)</formula>
    </cfRule>
    <cfRule type="cellIs" dxfId="1" priority="732" operator="greaterThan">
      <formula>S45</formula>
    </cfRule>
  </conditionalFormatting>
  <conditionalFormatting sqref="T46">
    <cfRule type="expression" dxfId="3" priority="737">
      <formula>AND(T46&gt;0,T46&lt;10)</formula>
    </cfRule>
    <cfRule type="cellIs" dxfId="1" priority="738" operator="greaterThan">
      <formula>S46</formula>
    </cfRule>
  </conditionalFormatting>
  <conditionalFormatting sqref="T47">
    <cfRule type="expression" dxfId="3" priority="743">
      <formula>AND(T47&gt;0,T47&lt;10)</formula>
    </cfRule>
    <cfRule type="cellIs" dxfId="1" priority="744" operator="greaterThan">
      <formula>S47</formula>
    </cfRule>
  </conditionalFormatting>
  <conditionalFormatting sqref="T48">
    <cfRule type="expression" dxfId="3" priority="749">
      <formula>AND(T48&gt;0,T48&lt;10)</formula>
    </cfRule>
    <cfRule type="cellIs" dxfId="1" priority="750" operator="greaterThan">
      <formula>S48</formula>
    </cfRule>
  </conditionalFormatting>
  <conditionalFormatting sqref="T49">
    <cfRule type="expression" dxfId="3" priority="755">
      <formula>AND(T49&gt;0,T49&lt;10)</formula>
    </cfRule>
    <cfRule type="cellIs" dxfId="1" priority="756" operator="greaterThan">
      <formula>S49</formula>
    </cfRule>
  </conditionalFormatting>
  <conditionalFormatting sqref="T53">
    <cfRule type="expression" dxfId="3" priority="761">
      <formula>AND(T53&gt;0,T53&lt;10)</formula>
    </cfRule>
    <cfRule type="cellIs" dxfId="1" priority="762" operator="greaterThan">
      <formula>S53</formula>
    </cfRule>
  </conditionalFormatting>
  <conditionalFormatting sqref="T54">
    <cfRule type="expression" dxfId="3" priority="767">
      <formula>AND(T54&gt;0,T54&lt;10)</formula>
    </cfRule>
    <cfRule type="cellIs" dxfId="1" priority="768" operator="greaterThan">
      <formula>S54</formula>
    </cfRule>
  </conditionalFormatting>
  <conditionalFormatting sqref="T57">
    <cfRule type="expression" dxfId="3" priority="773">
      <formula>AND(T57&gt;0,T57&lt;10)</formula>
    </cfRule>
    <cfRule type="cellIs" dxfId="1" priority="774" operator="greaterThan">
      <formula>S57</formula>
    </cfRule>
  </conditionalFormatting>
  <conditionalFormatting sqref="T58">
    <cfRule type="expression" dxfId="3" priority="779">
      <formula>AND(T58&gt;0,T58&lt;10)</formula>
    </cfRule>
    <cfRule type="cellIs" dxfId="1" priority="780" operator="greaterThan">
      <formula>S58</formula>
    </cfRule>
  </conditionalFormatting>
  <conditionalFormatting sqref="T61">
    <cfRule type="cellIs" dxfId="1" priority="785" operator="greaterThan">
      <formula>S61</formula>
    </cfRule>
  </conditionalFormatting>
  <conditionalFormatting sqref="T63">
    <cfRule type="cellIs" dxfId="1" priority="790" operator="greaterThan">
      <formula>S63</formula>
    </cfRule>
  </conditionalFormatting>
  <conditionalFormatting sqref="T64">
    <cfRule type="cellIs" dxfId="1" priority="795" operator="greaterThan">
      <formula>S64</formula>
    </cfRule>
  </conditionalFormatting>
  <conditionalFormatting sqref="T65">
    <cfRule type="expression" dxfId="3" priority="800">
      <formula>AND(T65&gt;0,T65&lt;2500)</formula>
    </cfRule>
    <cfRule type="cellIs" dxfId="1" priority="801" operator="greaterThan">
      <formula>S65</formula>
    </cfRule>
  </conditionalFormatting>
  <conditionalFormatting sqref="T66">
    <cfRule type="cellIs" dxfId="1" priority="806" operator="greaterThan">
      <formula>S66</formula>
    </cfRule>
  </conditionalFormatting>
  <conditionalFormatting sqref="T67">
    <cfRule type="cellIs" dxfId="1" priority="811" operator="greaterThan">
      <formula>S67</formula>
    </cfRule>
  </conditionalFormatting>
  <conditionalFormatting sqref="T68">
    <cfRule type="cellIs" dxfId="1" priority="816" operator="greaterThan">
      <formula>S68</formula>
    </cfRule>
  </conditionalFormatting>
  <conditionalFormatting sqref="T7">
    <cfRule type="expression" dxfId="3" priority="639">
      <formula>AND(T7&gt;0,T7&lt;4000)</formula>
    </cfRule>
    <cfRule type="cellIs" dxfId="1" priority="640" operator="greaterThan">
      <formula>S7</formula>
    </cfRule>
  </conditionalFormatting>
  <conditionalFormatting sqref="T70">
    <cfRule type="expression" dxfId="3" priority="821">
      <formula>AND(T70&gt;0,T70&lt;5)</formula>
    </cfRule>
    <cfRule type="cellIs" dxfId="1" priority="822" operator="greaterThan">
      <formula>S70</formula>
    </cfRule>
  </conditionalFormatting>
  <conditionalFormatting sqref="T75">
    <cfRule type="cellIs" dxfId="1" priority="827" operator="greaterThan">
      <formula>S75</formula>
    </cfRule>
  </conditionalFormatting>
  <conditionalFormatting sqref="T78">
    <cfRule type="cellIs" dxfId="1" priority="832" operator="greaterThan">
      <formula>S78</formula>
    </cfRule>
  </conditionalFormatting>
  <conditionalFormatting sqref="T79">
    <cfRule type="expression" dxfId="3" priority="837">
      <formula>AND(T79&gt;0,T79&lt;10)</formula>
    </cfRule>
    <cfRule type="cellIs" dxfId="1" priority="838" operator="greaterThan">
      <formula>S79</formula>
    </cfRule>
  </conditionalFormatting>
  <conditionalFormatting sqref="T8">
    <cfRule type="expression" dxfId="3" priority="645">
      <formula>AND(T8&gt;0,T8&lt;10)</formula>
    </cfRule>
    <cfRule type="cellIs" dxfId="1" priority="646" operator="greaterThan">
      <formula>S8</formula>
    </cfRule>
  </conditionalFormatting>
  <conditionalFormatting sqref="T80">
    <cfRule type="expression" dxfId="3" priority="843">
      <formula>AND(T80&gt;0,T80&lt;10)</formula>
    </cfRule>
    <cfRule type="cellIs" dxfId="1" priority="844" operator="greaterThan">
      <formula>S80</formula>
    </cfRule>
  </conditionalFormatting>
  <conditionalFormatting sqref="T83">
    <cfRule type="expression" dxfId="3" priority="849">
      <formula>AND(T83&gt;0,T83&lt;10)</formula>
    </cfRule>
    <cfRule type="cellIs" dxfId="1" priority="850" operator="greaterThan">
      <formula>S83</formula>
    </cfRule>
  </conditionalFormatting>
  <conditionalFormatting sqref="T84">
    <cfRule type="expression" dxfId="3" priority="855">
      <formula>AND(T84&gt;0,T84&lt;10)</formula>
    </cfRule>
    <cfRule type="cellIs" dxfId="1" priority="856" operator="greaterThan">
      <formula>S84</formula>
    </cfRule>
  </conditionalFormatting>
  <conditionalFormatting sqref="T85">
    <cfRule type="expression" dxfId="3" priority="861">
      <formula>AND(T85&gt;0,T85&lt;10)</formula>
    </cfRule>
    <cfRule type="cellIs" dxfId="1" priority="862" operator="greaterThan">
      <formula>S85</formula>
    </cfRule>
  </conditionalFormatting>
  <conditionalFormatting sqref="T9">
    <cfRule type="expression" dxfId="3" priority="651">
      <formula>AND(T9&gt;0,T9&lt;4000)</formula>
    </cfRule>
    <cfRule type="cellIs" dxfId="1" priority="652" operator="greaterThan">
      <formula>S9</formula>
    </cfRule>
  </conditionalFormatting>
  <conditionalFormatting sqref="U10">
    <cfRule type="cellIs" dxfId="4" priority="660" operator="lessThanOrEqual">
      <formula>G10</formula>
    </cfRule>
  </conditionalFormatting>
  <conditionalFormatting sqref="U12">
    <cfRule type="cellIs" dxfId="4" priority="666" operator="lessThanOrEqual">
      <formula>G12</formula>
    </cfRule>
  </conditionalFormatting>
  <conditionalFormatting sqref="U13">
    <cfRule type="cellIs" dxfId="4" priority="671" operator="lessThanOrEqual">
      <formula>G13</formula>
    </cfRule>
  </conditionalFormatting>
  <conditionalFormatting sqref="U15">
    <cfRule type="cellIs" dxfId="4" priority="676" operator="lessThanOrEqual">
      <formula>G15</formula>
    </cfRule>
  </conditionalFormatting>
  <conditionalFormatting sqref="U17">
    <cfRule type="cellIs" dxfId="4" priority="682" operator="lessThanOrEqual">
      <formula>G17</formula>
    </cfRule>
  </conditionalFormatting>
  <conditionalFormatting sqref="U18">
    <cfRule type="cellIs" dxfId="4" priority="687" operator="lessThanOrEqual">
      <formula>G18</formula>
    </cfRule>
  </conditionalFormatting>
  <conditionalFormatting sqref="U33">
    <cfRule type="cellIs" dxfId="4" priority="692" operator="lessThanOrEqual">
      <formula>G33</formula>
    </cfRule>
  </conditionalFormatting>
  <conditionalFormatting sqref="U34">
    <cfRule type="cellIs" dxfId="4" priority="698" operator="lessThanOrEqual">
      <formula>G34</formula>
    </cfRule>
  </conditionalFormatting>
  <conditionalFormatting sqref="U35">
    <cfRule type="cellIs" dxfId="4" priority="704" operator="lessThanOrEqual">
      <formula>G35</formula>
    </cfRule>
  </conditionalFormatting>
  <conditionalFormatting sqref="U36">
    <cfRule type="cellIs" dxfId="4" priority="710" operator="lessThanOrEqual">
      <formula>G36</formula>
    </cfRule>
  </conditionalFormatting>
  <conditionalFormatting sqref="U38">
    <cfRule type="cellIs" dxfId="4" priority="716" operator="lessThanOrEqual">
      <formula>G38</formula>
    </cfRule>
  </conditionalFormatting>
  <conditionalFormatting sqref="U39">
    <cfRule type="cellIs" dxfId="4" priority="722" operator="lessThanOrEqual">
      <formula>G39</formula>
    </cfRule>
  </conditionalFormatting>
  <conditionalFormatting sqref="U41">
    <cfRule type="cellIs" dxfId="4" priority="728" operator="lessThanOrEqual">
      <formula>G41</formula>
    </cfRule>
  </conditionalFormatting>
  <conditionalFormatting sqref="U45">
    <cfRule type="cellIs" dxfId="4" priority="734" operator="lessThanOrEqual">
      <formula>G45</formula>
    </cfRule>
  </conditionalFormatting>
  <conditionalFormatting sqref="U46">
    <cfRule type="cellIs" dxfId="4" priority="740" operator="lessThanOrEqual">
      <formula>G46</formula>
    </cfRule>
  </conditionalFormatting>
  <conditionalFormatting sqref="U47">
    <cfRule type="cellIs" dxfId="4" priority="746" operator="lessThanOrEqual">
      <formula>G47</formula>
    </cfRule>
  </conditionalFormatting>
  <conditionalFormatting sqref="U48">
    <cfRule type="cellIs" dxfId="4" priority="752" operator="lessThanOrEqual">
      <formula>G48</formula>
    </cfRule>
  </conditionalFormatting>
  <conditionalFormatting sqref="U49">
    <cfRule type="cellIs" dxfId="4" priority="758" operator="lessThanOrEqual">
      <formula>G49</formula>
    </cfRule>
  </conditionalFormatting>
  <conditionalFormatting sqref="U53">
    <cfRule type="cellIs" dxfId="4" priority="764" operator="lessThanOrEqual">
      <formula>G53</formula>
    </cfRule>
  </conditionalFormatting>
  <conditionalFormatting sqref="U54">
    <cfRule type="cellIs" dxfId="4" priority="770" operator="lessThanOrEqual">
      <formula>G54</formula>
    </cfRule>
  </conditionalFormatting>
  <conditionalFormatting sqref="U57">
    <cfRule type="cellIs" dxfId="4" priority="776" operator="lessThanOrEqual">
      <formula>G57</formula>
    </cfRule>
  </conditionalFormatting>
  <conditionalFormatting sqref="U58">
    <cfRule type="cellIs" dxfId="4" priority="782" operator="lessThanOrEqual">
      <formula>G58</formula>
    </cfRule>
  </conditionalFormatting>
  <conditionalFormatting sqref="U61">
    <cfRule type="cellIs" dxfId="4" priority="787" operator="lessThanOrEqual">
      <formula>G61</formula>
    </cfRule>
  </conditionalFormatting>
  <conditionalFormatting sqref="U63">
    <cfRule type="cellIs" dxfId="4" priority="792" operator="lessThanOrEqual">
      <formula>G63</formula>
    </cfRule>
  </conditionalFormatting>
  <conditionalFormatting sqref="U64">
    <cfRule type="cellIs" dxfId="4" priority="797" operator="lessThanOrEqual">
      <formula>G64</formula>
    </cfRule>
  </conditionalFormatting>
  <conditionalFormatting sqref="U65">
    <cfRule type="cellIs" dxfId="4" priority="803" operator="lessThanOrEqual">
      <formula>G65</formula>
    </cfRule>
  </conditionalFormatting>
  <conditionalFormatting sqref="U66">
    <cfRule type="cellIs" dxfId="4" priority="808" operator="lessThanOrEqual">
      <formula>G66</formula>
    </cfRule>
  </conditionalFormatting>
  <conditionalFormatting sqref="U67">
    <cfRule type="cellIs" dxfId="4" priority="813" operator="lessThanOrEqual">
      <formula>G67</formula>
    </cfRule>
  </conditionalFormatting>
  <conditionalFormatting sqref="U68">
    <cfRule type="cellIs" dxfId="4" priority="818" operator="lessThanOrEqual">
      <formula>G68</formula>
    </cfRule>
  </conditionalFormatting>
  <conditionalFormatting sqref="U7">
    <cfRule type="cellIs" dxfId="4" priority="642" operator="lessThanOrEqual">
      <formula>G7</formula>
    </cfRule>
  </conditionalFormatting>
  <conditionalFormatting sqref="U70">
    <cfRule type="cellIs" dxfId="4" priority="824" operator="lessThanOrEqual">
      <formula>G70</formula>
    </cfRule>
  </conditionalFormatting>
  <conditionalFormatting sqref="U75">
    <cfRule type="cellIs" dxfId="4" priority="829" operator="lessThanOrEqual">
      <formula>G75</formula>
    </cfRule>
  </conditionalFormatting>
  <conditionalFormatting sqref="U78">
    <cfRule type="cellIs" dxfId="4" priority="834" operator="lessThanOrEqual">
      <formula>G78</formula>
    </cfRule>
  </conditionalFormatting>
  <conditionalFormatting sqref="U79">
    <cfRule type="cellIs" dxfId="4" priority="840" operator="lessThanOrEqual">
      <formula>G79</formula>
    </cfRule>
  </conditionalFormatting>
  <conditionalFormatting sqref="U8">
    <cfRule type="cellIs" dxfId="4" priority="648" operator="lessThanOrEqual">
      <formula>G8</formula>
    </cfRule>
  </conditionalFormatting>
  <conditionalFormatting sqref="U80">
    <cfRule type="cellIs" dxfId="4" priority="846" operator="lessThanOrEqual">
      <formula>G80</formula>
    </cfRule>
  </conditionalFormatting>
  <conditionalFormatting sqref="U83">
    <cfRule type="cellIs" dxfId="4" priority="852" operator="lessThanOrEqual">
      <formula>G83</formula>
    </cfRule>
  </conditionalFormatting>
  <conditionalFormatting sqref="U84">
    <cfRule type="cellIs" dxfId="4" priority="858" operator="lessThanOrEqual">
      <formula>G84</formula>
    </cfRule>
  </conditionalFormatting>
  <conditionalFormatting sqref="U85">
    <cfRule type="cellIs" dxfId="4" priority="864" operator="lessThanOrEqual">
      <formula>G85</formula>
    </cfRule>
  </conditionalFormatting>
  <conditionalFormatting sqref="U9">
    <cfRule type="cellIs" dxfId="4" priority="654" operator="lessThanOrEqual">
      <formula>G9</formula>
    </cfRule>
  </conditionalFormatting>
  <conditionalFormatting sqref="V10">
    <cfRule type="cellIs" dxfId="4" priority="659" operator="lessThanOrEqual">
      <formula>H10</formula>
    </cfRule>
  </conditionalFormatting>
  <conditionalFormatting sqref="V12">
    <cfRule type="cellIs" dxfId="4" priority="665" operator="lessThanOrEqual">
      <formula>H12</formula>
    </cfRule>
  </conditionalFormatting>
  <conditionalFormatting sqref="V13">
    <cfRule type="cellIs" dxfId="4" priority="670" operator="lessThanOrEqual">
      <formula>H13</formula>
    </cfRule>
  </conditionalFormatting>
  <conditionalFormatting sqref="V15">
    <cfRule type="cellIs" dxfId="4" priority="675" operator="lessThanOrEqual">
      <formula>H15</formula>
    </cfRule>
  </conditionalFormatting>
  <conditionalFormatting sqref="V17">
    <cfRule type="cellIs" dxfId="4" priority="681" operator="lessThanOrEqual">
      <formula>H17</formula>
    </cfRule>
  </conditionalFormatting>
  <conditionalFormatting sqref="V18">
    <cfRule type="cellIs" dxfId="4" priority="686" operator="lessThanOrEqual">
      <formula>H18</formula>
    </cfRule>
  </conditionalFormatting>
  <conditionalFormatting sqref="V33">
    <cfRule type="cellIs" dxfId="4" priority="691" operator="lessThanOrEqual">
      <formula>H33</formula>
    </cfRule>
  </conditionalFormatting>
  <conditionalFormatting sqref="V34">
    <cfRule type="cellIs" dxfId="4" priority="697" operator="lessThanOrEqual">
      <formula>H34</formula>
    </cfRule>
  </conditionalFormatting>
  <conditionalFormatting sqref="V35">
    <cfRule type="cellIs" dxfId="4" priority="703" operator="lessThanOrEqual">
      <formula>H35</formula>
    </cfRule>
  </conditionalFormatting>
  <conditionalFormatting sqref="V36">
    <cfRule type="cellIs" dxfId="4" priority="709" operator="lessThanOrEqual">
      <formula>H36</formula>
    </cfRule>
  </conditionalFormatting>
  <conditionalFormatting sqref="V38">
    <cfRule type="cellIs" dxfId="4" priority="715" operator="lessThanOrEqual">
      <formula>H38</formula>
    </cfRule>
  </conditionalFormatting>
  <conditionalFormatting sqref="V39">
    <cfRule type="cellIs" dxfId="4" priority="721" operator="lessThanOrEqual">
      <formula>H39</formula>
    </cfRule>
  </conditionalFormatting>
  <conditionalFormatting sqref="V41">
    <cfRule type="cellIs" dxfId="4" priority="727" operator="lessThanOrEqual">
      <formula>H41</formula>
    </cfRule>
  </conditionalFormatting>
  <conditionalFormatting sqref="V45">
    <cfRule type="cellIs" dxfId="4" priority="733" operator="lessThanOrEqual">
      <formula>H45</formula>
    </cfRule>
  </conditionalFormatting>
  <conditionalFormatting sqref="V46">
    <cfRule type="cellIs" dxfId="4" priority="739" operator="lessThanOrEqual">
      <formula>H46</formula>
    </cfRule>
  </conditionalFormatting>
  <conditionalFormatting sqref="V47">
    <cfRule type="cellIs" dxfId="4" priority="745" operator="lessThanOrEqual">
      <formula>H47</formula>
    </cfRule>
  </conditionalFormatting>
  <conditionalFormatting sqref="V48">
    <cfRule type="cellIs" dxfId="4" priority="751" operator="lessThanOrEqual">
      <formula>H48</formula>
    </cfRule>
  </conditionalFormatting>
  <conditionalFormatting sqref="V49">
    <cfRule type="cellIs" dxfId="4" priority="757" operator="lessThanOrEqual">
      <formula>H49</formula>
    </cfRule>
  </conditionalFormatting>
  <conditionalFormatting sqref="V53">
    <cfRule type="cellIs" dxfId="4" priority="763" operator="lessThanOrEqual">
      <formula>H53</formula>
    </cfRule>
  </conditionalFormatting>
  <conditionalFormatting sqref="V54">
    <cfRule type="cellIs" dxfId="4" priority="769" operator="lessThanOrEqual">
      <formula>H54</formula>
    </cfRule>
  </conditionalFormatting>
  <conditionalFormatting sqref="V57">
    <cfRule type="cellIs" dxfId="4" priority="775" operator="lessThanOrEqual">
      <formula>H57</formula>
    </cfRule>
  </conditionalFormatting>
  <conditionalFormatting sqref="V58">
    <cfRule type="cellIs" dxfId="4" priority="781" operator="lessThanOrEqual">
      <formula>H58</formula>
    </cfRule>
  </conditionalFormatting>
  <conditionalFormatting sqref="V61">
    <cfRule type="cellIs" dxfId="4" priority="786" operator="lessThanOrEqual">
      <formula>H61</formula>
    </cfRule>
  </conditionalFormatting>
  <conditionalFormatting sqref="V63">
    <cfRule type="cellIs" dxfId="4" priority="791" operator="lessThanOrEqual">
      <formula>H63</formula>
    </cfRule>
  </conditionalFormatting>
  <conditionalFormatting sqref="V64">
    <cfRule type="cellIs" dxfId="4" priority="796" operator="lessThanOrEqual">
      <formula>H64</formula>
    </cfRule>
  </conditionalFormatting>
  <conditionalFormatting sqref="V65">
    <cfRule type="cellIs" dxfId="4" priority="802" operator="lessThanOrEqual">
      <formula>H65</formula>
    </cfRule>
  </conditionalFormatting>
  <conditionalFormatting sqref="V66">
    <cfRule type="cellIs" dxfId="4" priority="807" operator="lessThanOrEqual">
      <formula>H66</formula>
    </cfRule>
  </conditionalFormatting>
  <conditionalFormatting sqref="V67">
    <cfRule type="cellIs" dxfId="4" priority="812" operator="lessThanOrEqual">
      <formula>H67</formula>
    </cfRule>
  </conditionalFormatting>
  <conditionalFormatting sqref="V68">
    <cfRule type="cellIs" dxfId="4" priority="817" operator="lessThanOrEqual">
      <formula>H68</formula>
    </cfRule>
  </conditionalFormatting>
  <conditionalFormatting sqref="V7">
    <cfRule type="cellIs" dxfId="4" priority="641" operator="lessThanOrEqual">
      <formula>H7</formula>
    </cfRule>
  </conditionalFormatting>
  <conditionalFormatting sqref="V70">
    <cfRule type="cellIs" dxfId="4" priority="823" operator="lessThanOrEqual">
      <formula>H70</formula>
    </cfRule>
  </conditionalFormatting>
  <conditionalFormatting sqref="V75">
    <cfRule type="cellIs" dxfId="4" priority="828" operator="lessThanOrEqual">
      <formula>H75</formula>
    </cfRule>
  </conditionalFormatting>
  <conditionalFormatting sqref="V78">
    <cfRule type="cellIs" dxfId="4" priority="833" operator="lessThanOrEqual">
      <formula>H78</formula>
    </cfRule>
  </conditionalFormatting>
  <conditionalFormatting sqref="V79">
    <cfRule type="cellIs" dxfId="4" priority="839" operator="lessThanOrEqual">
      <formula>H79</formula>
    </cfRule>
  </conditionalFormatting>
  <conditionalFormatting sqref="V8">
    <cfRule type="cellIs" dxfId="4" priority="647" operator="lessThanOrEqual">
      <formula>H8</formula>
    </cfRule>
  </conditionalFormatting>
  <conditionalFormatting sqref="V80">
    <cfRule type="cellIs" dxfId="4" priority="845" operator="lessThanOrEqual">
      <formula>H80</formula>
    </cfRule>
  </conditionalFormatting>
  <conditionalFormatting sqref="V83">
    <cfRule type="cellIs" dxfId="4" priority="851" operator="lessThanOrEqual">
      <formula>H83</formula>
    </cfRule>
  </conditionalFormatting>
  <conditionalFormatting sqref="V84">
    <cfRule type="cellIs" dxfId="4" priority="857" operator="lessThanOrEqual">
      <formula>H84</formula>
    </cfRule>
  </conditionalFormatting>
  <conditionalFormatting sqref="V85">
    <cfRule type="cellIs" dxfId="4" priority="863" operator="lessThanOrEqual">
      <formula>H85</formula>
    </cfRule>
  </conditionalFormatting>
  <conditionalFormatting sqref="V9">
    <cfRule type="cellIs" dxfId="4" priority="653" operator="lessThanOrEqual">
      <formula>H9</formula>
    </cfRule>
  </conditionalFormatting>
  <conditionalFormatting sqref="X15">
    <cfRule type="cellIs" dxfId="1" priority="871" operator="equal">
      <formula>0</formula>
    </cfRule>
    <cfRule type="cellIs" dxfId="2" priority="872" operator="lessThan">
      <formula>F15</formula>
    </cfRule>
  </conditionalFormatting>
  <conditionalFormatting sqref="X16">
    <cfRule type="cellIs" dxfId="1" priority="877" operator="equal">
      <formula>0</formula>
    </cfRule>
    <cfRule type="cellIs" dxfId="2" priority="878" operator="lessThan">
      <formula>F16</formula>
    </cfRule>
  </conditionalFormatting>
  <conditionalFormatting sqref="X34">
    <cfRule type="cellIs" dxfId="1" priority="883" operator="equal">
      <formula>0</formula>
    </cfRule>
    <cfRule type="cellIs" dxfId="2" priority="884" operator="lessThan">
      <formula>F34</formula>
    </cfRule>
  </conditionalFormatting>
  <conditionalFormatting sqref="X65">
    <cfRule type="cellIs" dxfId="1" priority="889" operator="equal">
      <formula>0</formula>
    </cfRule>
    <cfRule type="cellIs" dxfId="2" priority="890" operator="lessThan">
      <formula>F65</formula>
    </cfRule>
  </conditionalFormatting>
  <conditionalFormatting sqref="X75">
    <cfRule type="cellIs" dxfId="1" priority="894" operator="equal">
      <formula>0</formula>
    </cfRule>
    <cfRule type="cellIs" dxfId="2" priority="895" operator="lessThan">
      <formula>F75</formula>
    </cfRule>
  </conditionalFormatting>
  <conditionalFormatting sqref="X78">
    <cfRule type="cellIs" dxfId="1" priority="899" operator="equal">
      <formula>0</formula>
    </cfRule>
    <cfRule type="cellIs" dxfId="2" priority="900" operator="lessThan">
      <formula>F78</formula>
    </cfRule>
  </conditionalFormatting>
  <conditionalFormatting sqref="X8">
    <cfRule type="cellIs" dxfId="1" priority="865" operator="equal">
      <formula>0</formula>
    </cfRule>
    <cfRule type="cellIs" dxfId="2" priority="866" operator="lessThan">
      <formula>F8</formula>
    </cfRule>
  </conditionalFormatting>
  <conditionalFormatting sqref="Y15">
    <cfRule type="expression" dxfId="3" priority="873">
      <formula>AND(Y15&gt;0,Y15&lt;50)</formula>
    </cfRule>
    <cfRule type="cellIs" dxfId="1" priority="874" operator="greaterThan">
      <formula>X15</formula>
    </cfRule>
  </conditionalFormatting>
  <conditionalFormatting sqref="Y16">
    <cfRule type="expression" dxfId="3" priority="879">
      <formula>AND(Y16&gt;0,Y16&lt;20)</formula>
    </cfRule>
    <cfRule type="cellIs" dxfId="1" priority="880" operator="greaterThan">
      <formula>X16</formula>
    </cfRule>
  </conditionalFormatting>
  <conditionalFormatting sqref="Y34">
    <cfRule type="expression" dxfId="3" priority="885">
      <formula>AND(Y34&gt;0,Y34&lt;20)</formula>
    </cfRule>
    <cfRule type="cellIs" dxfId="1" priority="886" operator="greaterThan">
      <formula>X34</formula>
    </cfRule>
  </conditionalFormatting>
  <conditionalFormatting sqref="Y65">
    <cfRule type="cellIs" dxfId="1" priority="891" operator="greaterThan">
      <formula>X65</formula>
    </cfRule>
  </conditionalFormatting>
  <conditionalFormatting sqref="Y75">
    <cfRule type="cellIs" dxfId="1" priority="896" operator="greaterThan">
      <formula>X75</formula>
    </cfRule>
  </conditionalFormatting>
  <conditionalFormatting sqref="Y78">
    <cfRule type="expression" dxfId="3" priority="901">
      <formula>AND(Y78&gt;0,Y78&lt;20)</formula>
    </cfRule>
    <cfRule type="cellIs" dxfId="1" priority="902" operator="greaterThan">
      <formula>X78</formula>
    </cfRule>
  </conditionalFormatting>
  <conditionalFormatting sqref="Y8">
    <cfRule type="expression" dxfId="3" priority="867">
      <formula>AND(Y8&gt;0,Y8&lt;50)</formula>
    </cfRule>
    <cfRule type="cellIs" dxfId="1" priority="868" operator="greaterThan">
      <formula>X8</formula>
    </cfRule>
  </conditionalFormatting>
  <conditionalFormatting sqref="Z15">
    <cfRule type="cellIs" dxfId="4" priority="876" operator="lessThanOrEqual">
      <formula>G15</formula>
    </cfRule>
  </conditionalFormatting>
  <conditionalFormatting sqref="Z16">
    <cfRule type="cellIs" dxfId="4" priority="882" operator="lessThanOrEqual">
      <formula>G16</formula>
    </cfRule>
  </conditionalFormatting>
  <conditionalFormatting sqref="Z34">
    <cfRule type="cellIs" dxfId="4" priority="888" operator="lessThanOrEqual">
      <formula>G34</formula>
    </cfRule>
  </conditionalFormatting>
  <conditionalFormatting sqref="Z65">
    <cfRule type="cellIs" dxfId="4" priority="893" operator="lessThanOrEqual">
      <formula>G65</formula>
    </cfRule>
  </conditionalFormatting>
  <conditionalFormatting sqref="Z75">
    <cfRule type="cellIs" dxfId="4" priority="898" operator="lessThanOrEqual">
      <formula>G75</formula>
    </cfRule>
  </conditionalFormatting>
  <conditionalFormatting sqref="Z78">
    <cfRule type="cellIs" dxfId="4" priority="904" operator="lessThanOrEqual">
      <formula>G78</formula>
    </cfRule>
  </conditionalFormatting>
  <conditionalFormatting sqref="Z8">
    <cfRule type="cellIs" dxfId="4" priority="870" operator="lessThanOrEqual">
      <formula>G8</formula>
    </cfRule>
  </conditionalFormatting>
  <hyperlinks>
    <hyperlink ref="R7" r:id="rId1"/>
    <hyperlink ref="W7" r:id="rId2"/>
    <hyperlink ref="AG7" r:id="rId3"/>
    <hyperlink ref="AL7" r:id="rId4"/>
    <hyperlink ref="E8" r:id="rId5"/>
    <hyperlink ref="R8" r:id="rId6"/>
    <hyperlink ref="W8" r:id="rId7"/>
    <hyperlink ref="AB8" r:id="rId8"/>
    <hyperlink ref="AG8" r:id="rId9"/>
    <hyperlink ref="AL8" r:id="rId10"/>
    <hyperlink ref="AV8" r:id="rId11"/>
    <hyperlink ref="E9" r:id="rId12"/>
    <hyperlink ref="R9" r:id="rId13"/>
    <hyperlink ref="W9" r:id="rId14"/>
    <hyperlink ref="AG9" r:id="rId15"/>
    <hyperlink ref="AL9" r:id="rId16"/>
    <hyperlink ref="E10" r:id="rId17"/>
    <hyperlink ref="R10" r:id="rId18"/>
    <hyperlink ref="W10" r:id="rId19"/>
    <hyperlink ref="AG10" r:id="rId20"/>
    <hyperlink ref="AL10" r:id="rId21"/>
    <hyperlink ref="E12" r:id="rId22"/>
    <hyperlink ref="R12" r:id="rId23"/>
    <hyperlink ref="W12" r:id="rId24"/>
    <hyperlink ref="AG12" r:id="rId25"/>
    <hyperlink ref="AL12" r:id="rId26"/>
    <hyperlink ref="AQ12" r:id="rId27"/>
    <hyperlink ref="AV12" r:id="rId28"/>
    <hyperlink ref="E13" r:id="rId29"/>
    <hyperlink ref="R13" r:id="rId30"/>
    <hyperlink ref="W13" r:id="rId31"/>
    <hyperlink ref="AG13" r:id="rId32"/>
    <hyperlink ref="AL13" r:id="rId33"/>
    <hyperlink ref="AQ13" r:id="rId34"/>
    <hyperlink ref="AV13" r:id="rId35"/>
    <hyperlink ref="E15" r:id="rId36"/>
    <hyperlink ref="R15" r:id="rId37"/>
    <hyperlink ref="W15" r:id="rId38"/>
    <hyperlink ref="AB15" r:id="rId39"/>
    <hyperlink ref="AG15" r:id="rId40"/>
    <hyperlink ref="AL15" r:id="rId41"/>
    <hyperlink ref="AQ15" r:id="rId42"/>
    <hyperlink ref="AB16" r:id="rId43"/>
    <hyperlink ref="R17" r:id="rId44"/>
    <hyperlink ref="W17" r:id="rId45"/>
    <hyperlink ref="AG17" r:id="rId46"/>
    <hyperlink ref="AQ17" r:id="rId47"/>
    <hyperlink ref="AV17" r:id="rId48"/>
    <hyperlink ref="R18" r:id="rId49"/>
    <hyperlink ref="W18" r:id="rId50"/>
    <hyperlink ref="AG18" r:id="rId51"/>
    <hyperlink ref="AL18" r:id="rId52"/>
    <hyperlink ref="E19" r:id="rId53"/>
    <hyperlink ref="R19" r:id="rId54"/>
    <hyperlink ref="AG19" r:id="rId55"/>
    <hyperlink ref="E20" r:id="rId56"/>
    <hyperlink ref="R23" r:id="rId57"/>
    <hyperlink ref="AG23" r:id="rId58"/>
    <hyperlink ref="E26" r:id="rId59"/>
    <hyperlink ref="R26" r:id="rId60"/>
    <hyperlink ref="AG26" r:id="rId61"/>
    <hyperlink ref="R29" r:id="rId62"/>
    <hyperlink ref="AG29" r:id="rId63"/>
    <hyperlink ref="R30" r:id="rId64"/>
    <hyperlink ref="AG30" r:id="rId65"/>
    <hyperlink ref="E31" r:id="rId66"/>
    <hyperlink ref="R31" r:id="rId67"/>
    <hyperlink ref="AG31" r:id="rId68"/>
    <hyperlink ref="R32" r:id="rId69"/>
    <hyperlink ref="AG32" r:id="rId70"/>
    <hyperlink ref="E33" r:id="rId71"/>
    <hyperlink ref="R33" r:id="rId72"/>
    <hyperlink ref="W33" r:id="rId73"/>
    <hyperlink ref="AG33" r:id="rId74"/>
    <hyperlink ref="AL33" r:id="rId75"/>
    <hyperlink ref="AQ33" r:id="rId76"/>
    <hyperlink ref="E34" r:id="rId77"/>
    <hyperlink ref="R34" r:id="rId78"/>
    <hyperlink ref="W34" r:id="rId79"/>
    <hyperlink ref="AB34" r:id="rId80"/>
    <hyperlink ref="AG34" r:id="rId81"/>
    <hyperlink ref="AL34" r:id="rId82"/>
    <hyperlink ref="AQ34" r:id="rId83"/>
    <hyperlink ref="AV34" r:id="rId84"/>
    <hyperlink ref="E35" r:id="rId85"/>
    <hyperlink ref="R35" r:id="rId86"/>
    <hyperlink ref="W35" r:id="rId87"/>
    <hyperlink ref="AG35" r:id="rId88"/>
    <hyperlink ref="AL35" r:id="rId89"/>
    <hyperlink ref="AV35" r:id="rId90"/>
    <hyperlink ref="E36" r:id="rId91"/>
    <hyperlink ref="R36" r:id="rId92"/>
    <hyperlink ref="W36" r:id="rId93"/>
    <hyperlink ref="AG36" r:id="rId94"/>
    <hyperlink ref="AL36" r:id="rId95"/>
    <hyperlink ref="AQ36" r:id="rId96"/>
    <hyperlink ref="AV36" r:id="rId97"/>
    <hyperlink ref="E37" r:id="rId98"/>
    <hyperlink ref="R37" r:id="rId99"/>
    <hyperlink ref="AG37" r:id="rId100"/>
    <hyperlink ref="AL37" r:id="rId101"/>
    <hyperlink ref="AQ37" r:id="rId102"/>
    <hyperlink ref="E38" r:id="rId103"/>
    <hyperlink ref="R38" r:id="rId104"/>
    <hyperlink ref="W38" r:id="rId105"/>
    <hyperlink ref="AG38" r:id="rId106"/>
    <hyperlink ref="AL38" r:id="rId107"/>
    <hyperlink ref="AV38" r:id="rId108"/>
    <hyperlink ref="E39" r:id="rId109"/>
    <hyperlink ref="R39" r:id="rId110"/>
    <hyperlink ref="W39" r:id="rId111"/>
    <hyperlink ref="AG39" r:id="rId112"/>
    <hyperlink ref="AL39" r:id="rId113"/>
    <hyperlink ref="AV39" r:id="rId114"/>
    <hyperlink ref="E40" r:id="rId115"/>
    <hyperlink ref="R40" r:id="rId116"/>
    <hyperlink ref="AG40" r:id="rId117"/>
    <hyperlink ref="E41" r:id="rId118"/>
    <hyperlink ref="R41" r:id="rId119"/>
    <hyperlink ref="W41" r:id="rId120"/>
    <hyperlink ref="AG41" r:id="rId121"/>
    <hyperlink ref="AL41" r:id="rId122"/>
    <hyperlink ref="AQ41" r:id="rId123"/>
    <hyperlink ref="AV41" r:id="rId124"/>
    <hyperlink ref="E43" r:id="rId125"/>
    <hyperlink ref="R43" r:id="rId126"/>
    <hyperlink ref="AG43" r:id="rId127"/>
    <hyperlink ref="E44" r:id="rId128"/>
    <hyperlink ref="R44" r:id="rId129"/>
    <hyperlink ref="AG44" r:id="rId130"/>
    <hyperlink ref="AV44" r:id="rId131"/>
    <hyperlink ref="E45" r:id="rId132"/>
    <hyperlink ref="R45" r:id="rId133"/>
    <hyperlink ref="W45" r:id="rId134"/>
    <hyperlink ref="AG45" r:id="rId135"/>
    <hyperlink ref="AL45" r:id="rId136"/>
    <hyperlink ref="AV45" r:id="rId137"/>
    <hyperlink ref="E46" r:id="rId138"/>
    <hyperlink ref="R46" r:id="rId139"/>
    <hyperlink ref="W46" r:id="rId140"/>
    <hyperlink ref="AG46" r:id="rId141"/>
    <hyperlink ref="AL46" r:id="rId142"/>
    <hyperlink ref="E47" r:id="rId143"/>
    <hyperlink ref="R47" r:id="rId144"/>
    <hyperlink ref="W47" r:id="rId145"/>
    <hyperlink ref="AG47" r:id="rId146"/>
    <hyperlink ref="AL47" r:id="rId147"/>
    <hyperlink ref="AQ47" r:id="rId148"/>
    <hyperlink ref="AV47" r:id="rId149"/>
    <hyperlink ref="E48" r:id="rId150"/>
    <hyperlink ref="R48" r:id="rId151"/>
    <hyperlink ref="W48" r:id="rId152"/>
    <hyperlink ref="AG48" r:id="rId153"/>
    <hyperlink ref="AL48" r:id="rId154"/>
    <hyperlink ref="AQ48" r:id="rId155"/>
    <hyperlink ref="AV48" r:id="rId156"/>
    <hyperlink ref="E49" r:id="rId157"/>
    <hyperlink ref="R49" r:id="rId158"/>
    <hyperlink ref="W49" r:id="rId159"/>
    <hyperlink ref="AG49" r:id="rId160"/>
    <hyperlink ref="AL49" r:id="rId161"/>
    <hyperlink ref="AV49" r:id="rId162"/>
    <hyperlink ref="E50" r:id="rId163"/>
    <hyperlink ref="R50" r:id="rId164"/>
    <hyperlink ref="AG50" r:id="rId165"/>
    <hyperlink ref="E53" r:id="rId166"/>
    <hyperlink ref="R53" r:id="rId167"/>
    <hyperlink ref="W53" r:id="rId168"/>
    <hyperlink ref="AG53" r:id="rId169"/>
    <hyperlink ref="AL53" r:id="rId170"/>
    <hyperlink ref="AQ53" r:id="rId171"/>
    <hyperlink ref="AV53" r:id="rId172"/>
    <hyperlink ref="E54" r:id="rId173"/>
    <hyperlink ref="R54" r:id="rId174"/>
    <hyperlink ref="W54" r:id="rId175"/>
    <hyperlink ref="AG54" r:id="rId176"/>
    <hyperlink ref="AL54" r:id="rId177"/>
    <hyperlink ref="AQ54" r:id="rId178"/>
    <hyperlink ref="AV54" r:id="rId179"/>
    <hyperlink ref="E55" r:id="rId180"/>
    <hyperlink ref="R55" r:id="rId181"/>
    <hyperlink ref="AG55" r:id="rId182"/>
    <hyperlink ref="E56" r:id="rId183"/>
    <hyperlink ref="R56" r:id="rId184"/>
    <hyperlink ref="AG56" r:id="rId185"/>
    <hyperlink ref="AV56" r:id="rId186"/>
    <hyperlink ref="E57" r:id="rId187"/>
    <hyperlink ref="R57" r:id="rId188"/>
    <hyperlink ref="W57" r:id="rId189"/>
    <hyperlink ref="AG57" r:id="rId190"/>
    <hyperlink ref="AL57" r:id="rId191"/>
    <hyperlink ref="AQ57" r:id="rId192"/>
    <hyperlink ref="AV57" r:id="rId193"/>
    <hyperlink ref="E58" r:id="rId194"/>
    <hyperlink ref="R58" r:id="rId195"/>
    <hyperlink ref="W58" r:id="rId196"/>
    <hyperlink ref="AG58" r:id="rId197"/>
    <hyperlink ref="AL58" r:id="rId198"/>
    <hyperlink ref="AQ58" r:id="rId199"/>
    <hyperlink ref="AV58" r:id="rId200"/>
    <hyperlink ref="R59" r:id="rId201"/>
    <hyperlink ref="AG59" r:id="rId202"/>
    <hyperlink ref="E60" r:id="rId203"/>
    <hyperlink ref="R60" r:id="rId204"/>
    <hyperlink ref="AG60" r:id="rId205"/>
    <hyperlink ref="E61" r:id="rId206"/>
    <hyperlink ref="R61" r:id="rId207"/>
    <hyperlink ref="W61" r:id="rId208"/>
    <hyperlink ref="AG61" r:id="rId209"/>
    <hyperlink ref="AL61" r:id="rId210"/>
    <hyperlink ref="E62" r:id="rId211"/>
    <hyperlink ref="R62" r:id="rId212"/>
    <hyperlink ref="AG62" r:id="rId213"/>
    <hyperlink ref="E63" r:id="rId214"/>
    <hyperlink ref="R63" r:id="rId215"/>
    <hyperlink ref="W63" r:id="rId216"/>
    <hyperlink ref="AG63" r:id="rId217"/>
    <hyperlink ref="AL63" r:id="rId218"/>
    <hyperlink ref="E64" r:id="rId219"/>
    <hyperlink ref="R64" r:id="rId220"/>
    <hyperlink ref="W64" r:id="rId221"/>
    <hyperlink ref="AG64" r:id="rId222"/>
    <hyperlink ref="AL64" r:id="rId223"/>
    <hyperlink ref="AQ64" r:id="rId224"/>
    <hyperlink ref="AV64" r:id="rId225"/>
    <hyperlink ref="E65" r:id="rId226"/>
    <hyperlink ref="R65" r:id="rId227"/>
    <hyperlink ref="W65" r:id="rId228"/>
    <hyperlink ref="AB65" r:id="rId229"/>
    <hyperlink ref="AG65" r:id="rId230"/>
    <hyperlink ref="E66" r:id="rId231"/>
    <hyperlink ref="R66" r:id="rId232"/>
    <hyperlink ref="W66" r:id="rId233"/>
    <hyperlink ref="AG66" r:id="rId234"/>
    <hyperlink ref="AL66" r:id="rId235"/>
    <hyperlink ref="E67" r:id="rId236"/>
    <hyperlink ref="R67" r:id="rId237"/>
    <hyperlink ref="W67" r:id="rId238"/>
    <hyperlink ref="AG67" r:id="rId239"/>
    <hyperlink ref="AL67" r:id="rId240"/>
    <hyperlink ref="E68" r:id="rId241"/>
    <hyperlink ref="R68" r:id="rId242"/>
    <hyperlink ref="W68" r:id="rId243"/>
    <hyperlink ref="AG68" r:id="rId244"/>
    <hyperlink ref="AL68" r:id="rId245"/>
    <hyperlink ref="E69" r:id="rId246"/>
    <hyperlink ref="R69" r:id="rId247"/>
    <hyperlink ref="AG69" r:id="rId248"/>
    <hyperlink ref="E70" r:id="rId249"/>
    <hyperlink ref="R70" r:id="rId250"/>
    <hyperlink ref="W70" r:id="rId251"/>
    <hyperlink ref="AG70" r:id="rId252"/>
    <hyperlink ref="AL70" r:id="rId253"/>
    <hyperlink ref="AQ70" r:id="rId254"/>
    <hyperlink ref="AV70" r:id="rId255"/>
    <hyperlink ref="E71" r:id="rId256"/>
    <hyperlink ref="R71" r:id="rId257"/>
    <hyperlink ref="R72" r:id="rId258"/>
    <hyperlink ref="AG72" r:id="rId259"/>
    <hyperlink ref="E73" r:id="rId260"/>
    <hyperlink ref="R73" r:id="rId261"/>
    <hyperlink ref="AG73" r:id="rId262"/>
    <hyperlink ref="R74" r:id="rId263"/>
    <hyperlink ref="AG74" r:id="rId264"/>
    <hyperlink ref="E75" r:id="rId265"/>
    <hyperlink ref="R75" r:id="rId266"/>
    <hyperlink ref="W75" r:id="rId267"/>
    <hyperlink ref="AB75" r:id="rId268"/>
    <hyperlink ref="AG75" r:id="rId269"/>
    <hyperlink ref="AL75" r:id="rId270"/>
    <hyperlink ref="AQ75" r:id="rId271"/>
    <hyperlink ref="AV75" r:id="rId272"/>
    <hyperlink ref="R76" r:id="rId273"/>
    <hyperlink ref="R77" r:id="rId274"/>
    <hyperlink ref="AG77" r:id="rId275"/>
    <hyperlink ref="E78" r:id="rId276"/>
    <hyperlink ref="R78" r:id="rId277"/>
    <hyperlink ref="W78" r:id="rId278"/>
    <hyperlink ref="AB78" r:id="rId279"/>
    <hyperlink ref="AG78" r:id="rId280"/>
    <hyperlink ref="AL78" r:id="rId281"/>
    <hyperlink ref="R79" r:id="rId282"/>
    <hyperlink ref="W79" r:id="rId283"/>
    <hyperlink ref="AG79" r:id="rId284"/>
    <hyperlink ref="AL79" r:id="rId285"/>
    <hyperlink ref="AQ79" r:id="rId286"/>
    <hyperlink ref="E80" r:id="rId287"/>
    <hyperlink ref="R80" r:id="rId288"/>
    <hyperlink ref="W80" r:id="rId289"/>
    <hyperlink ref="AG80" r:id="rId290"/>
    <hyperlink ref="AL80" r:id="rId291"/>
    <hyperlink ref="AQ80" r:id="rId292"/>
    <hyperlink ref="AV80" r:id="rId293"/>
    <hyperlink ref="E83" r:id="rId294"/>
    <hyperlink ref="R83" r:id="rId295"/>
    <hyperlink ref="W83" r:id="rId296"/>
    <hyperlink ref="AG83" r:id="rId297"/>
    <hyperlink ref="AL83" r:id="rId298"/>
    <hyperlink ref="AQ83" r:id="rId299"/>
    <hyperlink ref="AV83" r:id="rId300"/>
    <hyperlink ref="E84" r:id="rId301"/>
    <hyperlink ref="R84" r:id="rId302"/>
    <hyperlink ref="W84" r:id="rId303"/>
    <hyperlink ref="AG84" r:id="rId304"/>
    <hyperlink ref="AL84" r:id="rId305"/>
    <hyperlink ref="AQ84" r:id="rId306"/>
    <hyperlink ref="AV84" r:id="rId307"/>
    <hyperlink ref="E85" r:id="rId308"/>
    <hyperlink ref="R85" r:id="rId309"/>
    <hyperlink ref="W85" r:id="rId310"/>
    <hyperlink ref="AG85" r:id="rId311"/>
    <hyperlink ref="AL85" r:id="rId312"/>
    <hyperlink ref="AV85" r:id="rId313"/>
  </hyperlinks>
  <pageMargins left="0.7" right="0.7" top="0.75" bottom="0.75" header="0.3" footer="0.3"/>
  <legacyDrawing r:id="rId3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covg_daq_v2_parts_cost. </vt:lpstr>
      <vt:lpstr>arrow_part_data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  <vt:lpstr>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2021-06-08T15:00:27Z</dcterms:created>
  <dcterms:modified xsi:type="dcterms:W3CDTF">2021-06-08T15:00:27Z</dcterms:modified>
</cp:coreProperties>
</file>