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as\Desktop\Projeto-VBA-COMUNIDADE\Modelos de Form\"/>
    </mc:Choice>
  </mc:AlternateContent>
  <xr:revisionPtr revIDLastSave="0" documentId="13_ncr:1_{1275D4DB-0EFA-4523-8272-3B68772AD0AF}" xr6:coauthVersionLast="45" xr6:coauthVersionMax="45" xr10:uidLastSave="{00000000-0000-0000-0000-000000000000}"/>
  <bookViews>
    <workbookView xWindow="-120" yWindow="-120" windowWidth="20730" windowHeight="11160" tabRatio="952" firstSheet="4" activeTab="10" xr2:uid="{00000000-000D-0000-FFFF-FFFF00000000}"/>
  </bookViews>
  <sheets>
    <sheet name="PEDIDOS" sheetId="7" r:id="rId1"/>
    <sheet name="COMANDA" sheetId="8" r:id="rId2"/>
    <sheet name="LISTA" sheetId="9" r:id="rId3"/>
    <sheet name="ENTRADAS" sheetId="10" r:id="rId4"/>
    <sheet name="VENDAS" sheetId="12" r:id="rId5"/>
    <sheet name="RESUMO_VENDAS" sheetId="13" r:id="rId6"/>
    <sheet name="TIPOS" sheetId="14" r:id="rId7"/>
    <sheet name="TIPO_PAGAMENTO" sheetId="18" r:id="rId8"/>
    <sheet name="PARCELAR" sheetId="19" r:id="rId9"/>
    <sheet name="A RECEBER" sheetId="15" r:id="rId10"/>
    <sheet name="FECHAMENTO" sheetId="17" r:id="rId11"/>
    <sheet name="RECEBER_VALORES" sheetId="20" r:id="rId12"/>
    <sheet name="CLIENTE" sheetId="21" r:id="rId13"/>
    <sheet name="FILTROS" sheetId="22" r:id="rId14"/>
    <sheet name="A PAGAR" sheetId="23" r:id="rId15"/>
    <sheet name="USERS" sheetId="24" state="veryHidden" r:id="rId16"/>
    <sheet name="LOG" sheetId="25" r:id="rId17"/>
    <sheet name="CAD BARRAS" sheetId="26" r:id="rId18"/>
    <sheet name="LAYOUT BARRAS" sheetId="27" r:id="rId19"/>
    <sheet name="COD BARRAS" sheetId="28" r:id="rId20"/>
    <sheet name="SANGRIA" sheetId="29" r:id="rId21"/>
    <sheet name="DEVOLUÇÃO" sheetId="30" r:id="rId22"/>
    <sheet name="CUPOM_PARCELA_PAGA" sheetId="31" r:id="rId23"/>
    <sheet name="CARTÃO" sheetId="32" r:id="rId24"/>
    <sheet name="RELATE_RECEBER" sheetId="33" r:id="rId25"/>
    <sheet name="FLUXO" sheetId="38" r:id="rId26"/>
    <sheet name="RELATE_VENDAS" sheetId="34" r:id="rId27"/>
    <sheet name="RELATE_APAGAR" sheetId="35" r:id="rId28"/>
    <sheet name="RELATE_ENTRADAS" sheetId="36" r:id="rId29"/>
    <sheet name="RELATE_PRODUTOS" sheetId="37" r:id="rId30"/>
    <sheet name="RELATE_DEVOLUÇÃO" sheetId="39" r:id="rId31"/>
    <sheet name="ORÇAMENTO" sheetId="40" r:id="rId32"/>
    <sheet name="LISTA_ORÇAMENTO" sheetId="41" r:id="rId33"/>
    <sheet name="LOGOMARCA" sheetId="42" r:id="rId34"/>
    <sheet name="CARNÊ" sheetId="43" r:id="rId35"/>
    <sheet name="CUPOM_CARNÊ" sheetId="44" r:id="rId36"/>
    <sheet name="RELATE_PROD" sheetId="45" r:id="rId37"/>
    <sheet name="CUPOM_RAPIDO" sheetId="46" r:id="rId38"/>
    <sheet name="RELATE_LUCRO" sheetId="47" r:id="rId39"/>
    <sheet name="ATIVAÇÃO" sheetId="48" state="veryHidden" r:id="rId40"/>
    <sheet name="MENU" sheetId="49" r:id="rId41"/>
    <sheet name="COMISSÃO" sheetId="50" r:id="rId42"/>
    <sheet name="HISTORICO_CAIXA" sheetId="51" r:id="rId43"/>
    <sheet name="FORNECEDOR" sheetId="52" r:id="rId44"/>
    <sheet name="RELATORIO_PERIODO" sheetId="53" r:id="rId45"/>
    <sheet name="MARGEM_CUPOM" sheetId="54" r:id="rId46"/>
  </sheets>
  <functionGroups builtInGroupCount="19"/>
  <externalReferences>
    <externalReference r:id="rId47"/>
  </externalReferences>
  <definedNames>
    <definedName name="_xlnm._FilterDatabase" localSheetId="9" hidden="1">'A RECEBER'!$A$1:$K$1</definedName>
    <definedName name="_xlnm._FilterDatabase" localSheetId="3" hidden="1">ENTRADAS!$A$1:$J$1</definedName>
    <definedName name="_xlnm._FilterDatabase" localSheetId="2" hidden="1">LISTA!$A$1:$S$1</definedName>
    <definedName name="_xlnm._FilterDatabase" localSheetId="0" hidden="1">PEDIDOS!$A$6:$J$6</definedName>
    <definedName name="_xlnm._FilterDatabase" localSheetId="4" hidden="1">VENDAS!$A$1:$Q$1</definedName>
    <definedName name="_xlnm.Print_Area" localSheetId="1">COMANDA!$A$1:$A$36</definedName>
    <definedName name="_xlnm.Print_Area" localSheetId="22">CUPOM_PARCELA_PAGA!$A$1:$A$30</definedName>
    <definedName name="_xlnm.Print_Area" localSheetId="13">FILTROS!$A$1:$G$8</definedName>
    <definedName name="_xlnm.Print_Area" localSheetId="0">PEDIDOS!$A$1:$A$6</definedName>
    <definedName name="_xlnm.Print_Area" localSheetId="6">TIPOS!$A$1:$A$30</definedName>
    <definedName name="_xlnm.Print_Area" localSheetId="15">USERS!$A$1:$A$29</definedName>
    <definedName name="AT">RESUMO_VENDAS!$D:$D</definedName>
    <definedName name="ATATUS_PARCELAS">RELATE_RECEBER!$I:$I</definedName>
    <definedName name="ATEND">VENDAS!$K:$K</definedName>
    <definedName name="CAIXA_QTDE">[1]PEDIDOS!#REF!</definedName>
    <definedName name="CLIENTES_RECEBER">'A RECEBER'!$H:$H</definedName>
    <definedName name="COD_DEVOLUÇ">DEVOLUÇÃO!$C:$C</definedName>
    <definedName name="CODIÇÃO">[1]VENDAS!#REF!</definedName>
    <definedName name="CODIÇÃO_PAGAMENTO">RESUMO_VENDAS!$C:$C</definedName>
    <definedName name="CONDIÇÃO_ANO">RESUMO_VENDAS!$L:$L</definedName>
    <definedName name="CONDIÇÃO_DATA">RESUMO_VENDAS!$J:$J</definedName>
    <definedName name="CONDIÇÃO_MES">RESUMO_VENDAS!$K:$K</definedName>
    <definedName name="CONDIÇÃO_TOTAL">RESUMO_VENDAS!$I:$I</definedName>
    <definedName name="CONTA_ESTATUS">RELATE_APAGAR!$H:$H</definedName>
    <definedName name="CONTA_PAGA">RELATE_APAGAR!$G:$G</definedName>
    <definedName name="CONTA_TOTALL">RELATE_APAGAR!$C:$C</definedName>
    <definedName name="DATA">VENDAS!$L:$L</definedName>
    <definedName name="DATA_APAGAR">'A PAGAR'!$H:$H</definedName>
    <definedName name="data_entradass">'A RECEBER'!$F:$F</definedName>
    <definedName name="data_receber">'A RECEBER'!$I:$I</definedName>
    <definedName name="DATA_SANGRIA">SANGRIA!$F:$F</definedName>
    <definedName name="DENTRO_DO">RELATE_RECEBER!$E$11:$E$3203</definedName>
    <definedName name="ID">[1]PEDIDOS!#REF!</definedName>
    <definedName name="ID_ENTRADA">ENTRADAS!$C:$C</definedName>
    <definedName name="ID_ESTOQUE">LISTA!$B:$B</definedName>
    <definedName name="ID_PEDI">PEDIDOS!$B:$B</definedName>
    <definedName name="ID_PEDIDO">PEDIDOS!$B$7:$B$496</definedName>
    <definedName name="ID_QTD">PEDIDOS!$F:$F</definedName>
    <definedName name="ID_VENDAS">VENDAS!$D:$D</definedName>
    <definedName name="LISTA">[1]LISTA!#REF!</definedName>
    <definedName name="LISTA_ESTOQUE">LISTA!$B:$L</definedName>
    <definedName name="OPERADOR">SANGRIA!$G:$G</definedName>
    <definedName name="PAGAMENTO">VENDAS!$J:$J</definedName>
    <definedName name="pago">'A RECEBER'!$J:$J</definedName>
    <definedName name="pago_receber">'A RECEBER'!#REF!</definedName>
    <definedName name="parcela">'A RECEBER'!$E:$E</definedName>
    <definedName name="PARCELAS">RELATE_RECEBER!$E:$E</definedName>
    <definedName name="QTD_VENDA">VENDAS!$G:$G</definedName>
    <definedName name="QTDE_DEVOLU">DEVOLUÇÃO!$F:$F</definedName>
    <definedName name="QTDE_ENTRADA">ENTRADAS!$G:$G</definedName>
    <definedName name="QTDE_PEDIDO">PEDIDOS!$F$7:$F$539</definedName>
    <definedName name="QTDE_VENDAS">VENDAS!$H:$H</definedName>
    <definedName name="satatusss">RELATE_RECEBER!$I$10:$I$2410</definedName>
    <definedName name="SITUAÇÃO_PARCELA">'A RECEBER'!#REF!</definedName>
    <definedName name="status">'A RECEBER'!$K:$K</definedName>
    <definedName name="T_IDS">LISTA!#REF!</definedName>
    <definedName name="T_QUANTIDADE">[1]PEDIDOS!$F$7:$F$764</definedName>
    <definedName name="TABELA_CLIENTES">CLIENTE!$A:$W</definedName>
    <definedName name="TOTAL">[1]VENDAS!#REF!</definedName>
    <definedName name="TOTAL_ANO">VENDAS!$O:$O</definedName>
    <definedName name="TOTAL_DESCONTO">RESUMO_VENDAS!$F:$F</definedName>
    <definedName name="TOTAL_LUCRO">VENDAS!$N:$N</definedName>
    <definedName name="TOTAL_MES">VENDAS!$P:$P</definedName>
    <definedName name="TOTAL_RESUMO">RESUMO_VENDAS!$E:$E</definedName>
    <definedName name="TOTALLL">RELATE_RECEBER!$N$4</definedName>
    <definedName name="totallll">RELATE_RECEBER!$H$10:$H$2932</definedName>
    <definedName name="valor_entradass">'A RECEBER'!$G:$G</definedName>
    <definedName name="VALOR_PAGO">'A PAGAR'!$I:$I</definedName>
    <definedName name="VALOR_SANGRIA">SANGRIA!$D:$D</definedName>
    <definedName name="VALORR_PAGO">RELATE_RECEBER!$H:$H</definedName>
    <definedName name="VENDA_ID">[1]VENDAS!#REF!</definedName>
    <definedName name="VENDAS_QTDE">[1]VENDAS!#REF!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9" l="1"/>
  <c r="K2" i="32" l="1"/>
  <c r="A2" i="32"/>
  <c r="D8" i="19"/>
  <c r="A8" i="19"/>
  <c r="A2" i="52" l="1"/>
  <c r="B2" i="43" l="1"/>
  <c r="F2" i="46" l="1"/>
  <c r="A1" i="46" l="1"/>
  <c r="A2" i="46"/>
  <c r="A3" i="46"/>
  <c r="A4" i="46"/>
  <c r="A5" i="46"/>
  <c r="K4" i="37" l="1"/>
  <c r="K3" i="37"/>
  <c r="K2" i="37"/>
  <c r="D3" i="38" l="1"/>
  <c r="I3" i="38" l="1"/>
  <c r="I4" i="38"/>
  <c r="I5" i="38"/>
  <c r="I6" i="38"/>
  <c r="I7" i="38"/>
  <c r="I8" i="38"/>
  <c r="I9" i="38"/>
  <c r="I10" i="38"/>
  <c r="I11" i="38"/>
  <c r="I12" i="38"/>
  <c r="I13" i="38"/>
  <c r="I14" i="38"/>
  <c r="K3" i="38"/>
  <c r="D4" i="38"/>
  <c r="E4" i="38"/>
  <c r="G4" i="38" s="1"/>
  <c r="F4" i="38"/>
  <c r="D5" i="38"/>
  <c r="E5" i="38"/>
  <c r="G5" i="38" s="1"/>
  <c r="F5" i="38"/>
  <c r="D6" i="38"/>
  <c r="E6" i="38"/>
  <c r="G6" i="38" s="1"/>
  <c r="F6" i="38"/>
  <c r="D7" i="38"/>
  <c r="E7" i="38"/>
  <c r="G7" i="38" s="1"/>
  <c r="F7" i="38"/>
  <c r="D8" i="38"/>
  <c r="E8" i="38"/>
  <c r="G8" i="38" s="1"/>
  <c r="F8" i="38"/>
  <c r="D9" i="38"/>
  <c r="E9" i="38"/>
  <c r="G9" i="38" s="1"/>
  <c r="F9" i="38"/>
  <c r="D10" i="38"/>
  <c r="E10" i="38"/>
  <c r="G10" i="38" s="1"/>
  <c r="F10" i="38"/>
  <c r="D11" i="38"/>
  <c r="E11" i="38"/>
  <c r="G11" i="38" s="1"/>
  <c r="F11" i="38"/>
  <c r="D12" i="38"/>
  <c r="E12" i="38"/>
  <c r="G12" i="38" s="1"/>
  <c r="F12" i="38"/>
  <c r="D13" i="38"/>
  <c r="E13" i="38"/>
  <c r="G13" i="38" s="1"/>
  <c r="F13" i="38"/>
  <c r="D14" i="38"/>
  <c r="E14" i="38"/>
  <c r="G14" i="38" s="1"/>
  <c r="F14" i="38"/>
  <c r="J4" i="38"/>
  <c r="K4" i="38" s="1"/>
  <c r="J5" i="38"/>
  <c r="K5" i="38" s="1"/>
  <c r="J6" i="38"/>
  <c r="K6" i="38" s="1"/>
  <c r="J7" i="38"/>
  <c r="K7" i="38" s="1"/>
  <c r="J8" i="38"/>
  <c r="K8" i="38" s="1"/>
  <c r="J9" i="38"/>
  <c r="K9" i="38" s="1"/>
  <c r="J10" i="38"/>
  <c r="K10" i="38" s="1"/>
  <c r="J11" i="38"/>
  <c r="K11" i="38" s="1"/>
  <c r="J12" i="38"/>
  <c r="K12" i="38" s="1"/>
  <c r="J13" i="38"/>
  <c r="K13" i="38" s="1"/>
  <c r="J14" i="38"/>
  <c r="K14" i="38" s="1"/>
  <c r="F3" i="38"/>
  <c r="E3" i="38"/>
  <c r="B20" i="17" l="1"/>
  <c r="J1" i="35"/>
  <c r="J5" i="35"/>
  <c r="B19" i="17" l="1"/>
  <c r="B14" i="17" l="1"/>
  <c r="I2" i="53" l="1"/>
  <c r="L2" i="53"/>
  <c r="C2" i="53"/>
  <c r="M3" i="38" l="1"/>
  <c r="M6" i="38" s="1"/>
  <c r="L1" i="15" l="1"/>
  <c r="M1" i="15" s="1"/>
  <c r="N1" i="15" s="1"/>
  <c r="C3" i="19"/>
  <c r="B2" i="22" l="1"/>
  <c r="B18" i="17" l="1"/>
  <c r="H4" i="50" l="1"/>
  <c r="E4" i="50" l="1"/>
  <c r="F4" i="50" s="1"/>
  <c r="J4" i="50"/>
  <c r="E5" i="50"/>
  <c r="F5" i="50" s="1"/>
  <c r="E6" i="50"/>
  <c r="F6" i="50" s="1"/>
  <c r="E7" i="50"/>
  <c r="F7" i="50" s="1"/>
  <c r="E9" i="50"/>
  <c r="F9" i="50" s="1"/>
  <c r="E10" i="50"/>
  <c r="F10" i="50" s="1"/>
  <c r="E11" i="50"/>
  <c r="F11" i="50" s="1"/>
  <c r="E12" i="50"/>
  <c r="F12" i="50" s="1"/>
  <c r="E13" i="50"/>
  <c r="F13" i="50" s="1"/>
  <c r="E14" i="50"/>
  <c r="F14" i="50" s="1"/>
  <c r="E15" i="50"/>
  <c r="F15" i="50" s="1"/>
  <c r="J7" i="50"/>
  <c r="E8" i="50" l="1"/>
  <c r="F8" i="50" s="1"/>
  <c r="F16" i="50" s="1"/>
  <c r="M9" i="38"/>
  <c r="B17" i="17"/>
  <c r="B15" i="17"/>
  <c r="B16" i="17"/>
  <c r="E16" i="50" l="1"/>
  <c r="B22" i="17"/>
  <c r="B21" i="17"/>
  <c r="B24" i="17" l="1"/>
  <c r="C1" i="17"/>
  <c r="A47" i="44"/>
  <c r="A73" i="44" s="1"/>
  <c r="A100" i="44" s="1"/>
  <c r="A128" i="44" s="1"/>
  <c r="A156" i="44" s="1"/>
  <c r="A185" i="44" s="1"/>
  <c r="A215" i="44" s="1"/>
  <c r="A246" i="44" s="1"/>
  <c r="A278" i="44" s="1"/>
  <c r="G3" i="38" l="1"/>
  <c r="J3" i="38" l="1"/>
  <c r="J15" i="38" l="1"/>
  <c r="D1" i="48"/>
  <c r="I15" i="38" l="1"/>
  <c r="K15" i="38"/>
  <c r="K1" i="7"/>
  <c r="J2" i="47" l="1"/>
  <c r="H2" i="47"/>
  <c r="C3" i="47"/>
  <c r="C2" i="47"/>
  <c r="K4" i="46" l="1"/>
  <c r="K3" i="46" l="1"/>
  <c r="K2" i="46"/>
  <c r="K1" i="46"/>
  <c r="M6" i="7" l="1"/>
  <c r="I2" i="46" s="1"/>
  <c r="I1" i="46"/>
  <c r="F7" i="46"/>
  <c r="F6" i="46"/>
  <c r="F3" i="46"/>
  <c r="F5" i="46"/>
  <c r="F4" i="46"/>
  <c r="B7" i="46" l="1"/>
  <c r="A5" i="44" l="1"/>
  <c r="A29" i="44" s="1"/>
  <c r="A54" i="44" s="1"/>
  <c r="A80" i="44" s="1"/>
  <c r="A107" i="44" s="1"/>
  <c r="A135" i="44" s="1"/>
  <c r="A163" i="44" s="1"/>
  <c r="A192" i="44" s="1"/>
  <c r="A222" i="44" s="1"/>
  <c r="A253" i="44" s="1"/>
  <c r="A3" i="44"/>
  <c r="A27" i="44" s="1"/>
  <c r="A52" i="44" s="1"/>
  <c r="A78" i="44" s="1"/>
  <c r="A105" i="44" s="1"/>
  <c r="A133" i="44" s="1"/>
  <c r="A161" i="44" s="1"/>
  <c r="A190" i="44" s="1"/>
  <c r="A220" i="44" s="1"/>
  <c r="A251" i="44" s="1"/>
  <c r="A4" i="44"/>
  <c r="A28" i="44" s="1"/>
  <c r="A53" i="44" s="1"/>
  <c r="A79" i="44" s="1"/>
  <c r="A106" i="44" s="1"/>
  <c r="A134" i="44" s="1"/>
  <c r="A162" i="44" s="1"/>
  <c r="A191" i="44" s="1"/>
  <c r="A221" i="44" s="1"/>
  <c r="A252" i="44" s="1"/>
  <c r="A2" i="44"/>
  <c r="A26" i="44" s="1"/>
  <c r="A51" i="44" s="1"/>
  <c r="A77" i="44" s="1"/>
  <c r="A104" i="44" s="1"/>
  <c r="A132" i="44" s="1"/>
  <c r="A160" i="44" s="1"/>
  <c r="A189" i="44" s="1"/>
  <c r="A219" i="44" s="1"/>
  <c r="A250" i="44" s="1"/>
  <c r="A1" i="44"/>
  <c r="A25" i="44" s="1"/>
  <c r="A50" i="44" s="1"/>
  <c r="A76" i="44" s="1"/>
  <c r="A103" i="44" s="1"/>
  <c r="A131" i="44" s="1"/>
  <c r="A159" i="44" s="1"/>
  <c r="A188" i="44" s="1"/>
  <c r="A218" i="44" s="1"/>
  <c r="A249" i="44" s="1"/>
  <c r="J3" i="36" l="1"/>
  <c r="G3" i="36"/>
  <c r="H1" i="45" l="1"/>
  <c r="C2" i="45"/>
  <c r="B155" i="43" l="1"/>
  <c r="B139" i="43"/>
  <c r="B123" i="43"/>
  <c r="B107" i="43"/>
  <c r="B91" i="43"/>
  <c r="B75" i="43"/>
  <c r="B59" i="43"/>
  <c r="B43" i="43"/>
  <c r="B27" i="43"/>
  <c r="B11" i="43"/>
  <c r="B18" i="44" s="1"/>
  <c r="B43" i="44" s="1"/>
  <c r="B69" i="44" s="1"/>
  <c r="B96" i="44" s="1"/>
  <c r="B124" i="44" s="1"/>
  <c r="B152" i="44" s="1"/>
  <c r="B181" i="44" s="1"/>
  <c r="B211" i="44" s="1"/>
  <c r="B242" i="44" s="1"/>
  <c r="B274" i="44" s="1"/>
  <c r="B7" i="43" l="1"/>
  <c r="H1" i="43"/>
  <c r="B17" i="43"/>
  <c r="A34" i="44" s="1"/>
  <c r="A59" i="44" s="1"/>
  <c r="A85" i="44" s="1"/>
  <c r="A112" i="44" s="1"/>
  <c r="A140" i="44" s="1"/>
  <c r="A168" i="44" s="1"/>
  <c r="A197" i="44" s="1"/>
  <c r="A227" i="44" s="1"/>
  <c r="A258" i="44" s="1"/>
  <c r="B18" i="43"/>
  <c r="B34" i="43" s="1"/>
  <c r="B50" i="43" s="1"/>
  <c r="B66" i="43" s="1"/>
  <c r="B145" i="43"/>
  <c r="A266" i="44" s="1"/>
  <c r="B129" i="43"/>
  <c r="A234" i="44" s="1"/>
  <c r="A265" i="44" s="1"/>
  <c r="B113" i="43"/>
  <c r="A203" i="44" s="1"/>
  <c r="A233" i="44" s="1"/>
  <c r="A264" i="44" s="1"/>
  <c r="B97" i="43"/>
  <c r="A173" i="44" s="1"/>
  <c r="A202" i="44" s="1"/>
  <c r="A232" i="44" s="1"/>
  <c r="A263" i="44" s="1"/>
  <c r="B81" i="43"/>
  <c r="A144" i="44" s="1"/>
  <c r="A172" i="44" s="1"/>
  <c r="A201" i="44" s="1"/>
  <c r="A231" i="44" s="1"/>
  <c r="A262" i="44" s="1"/>
  <c r="B65" i="43"/>
  <c r="A115" i="44" s="1"/>
  <c r="A143" i="44" s="1"/>
  <c r="A171" i="44" s="1"/>
  <c r="A200" i="44" s="1"/>
  <c r="A230" i="44" s="1"/>
  <c r="A261" i="44" s="1"/>
  <c r="B49" i="43"/>
  <c r="A87" i="44" s="1"/>
  <c r="A114" i="44" s="1"/>
  <c r="A142" i="44" s="1"/>
  <c r="A170" i="44" s="1"/>
  <c r="A199" i="44" s="1"/>
  <c r="A229" i="44" s="1"/>
  <c r="A260" i="44" s="1"/>
  <c r="B33" i="43"/>
  <c r="A60" i="44" s="1"/>
  <c r="A86" i="44" s="1"/>
  <c r="A113" i="44" s="1"/>
  <c r="A141" i="44" s="1"/>
  <c r="A169" i="44" s="1"/>
  <c r="A198" i="44" s="1"/>
  <c r="A228" i="44" s="1"/>
  <c r="A259" i="44" s="1"/>
  <c r="J1" i="43"/>
  <c r="B1" i="43"/>
  <c r="B82" i="43" l="1"/>
  <c r="B98" i="43" s="1"/>
  <c r="B114" i="43" s="1"/>
  <c r="B130" i="43" s="1"/>
  <c r="B146" i="43" s="1"/>
  <c r="F8" i="43"/>
  <c r="F24" i="43" s="1"/>
  <c r="F40" i="43" s="1"/>
  <c r="F56" i="43" s="1"/>
  <c r="F72" i="43" s="1"/>
  <c r="F88" i="43" s="1"/>
  <c r="F104" i="43" s="1"/>
  <c r="F120" i="43" s="1"/>
  <c r="F136" i="43" s="1"/>
  <c r="F152" i="43" s="1"/>
  <c r="A14" i="44"/>
  <c r="A39" i="44" s="1"/>
  <c r="A65" i="44" s="1"/>
  <c r="A92" i="44" s="1"/>
  <c r="A120" i="44" s="1"/>
  <c r="A148" i="44" s="1"/>
  <c r="A177" i="44" s="1"/>
  <c r="A207" i="44" s="1"/>
  <c r="A238" i="44" s="1"/>
  <c r="A270" i="44" s="1"/>
  <c r="H17" i="43"/>
  <c r="C36" i="44"/>
  <c r="C11" i="44"/>
  <c r="A33" i="44"/>
  <c r="A58" i="44" s="1"/>
  <c r="A84" i="44" s="1"/>
  <c r="A111" i="44" s="1"/>
  <c r="A139" i="44" s="1"/>
  <c r="A167" i="44" s="1"/>
  <c r="A196" i="44" s="1"/>
  <c r="A226" i="44" s="1"/>
  <c r="A257" i="44" s="1"/>
  <c r="A9" i="44"/>
  <c r="J17" i="43"/>
  <c r="B60" i="44" s="1"/>
  <c r="B33" i="44"/>
  <c r="B58" i="44" s="1"/>
  <c r="B9" i="44"/>
  <c r="B9" i="43"/>
  <c r="I7" i="43"/>
  <c r="B23" i="43"/>
  <c r="B39" i="43" s="1"/>
  <c r="B55" i="43" s="1"/>
  <c r="B71" i="43" s="1"/>
  <c r="B87" i="43" s="1"/>
  <c r="B103" i="43" s="1"/>
  <c r="B119" i="43" s="1"/>
  <c r="B135" i="43" s="1"/>
  <c r="B151" i="43" s="1"/>
  <c r="I9" i="43"/>
  <c r="I25" i="43" s="1"/>
  <c r="I41" i="43" s="1"/>
  <c r="I57" i="43" s="1"/>
  <c r="I73" i="43" s="1"/>
  <c r="I89" i="43" s="1"/>
  <c r="I105" i="43" s="1"/>
  <c r="I121" i="43" s="1"/>
  <c r="I137" i="43" s="1"/>
  <c r="I153" i="43" s="1"/>
  <c r="B8" i="43"/>
  <c r="F9" i="43"/>
  <c r="F25" i="43" s="1"/>
  <c r="F41" i="43" s="1"/>
  <c r="F57" i="43" s="1"/>
  <c r="F73" i="43" s="1"/>
  <c r="F89" i="43" s="1"/>
  <c r="F105" i="43" s="1"/>
  <c r="F121" i="43" s="1"/>
  <c r="F137" i="43" s="1"/>
  <c r="F153" i="43" s="1"/>
  <c r="F7" i="43"/>
  <c r="F39" i="43" s="1"/>
  <c r="F55" i="43" s="1"/>
  <c r="F71" i="43" s="1"/>
  <c r="F87" i="43" s="1"/>
  <c r="F103" i="43" s="1"/>
  <c r="F119" i="43" s="1"/>
  <c r="F135" i="43" s="1"/>
  <c r="F151" i="43" s="1"/>
  <c r="I23" i="43" l="1"/>
  <c r="I39" i="43" s="1"/>
  <c r="I55" i="43" s="1"/>
  <c r="I71" i="43" s="1"/>
  <c r="I87" i="43" s="1"/>
  <c r="I103" i="43" s="1"/>
  <c r="I119" i="43" s="1"/>
  <c r="I135" i="43" s="1"/>
  <c r="I151" i="43" s="1"/>
  <c r="A17" i="44"/>
  <c r="A42" i="44" s="1"/>
  <c r="A68" i="44" s="1"/>
  <c r="A95" i="44" s="1"/>
  <c r="A123" i="44" s="1"/>
  <c r="A151" i="44" s="1"/>
  <c r="A180" i="44" s="1"/>
  <c r="A210" i="44" s="1"/>
  <c r="A241" i="44" s="1"/>
  <c r="A273" i="44" s="1"/>
  <c r="B24" i="43"/>
  <c r="B40" i="43" s="1"/>
  <c r="B56" i="43" s="1"/>
  <c r="B72" i="43" s="1"/>
  <c r="B88" i="43" s="1"/>
  <c r="B104" i="43" s="1"/>
  <c r="B120" i="43" s="1"/>
  <c r="B136" i="43" s="1"/>
  <c r="B152" i="43" s="1"/>
  <c r="A15" i="44"/>
  <c r="A40" i="44" s="1"/>
  <c r="A66" i="44" s="1"/>
  <c r="A93" i="44" s="1"/>
  <c r="A121" i="44" s="1"/>
  <c r="A149" i="44" s="1"/>
  <c r="A178" i="44" s="1"/>
  <c r="A208" i="44" s="1"/>
  <c r="A239" i="44" s="1"/>
  <c r="A271" i="44" s="1"/>
  <c r="B25" i="43"/>
  <c r="B41" i="43" s="1"/>
  <c r="B57" i="43" s="1"/>
  <c r="B73" i="43" s="1"/>
  <c r="B89" i="43" s="1"/>
  <c r="B105" i="43" s="1"/>
  <c r="B121" i="43" s="1"/>
  <c r="B137" i="43" s="1"/>
  <c r="B153" i="43" s="1"/>
  <c r="A16" i="44"/>
  <c r="A41" i="44" s="1"/>
  <c r="A67" i="44" s="1"/>
  <c r="A94" i="44" s="1"/>
  <c r="A122" i="44" s="1"/>
  <c r="A150" i="44" s="1"/>
  <c r="A179" i="44" s="1"/>
  <c r="A209" i="44" s="1"/>
  <c r="A240" i="44" s="1"/>
  <c r="A272" i="44" s="1"/>
  <c r="B85" i="44"/>
  <c r="B86" i="44"/>
  <c r="B111" i="44" s="1"/>
  <c r="H33" i="43"/>
  <c r="H49" i="43" s="1"/>
  <c r="H65" i="43" s="1"/>
  <c r="H81" i="43" s="1"/>
  <c r="H97" i="43" s="1"/>
  <c r="H113" i="43" s="1"/>
  <c r="H129" i="43" s="1"/>
  <c r="H145" i="43" s="1"/>
  <c r="C62" i="44"/>
  <c r="C89" i="44" s="1"/>
  <c r="C117" i="44" s="1"/>
  <c r="C145" i="44" s="1"/>
  <c r="C174" i="44" s="1"/>
  <c r="C204" i="44" s="1"/>
  <c r="C235" i="44" s="1"/>
  <c r="C267" i="44" s="1"/>
  <c r="J33" i="43"/>
  <c r="J49" i="43" s="1"/>
  <c r="B34" i="44"/>
  <c r="B59" i="44" s="1"/>
  <c r="B84" i="44" s="1"/>
  <c r="E8" i="19"/>
  <c r="H8" i="19"/>
  <c r="E9" i="19"/>
  <c r="J65" i="43" l="1"/>
  <c r="J81" i="43" s="1"/>
  <c r="J97" i="43" s="1"/>
  <c r="J113" i="43" s="1"/>
  <c r="J129" i="43" s="1"/>
  <c r="J145" i="43" s="1"/>
  <c r="B87" i="44"/>
  <c r="P6" i="7"/>
  <c r="I3" i="46" s="1"/>
  <c r="O6" i="7"/>
  <c r="I4" i="46" s="1"/>
  <c r="B112" i="44" l="1"/>
  <c r="B113" i="44"/>
  <c r="B114" i="44" s="1"/>
  <c r="B115" i="44" l="1"/>
  <c r="B139" i="44"/>
  <c r="B167" i="44" s="1"/>
  <c r="B140" i="44" l="1"/>
  <c r="B168" i="44" s="1"/>
  <c r="B196" i="44" s="1"/>
  <c r="B141" i="44"/>
  <c r="G17" i="19"/>
  <c r="F145" i="43" s="1"/>
  <c r="G8" i="19"/>
  <c r="D1" i="43"/>
  <c r="G16" i="19"/>
  <c r="G9" i="19"/>
  <c r="F17" i="43" s="1"/>
  <c r="B142" i="44" l="1"/>
  <c r="B169" i="44"/>
  <c r="B197" i="44" s="1"/>
  <c r="D146" i="43"/>
  <c r="C266" i="44"/>
  <c r="D18" i="43"/>
  <c r="C34" i="44"/>
  <c r="C59" i="44" s="1"/>
  <c r="C85" i="44" s="1"/>
  <c r="C112" i="44" s="1"/>
  <c r="C140" i="44" s="1"/>
  <c r="C168" i="44" s="1"/>
  <c r="C197" i="44" s="1"/>
  <c r="C227" i="44" s="1"/>
  <c r="C258" i="44" s="1"/>
  <c r="B6" i="44"/>
  <c r="B30" i="44"/>
  <c r="B55" i="44" s="1"/>
  <c r="D17" i="43"/>
  <c r="D33" i="43" s="1"/>
  <c r="D49" i="43" s="1"/>
  <c r="D65" i="43" s="1"/>
  <c r="D81" i="43" s="1"/>
  <c r="D97" i="43" s="1"/>
  <c r="D113" i="43" s="1"/>
  <c r="D129" i="43" s="1"/>
  <c r="D145" i="43" s="1"/>
  <c r="F2" i="43"/>
  <c r="F18" i="43" s="1"/>
  <c r="F34" i="43" s="1"/>
  <c r="F50" i="43" s="1"/>
  <c r="F66" i="43" s="1"/>
  <c r="F82" i="43" s="1"/>
  <c r="F98" i="43" s="1"/>
  <c r="F114" i="43" s="1"/>
  <c r="F130" i="43" s="1"/>
  <c r="F146" i="43" s="1"/>
  <c r="F1" i="43"/>
  <c r="C33" i="44" s="1"/>
  <c r="C58" i="44" s="1"/>
  <c r="C84" i="44" s="1"/>
  <c r="C111" i="44" s="1"/>
  <c r="C139" i="44" s="1"/>
  <c r="C167" i="44" s="1"/>
  <c r="C196" i="44" s="1"/>
  <c r="C226" i="44" s="1"/>
  <c r="C257" i="44" s="1"/>
  <c r="B170" i="44" l="1"/>
  <c r="B198" i="44" s="1"/>
  <c r="B226" i="44" s="1"/>
  <c r="B143" i="44"/>
  <c r="B108" i="44"/>
  <c r="B136" i="44" s="1"/>
  <c r="B164" i="44" s="1"/>
  <c r="B193" i="44" s="1"/>
  <c r="B223" i="44" s="1"/>
  <c r="B254" i="44" s="1"/>
  <c r="B81" i="44"/>
  <c r="D2" i="43"/>
  <c r="C9" i="44"/>
  <c r="B171" i="44" l="1"/>
  <c r="B199" i="44" s="1"/>
  <c r="B227" i="44" s="1"/>
  <c r="B144" i="44"/>
  <c r="B172" i="44" s="1"/>
  <c r="B200" i="44" l="1"/>
  <c r="B228" i="44" s="1"/>
  <c r="B173" i="44"/>
  <c r="B201" i="44" s="1"/>
  <c r="B229" i="44" l="1"/>
  <c r="B257" i="44" s="1"/>
  <c r="B202" i="44"/>
  <c r="B230" i="44" s="1"/>
  <c r="B258" i="44" s="1"/>
  <c r="B203" i="44"/>
  <c r="B231" i="44" s="1"/>
  <c r="F12" i="19"/>
  <c r="B259" i="44" l="1"/>
  <c r="B232" i="44"/>
  <c r="B234" i="44"/>
  <c r="B262" i="44" s="1"/>
  <c r="B260" i="44" l="1"/>
  <c r="B233" i="44"/>
  <c r="B261" i="44" s="1"/>
  <c r="B266" i="44"/>
  <c r="B263" i="44"/>
  <c r="B264" i="44" s="1"/>
  <c r="B265" i="44" s="1"/>
  <c r="B3" i="39"/>
  <c r="B2" i="39"/>
  <c r="J2" i="39"/>
  <c r="A3" i="37" l="1"/>
  <c r="A2" i="37"/>
  <c r="A4" i="36"/>
  <c r="A3" i="36"/>
  <c r="A3" i="35" l="1"/>
  <c r="A2" i="35"/>
  <c r="J4" i="35"/>
  <c r="J3" i="35"/>
  <c r="J2" i="35"/>
  <c r="A2" i="34"/>
  <c r="A1" i="34"/>
  <c r="G2" i="34"/>
  <c r="L6" i="33"/>
  <c r="L5" i="33"/>
  <c r="G1" i="7" l="1"/>
  <c r="F1" i="46" s="1"/>
  <c r="B2" i="33" l="1"/>
  <c r="B1" i="33"/>
  <c r="G10" i="19" l="1"/>
  <c r="F33" i="43" s="1"/>
  <c r="E16" i="19"/>
  <c r="E15" i="19"/>
  <c r="E13" i="19"/>
  <c r="E12" i="19"/>
  <c r="G11" i="19"/>
  <c r="F49" i="43" s="1"/>
  <c r="E14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D50" i="43" l="1"/>
  <c r="C87" i="44"/>
  <c r="C114" i="44" s="1"/>
  <c r="C142" i="44" s="1"/>
  <c r="C170" i="44" s="1"/>
  <c r="C199" i="44" s="1"/>
  <c r="C229" i="44" s="1"/>
  <c r="C260" i="44" s="1"/>
  <c r="D34" i="43"/>
  <c r="C60" i="44"/>
  <c r="C86" i="44" s="1"/>
  <c r="C113" i="44" s="1"/>
  <c r="C141" i="44" s="1"/>
  <c r="C169" i="44" s="1"/>
  <c r="C198" i="44" s="1"/>
  <c r="C228" i="44" s="1"/>
  <c r="C259" i="44" s="1"/>
  <c r="E10" i="19"/>
  <c r="E11" i="19" l="1"/>
  <c r="F16" i="19"/>
  <c r="F27" i="19"/>
  <c r="F26" i="19"/>
  <c r="F25" i="19"/>
  <c r="F24" i="19"/>
  <c r="F23" i="19"/>
  <c r="F22" i="19"/>
  <c r="F21" i="19"/>
  <c r="F20" i="19"/>
  <c r="F18" i="19"/>
  <c r="F14" i="19"/>
  <c r="F19" i="19"/>
  <c r="F17" i="19"/>
  <c r="F15" i="19"/>
  <c r="F13" i="19"/>
  <c r="A24" i="31" l="1"/>
  <c r="B3" i="22" l="1"/>
  <c r="B10" i="17" l="1"/>
  <c r="L1" i="33" l="1"/>
  <c r="L4" i="33"/>
  <c r="A2" i="27"/>
  <c r="L3" i="33" l="1"/>
  <c r="L2" i="33"/>
  <c r="B4" i="22" l="1"/>
  <c r="B6" i="22" s="1"/>
  <c r="B5" i="22" l="1"/>
  <c r="B8" i="22" s="1"/>
  <c r="B7" i="22" l="1"/>
  <c r="B1" i="20"/>
  <c r="F1" i="20"/>
  <c r="D1" i="20"/>
  <c r="F129" i="43"/>
  <c r="C234" i="44" s="1"/>
  <c r="C265" i="44" s="1"/>
  <c r="G15" i="19"/>
  <c r="G14" i="19"/>
  <c r="F97" i="43" s="1"/>
  <c r="G13" i="19"/>
  <c r="F81" i="43" s="1"/>
  <c r="G12" i="19"/>
  <c r="F65" i="43" s="1"/>
  <c r="G27" i="19"/>
  <c r="G26" i="19"/>
  <c r="G25" i="19"/>
  <c r="G23" i="19"/>
  <c r="G22" i="19"/>
  <c r="G21" i="19"/>
  <c r="G20" i="19"/>
  <c r="G19" i="19"/>
  <c r="G18" i="19"/>
  <c r="G24" i="19"/>
  <c r="G28" i="19"/>
  <c r="G29" i="19"/>
  <c r="G30" i="19"/>
  <c r="D98" i="43" l="1"/>
  <c r="C173" i="44"/>
  <c r="C202" i="44" s="1"/>
  <c r="C232" i="44" s="1"/>
  <c r="C263" i="44" s="1"/>
  <c r="D82" i="43"/>
  <c r="C144" i="44"/>
  <c r="C172" i="44" s="1"/>
  <c r="C201" i="44" s="1"/>
  <c r="C231" i="44" s="1"/>
  <c r="C262" i="44" s="1"/>
  <c r="D66" i="43"/>
  <c r="C115" i="44"/>
  <c r="C143" i="44" s="1"/>
  <c r="C171" i="44" s="1"/>
  <c r="C200" i="44" s="1"/>
  <c r="C230" i="44" s="1"/>
  <c r="C261" i="44" s="1"/>
  <c r="F113" i="43"/>
  <c r="D114" i="43" s="1"/>
  <c r="D130" i="43"/>
  <c r="C203" i="44" l="1"/>
  <c r="C233" i="44" s="1"/>
  <c r="C264" i="44" s="1"/>
  <c r="F15" i="38" l="1"/>
  <c r="E15" i="38"/>
  <c r="D15" i="38"/>
  <c r="G15" i="38" l="1"/>
  <c r="E4" i="7"/>
  <c r="F23" i="43"/>
  <c r="B6" i="46" l="1"/>
  <c r="J5" i="7"/>
</calcChain>
</file>

<file path=xl/sharedStrings.xml><?xml version="1.0" encoding="utf-8"?>
<sst xmlns="http://schemas.openxmlformats.org/spreadsheetml/2006/main" count="1028" uniqueCount="333">
  <si>
    <t>Descrição</t>
  </si>
  <si>
    <t>Código</t>
  </si>
  <si>
    <t>Medida</t>
  </si>
  <si>
    <t xml:space="preserve">Pagamento: </t>
  </si>
  <si>
    <t>A VISTA</t>
  </si>
  <si>
    <t xml:space="preserve">SUBTOTAL : </t>
  </si>
  <si>
    <t>DINHEIRO</t>
  </si>
  <si>
    <t xml:space="preserve">Cliente: </t>
  </si>
  <si>
    <t>CARTÃO</t>
  </si>
  <si>
    <t>DESCONTO</t>
  </si>
  <si>
    <t xml:space="preserve">Data: </t>
  </si>
  <si>
    <t>QTDE</t>
  </si>
  <si>
    <t>1</t>
  </si>
  <si>
    <t>TROCO</t>
  </si>
  <si>
    <t>ID</t>
  </si>
  <si>
    <t>DESCRIÇÃO</t>
  </si>
  <si>
    <t>VALOR TOTAL</t>
  </si>
  <si>
    <t>Descrição      Qtde  V.Unit. Total</t>
  </si>
  <si>
    <t>----------------------------------</t>
  </si>
  <si>
    <t>Unitario</t>
  </si>
  <si>
    <t>Caixa</t>
  </si>
  <si>
    <t>Saídas</t>
  </si>
  <si>
    <t>Entradas</t>
  </si>
  <si>
    <t>Devolução</t>
  </si>
  <si>
    <t>KG</t>
  </si>
  <si>
    <t>UNIDADE</t>
  </si>
  <si>
    <t>Qtde</t>
  </si>
  <si>
    <t>Total</t>
  </si>
  <si>
    <t>Fornecedor</t>
  </si>
  <si>
    <t>Data</t>
  </si>
  <si>
    <t>IP</t>
  </si>
  <si>
    <t>ID_VENDA</t>
  </si>
  <si>
    <t>CODIGO</t>
  </si>
  <si>
    <t>UNITARIO</t>
  </si>
  <si>
    <t>TOTAL</t>
  </si>
  <si>
    <t>CLIENTE</t>
  </si>
  <si>
    <t>PAGAMENTO</t>
  </si>
  <si>
    <t>ATENDENTE</t>
  </si>
  <si>
    <t>DATA</t>
  </si>
  <si>
    <t>CUSTO</t>
  </si>
  <si>
    <t>LUCRO</t>
  </si>
  <si>
    <t>ANO</t>
  </si>
  <si>
    <t>MÊS</t>
  </si>
  <si>
    <t>TIPOS DE MEDIDA</t>
  </si>
  <si>
    <t>PEÇA</t>
  </si>
  <si>
    <t>BLOCO</t>
  </si>
  <si>
    <t>CONJUNTO</t>
  </si>
  <si>
    <t>CAIXA</t>
  </si>
  <si>
    <t>DUZIA</t>
  </si>
  <si>
    <t>FARDO</t>
  </si>
  <si>
    <t>GRAMA</t>
  </si>
  <si>
    <t>LITRO</t>
  </si>
  <si>
    <t>METRO</t>
  </si>
  <si>
    <t>MILHEIRO</t>
  </si>
  <si>
    <t>PAR</t>
  </si>
  <si>
    <t>TANQUE</t>
  </si>
  <si>
    <t>SC</t>
  </si>
  <si>
    <t>APARELHO</t>
  </si>
  <si>
    <t>LATA</t>
  </si>
  <si>
    <t>ROLO</t>
  </si>
  <si>
    <t>GALÃO</t>
  </si>
  <si>
    <t>ENTRADA</t>
  </si>
  <si>
    <t>NUMERO</t>
  </si>
  <si>
    <t>PARCELA</t>
  </si>
  <si>
    <t>-----------------------</t>
  </si>
  <si>
    <t>A PRAZO</t>
  </si>
  <si>
    <t>Saldo Inicial</t>
  </si>
  <si>
    <t>ID_PRO</t>
  </si>
  <si>
    <t>TOTAL C/DES</t>
  </si>
  <si>
    <t>123</t>
  </si>
  <si>
    <t>CARTÃO DÉBITO</t>
  </si>
  <si>
    <t>CARTÃO CRÉDITO</t>
  </si>
  <si>
    <t>CHEQUE</t>
  </si>
  <si>
    <t>DATA INICIAL</t>
  </si>
  <si>
    <t>QTD PARCELA</t>
  </si>
  <si>
    <t>VENCIMENTO</t>
  </si>
  <si>
    <t>VALOR</t>
  </si>
  <si>
    <t>VALOR PGO</t>
  </si>
  <si>
    <t>DATA PAG</t>
  </si>
  <si>
    <t>STATUS</t>
  </si>
  <si>
    <t>VENCIDA</t>
  </si>
  <si>
    <t>PROXIMA</t>
  </si>
  <si>
    <t>PAGO</t>
  </si>
  <si>
    <t>DTA ENTRADA</t>
  </si>
  <si>
    <t xml:space="preserve">Nº </t>
  </si>
  <si>
    <t>Nome</t>
  </si>
  <si>
    <t>Sexo</t>
  </si>
  <si>
    <t>Estado Civil</t>
  </si>
  <si>
    <t>RG</t>
  </si>
  <si>
    <t>CPF</t>
  </si>
  <si>
    <t>Data de Nascimento</t>
  </si>
  <si>
    <t>Nacionalidade</t>
  </si>
  <si>
    <t>Naturalidade</t>
  </si>
  <si>
    <t>UF</t>
  </si>
  <si>
    <t>Endereço</t>
  </si>
  <si>
    <t>Número</t>
  </si>
  <si>
    <t>Complemento</t>
  </si>
  <si>
    <t>Município</t>
  </si>
  <si>
    <t>Bairro</t>
  </si>
  <si>
    <t>CEP</t>
  </si>
  <si>
    <t>Telefone</t>
  </si>
  <si>
    <t>Celular</t>
  </si>
  <si>
    <t>E-mail</t>
  </si>
  <si>
    <t>Cadastrado em</t>
  </si>
  <si>
    <t>Observações</t>
  </si>
  <si>
    <t>CACULÉ</t>
  </si>
  <si>
    <t>Limite credito</t>
  </si>
  <si>
    <t>CLIENTE NÃO IDENTIFICADO</t>
  </si>
  <si>
    <t>Custo</t>
  </si>
  <si>
    <t>DURVAL SILVA LIMA JÚNIOR</t>
  </si>
  <si>
    <t>COMPRAS</t>
  </si>
  <si>
    <t>DEVEDOR</t>
  </si>
  <si>
    <t>COMPRANDO</t>
  </si>
  <si>
    <t>LIMITE</t>
  </si>
  <si>
    <t>LIMITE USADO</t>
  </si>
  <si>
    <t>LIMITE DISPONIVEL</t>
  </si>
  <si>
    <t>SENHA PERMISSÃO</t>
  </si>
  <si>
    <t>LIMITE ADMIN</t>
  </si>
  <si>
    <t>FORNECEDOR</t>
  </si>
  <si>
    <t>TIPO</t>
  </si>
  <si>
    <t>DATA LANÇ</t>
  </si>
  <si>
    <t>DATA PGTO</t>
  </si>
  <si>
    <t>ADMIN</t>
  </si>
  <si>
    <t>Administrador</t>
  </si>
  <si>
    <t>SENHA</t>
  </si>
  <si>
    <t>USUARIO</t>
  </si>
  <si>
    <t>PERMITIR</t>
  </si>
  <si>
    <t>NOME</t>
  </si>
  <si>
    <t>002362 212 VIPMEN</t>
  </si>
  <si>
    <t>SALDO ATUAL</t>
  </si>
  <si>
    <t>RETIRADA</t>
  </si>
  <si>
    <t>SALDO FINAL</t>
  </si>
  <si>
    <t>OPERADOR</t>
  </si>
  <si>
    <t>MOTIVO</t>
  </si>
  <si>
    <t>COMPROVANTE</t>
  </si>
  <si>
    <t>NOME DO CLIENTE</t>
  </si>
  <si>
    <t>DATA DE PAGAMENTO</t>
  </si>
  <si>
    <t>DATA DE VENCIMENTO</t>
  </si>
  <si>
    <t>PARCELA DE NÚMERO</t>
  </si>
  <si>
    <t>VALOR PAGO</t>
  </si>
  <si>
    <t>**OBRIGADO PELO PAGAMENTO***</t>
  </si>
  <si>
    <t>Parcela Quitada</t>
  </si>
  <si>
    <t>Bairro,São Cristovão,Centro</t>
  </si>
  <si>
    <t>Caculé,Fone: (77) 99116-6423</t>
  </si>
  <si>
    <t>Rua Isac Alves,Casa nº 68</t>
  </si>
  <si>
    <t>CPNJ:00.000.000/0001-10</t>
  </si>
  <si>
    <t>Cartão - Débito</t>
  </si>
  <si>
    <t>Cartão - Crédito</t>
  </si>
  <si>
    <t>Dentro do Prazo</t>
  </si>
  <si>
    <t>Próximos dias</t>
  </si>
  <si>
    <t>Pag Parcial</t>
  </si>
  <si>
    <t>RELATÓRIOS CONTAS A RECEBER</t>
  </si>
  <si>
    <t>Parcela Vencida</t>
  </si>
  <si>
    <t>Vencida</t>
  </si>
  <si>
    <t>RELATÓRIOS - VENDAS</t>
  </si>
  <si>
    <t>Subtotal</t>
  </si>
  <si>
    <t>Conta Paga</t>
  </si>
  <si>
    <t>RETATÓRIOS - CONTAS A PAGAR</t>
  </si>
  <si>
    <t>CASA DAS PLANILHAS</t>
  </si>
  <si>
    <t>RELATÓRIO - ENTRADAS</t>
  </si>
  <si>
    <t>TOTAL:</t>
  </si>
  <si>
    <t xml:space="preserve">RELATÓRIO - PRODUTOS                                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</si>
  <si>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</si>
  <si>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</si>
  <si>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</si>
  <si>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</si>
  <si>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</si>
  <si>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</si>
  <si>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</si>
  <si>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</si>
  <si>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</si>
  <si>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</si>
  <si>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</si>
  <si>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</si>
  <si>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Nº</t>
  </si>
  <si>
    <t>SUBTOTAL</t>
  </si>
  <si>
    <t>TOTAIS</t>
  </si>
  <si>
    <t>VENDAS</t>
  </si>
  <si>
    <t>V.Unit</t>
  </si>
  <si>
    <t>Cliente</t>
  </si>
  <si>
    <t>Motivo</t>
  </si>
  <si>
    <t>RELATÓRIO - DEVOLUÇÃO</t>
  </si>
  <si>
    <t>Total:</t>
  </si>
  <si>
    <t>Cheque</t>
  </si>
  <si>
    <t>A vista</t>
  </si>
  <si>
    <t>A prazo</t>
  </si>
  <si>
    <t>123456</t>
  </si>
  <si>
    <t>Alerta</t>
  </si>
  <si>
    <t>Boleto</t>
  </si>
  <si>
    <t>Mercado Pago</t>
  </si>
  <si>
    <t>Pag Seguro</t>
  </si>
  <si>
    <t>Casa das planilhas</t>
  </si>
  <si>
    <t>Programas profissionais</t>
  </si>
  <si>
    <t>CUPOM NÃO FISCAL</t>
  </si>
  <si>
    <t>Ativo</t>
  </si>
  <si>
    <t>Total Cheque</t>
  </si>
  <si>
    <t>Data da Venda</t>
  </si>
  <si>
    <t>Parcela</t>
  </si>
  <si>
    <t>Prazo</t>
  </si>
  <si>
    <t>Mês</t>
  </si>
  <si>
    <t>Ano</t>
  </si>
  <si>
    <t>a CASA DAS PLANILHAS</t>
  </si>
  <si>
    <t>CNPJ</t>
  </si>
  <si>
    <t>00.000.000/0001-00</t>
  </si>
  <si>
    <t>INSC EST.</t>
  </si>
  <si>
    <t xml:space="preserve">ou a sua ordem, a quantia de </t>
  </si>
  <si>
    <t>Pagável em</t>
  </si>
  <si>
    <t>Cliente:</t>
  </si>
  <si>
    <t>Fone</t>
  </si>
  <si>
    <t>Cidade</t>
  </si>
  <si>
    <t>Vendedor</t>
  </si>
  <si>
    <t>APÓS O VENCIMENTO SERÁ COBRADO JUROS DE R$ 0,05 AO DIA</t>
  </si>
  <si>
    <t>Assinatura</t>
  </si>
  <si>
    <r>
      <t xml:space="preserve">pagarei esta única via de </t>
    </r>
    <r>
      <rPr>
        <b/>
        <sz val="9"/>
        <rFont val="Arial"/>
        <family val="2"/>
      </rPr>
      <t>NOTA PROMISSORA</t>
    </r>
  </si>
  <si>
    <t>Venc.</t>
  </si>
  <si>
    <t>Data Atual</t>
  </si>
  <si>
    <t>Valor</t>
  </si>
  <si>
    <t>Vencimento</t>
  </si>
  <si>
    <t>Subtotal&gt;&gt;&gt;&gt;&gt;&gt;&gt;&gt;&gt;</t>
  </si>
  <si>
    <t>Vendedor:</t>
  </si>
  <si>
    <t>*******************************</t>
  </si>
  <si>
    <t>REALATÓRIO</t>
  </si>
  <si>
    <t>PACOTE</t>
  </si>
  <si>
    <t>PEND MINI P/BAT.</t>
  </si>
  <si>
    <t xml:space="preserve">Qtde </t>
  </si>
  <si>
    <t xml:space="preserve">Códio </t>
  </si>
  <si>
    <t>ENTRADAS</t>
  </si>
  <si>
    <t>RECEBIDO</t>
  </si>
  <si>
    <t>CONDIÇÃO</t>
  </si>
  <si>
    <t>ENDEREÇO</t>
  </si>
  <si>
    <t>BAIRRO</t>
  </si>
  <si>
    <t>VALOR FINAL</t>
  </si>
  <si>
    <t>ACRESCIMO</t>
  </si>
  <si>
    <t>TAXA</t>
  </si>
  <si>
    <t>Data do Pedido</t>
  </si>
  <si>
    <t>Número do Pedido</t>
  </si>
  <si>
    <t>Qte</t>
  </si>
  <si>
    <t>RELATÓRIO DE LUCROS</t>
  </si>
  <si>
    <t>F:\Imagem Produtos\carrinho_de_compras.jpg</t>
  </si>
  <si>
    <t>Foto</t>
  </si>
  <si>
    <t>CAMISA AZUL SLIN M</t>
  </si>
  <si>
    <t>BERMUDA JEANS M SKIT</t>
  </si>
  <si>
    <t>CHAVE 2</t>
  </si>
  <si>
    <t>CHAVE 1</t>
  </si>
  <si>
    <t>32</t>
  </si>
  <si>
    <t>33</t>
  </si>
  <si>
    <t>35</t>
  </si>
  <si>
    <t>Após o vencimento será cobrado juros de 0,40 ao dia</t>
  </si>
  <si>
    <t xml:space="preserve">Usuário </t>
  </si>
  <si>
    <t>---------------------------</t>
  </si>
  <si>
    <t>Total a vista</t>
  </si>
  <si>
    <t>Total a prazo</t>
  </si>
  <si>
    <t>Cartão crédito</t>
  </si>
  <si>
    <t>Cartão débito</t>
  </si>
  <si>
    <t>Contas pagas</t>
  </si>
  <si>
    <t>Contas Recebida</t>
  </si>
  <si>
    <t>*FECHAMENTO DE CAIXA*</t>
  </si>
  <si>
    <t>Sangria</t>
  </si>
  <si>
    <t>Data Fechamento</t>
  </si>
  <si>
    <t>COMISSÃO</t>
  </si>
  <si>
    <t>PORC.%</t>
  </si>
  <si>
    <t>TOTAL DIA</t>
  </si>
  <si>
    <t>TOTAL MÊS</t>
  </si>
  <si>
    <t>VENDEDOR</t>
  </si>
  <si>
    <t>COMISSÃO DIA</t>
  </si>
  <si>
    <t>COMISSÃO MÊS</t>
  </si>
  <si>
    <t>VALOR INICIAL</t>
  </si>
  <si>
    <t>Minimo</t>
  </si>
  <si>
    <t>Maximo</t>
  </si>
  <si>
    <t>Status</t>
  </si>
  <si>
    <t>EMPRESA</t>
  </si>
  <si>
    <t>NOME FANTASIA</t>
  </si>
  <si>
    <t>ATIVIDADE SECUNDARIA</t>
  </si>
  <si>
    <t>NATUREZA JURIDICA</t>
  </si>
  <si>
    <t>LOGRADOURO</t>
  </si>
  <si>
    <t>COMPLEMENTO</t>
  </si>
  <si>
    <t>EMAIL</t>
  </si>
  <si>
    <t>TELEFONE</t>
  </si>
  <si>
    <t>MUNICIPIO</t>
  </si>
  <si>
    <t>RAZÃO_SOCIAL</t>
  </si>
  <si>
    <t>Microsoft.Jet.OLEDB.4.0</t>
  </si>
  <si>
    <t>32 Bits</t>
  </si>
  <si>
    <t>64 Bits</t>
  </si>
  <si>
    <t>Total Custo</t>
  </si>
  <si>
    <t>MEDIDA</t>
  </si>
  <si>
    <t>RELATÓRIO - VENDAS</t>
  </si>
  <si>
    <t>Quantidade</t>
  </si>
  <si>
    <t>Condição</t>
  </si>
  <si>
    <t>Hora</t>
  </si>
  <si>
    <t>01</t>
  </si>
  <si>
    <t>TESTE</t>
  </si>
  <si>
    <t>CCOELHO</t>
  </si>
  <si>
    <t>OBSERVAÇÃO</t>
  </si>
  <si>
    <t>UNIT</t>
  </si>
  <si>
    <t>COD</t>
  </si>
  <si>
    <t>PP</t>
  </si>
  <si>
    <t>0,00</t>
  </si>
  <si>
    <t>2</t>
  </si>
  <si>
    <t>Microsoft.ACE.OLEDB.12.0</t>
  </si>
  <si>
    <t>Atacado</t>
  </si>
  <si>
    <t>Varejo</t>
  </si>
  <si>
    <t xml:space="preserve">Total Custo </t>
  </si>
  <si>
    <t>Total Atacado</t>
  </si>
  <si>
    <t>Total Varejo</t>
  </si>
  <si>
    <t>CAMISA SOCIAL AZUL SLIN Nº3</t>
  </si>
  <si>
    <t>------------------------------</t>
  </si>
  <si>
    <t>CUPON</t>
  </si>
  <si>
    <t>Caculé,Fone (77) 99116-6423</t>
  </si>
  <si>
    <t>Estoque</t>
  </si>
  <si>
    <t>PADRÃO</t>
  </si>
  <si>
    <t>COMANADA</t>
  </si>
  <si>
    <t>FECHAMENTO</t>
  </si>
  <si>
    <t>CUPOM RAPIDO</t>
  </si>
  <si>
    <t>CUPOM CARNE</t>
  </si>
  <si>
    <t>MM</t>
  </si>
  <si>
    <t>Produto não identificado</t>
  </si>
  <si>
    <t>10,00</t>
  </si>
  <si>
    <t/>
  </si>
  <si>
    <t>CASA DAS PLANILHAS LTDA</t>
  </si>
  <si>
    <t>00.000.000/0000-00</t>
  </si>
  <si>
    <t>Pedido Nº:1</t>
  </si>
  <si>
    <t>Data Pedido:24/01/2019</t>
  </si>
  <si>
    <t>*</t>
  </si>
  <si>
    <t>R$</t>
  </si>
  <si>
    <t>ACRÉSCIMO</t>
  </si>
  <si>
    <t>%</t>
  </si>
  <si>
    <t>PAGAMENTO : Cartão - Débito</t>
  </si>
  <si>
    <t>ATENDENTE : ADMIN</t>
  </si>
  <si>
    <t>-</t>
  </si>
  <si>
    <t>OBRIGADO VOLTE SEMPRE</t>
  </si>
  <si>
    <t>1-DINHEIRO</t>
  </si>
  <si>
    <t>LUCAS</t>
  </si>
  <si>
    <t>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</si>
</sst>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_(&quot;R$ &quot;* #,##0.00_);_(&quot;R$ &quot;* \(#,##0.00\);_(&quot;R$ &quot;* &quot;-&quot;??_);_(@_)"/>
    <numFmt numFmtId="167" formatCode="&quot;R$&quot;\ #,##0.00"/>
    <numFmt numFmtId="168" formatCode="[$-F400]h:mm:ss\ AM/PM"/>
    <numFmt numFmtId="169" formatCode="dd/mm/yy;@"/>
    <numFmt numFmtId="170" formatCode="[$-F800]dddd\,\ mmmm\ dd\,\ yyyy"/>
    <numFmt numFmtId="171" formatCode="000000000\-00"/>
    <numFmt numFmtId="172" formatCode="00000"/>
  </numFmts>
  <fonts count="75"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mbria"/>
      <family val="1"/>
    </font>
    <font>
      <sz val="10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10"/>
      <color theme="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rgb="FF0070C0"/>
      <name val="Arial"/>
      <family val="2"/>
    </font>
    <font>
      <sz val="14"/>
      <color rgb="FFFF0000"/>
      <name val="Arial"/>
      <family val="2"/>
    </font>
    <font>
      <sz val="14"/>
      <color rgb="FF00B05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28"/>
      <color theme="1"/>
      <name val="Code 128"/>
    </font>
    <font>
      <sz val="9"/>
      <name val="Calibri"/>
      <family val="2"/>
      <scheme val="minor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ourier New"/>
      <family val="3"/>
    </font>
    <font>
      <b/>
      <sz val="11"/>
      <name val="Courier New"/>
      <family val="3"/>
    </font>
    <font>
      <b/>
      <sz val="14"/>
      <name val="Courier New"/>
      <family val="3"/>
    </font>
    <font>
      <b/>
      <sz val="20"/>
      <name val="Courier New"/>
      <family val="3"/>
    </font>
    <font>
      <b/>
      <sz val="24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b/>
      <sz val="9"/>
      <name val="Arial"/>
      <family val="2"/>
    </font>
    <font>
      <sz val="21"/>
      <name val="Courier New"/>
      <family val="3"/>
    </font>
    <font>
      <b/>
      <sz val="21"/>
      <name val="Courier New"/>
      <family val="3"/>
    </font>
    <font>
      <b/>
      <sz val="20"/>
      <color rgb="FF000000"/>
      <name val="Arial"/>
      <family val="2"/>
    </font>
    <font>
      <sz val="8"/>
      <color theme="0"/>
      <name val="Calibri"/>
      <family val="2"/>
      <scheme val="minor"/>
    </font>
    <font>
      <sz val="8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b/>
      <sz val="9"/>
      <name val="Courier New"/>
      <family val="3"/>
    </font>
    <font>
      <b/>
      <sz val="10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4"/>
      <color theme="1"/>
      <name val="Courier New"/>
      <family val="3"/>
    </font>
    <font>
      <b/>
      <sz val="12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b/>
      <sz val="16"/>
      <color rgb="FFFF0000"/>
      <name val="Arial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ourier New"/>
      <family val="3"/>
    </font>
    <font>
      <b/>
      <sz val="10"/>
      <color theme="1"/>
      <name val="Courier"/>
      <family val="3"/>
    </font>
    <font>
      <b/>
      <sz val="10"/>
      <color theme="1"/>
      <name val="Courier"/>
    </font>
    <font>
      <b/>
      <sz val="1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4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3">
    <xf numFmtId="0" fontId="0" fillId="0" borderId="0" xfId="0"/>
    <xf numFmtId="0" fontId="0" fillId="0" borderId="1" xfId="0" applyBorder="1" applyAlignment="1">
      <alignment horizontal="left"/>
    </xf>
    <xf numFmtId="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4" fontId="3" fillId="0" borderId="2" xfId="0" quotePrefix="1" applyNumberFormat="1" applyFont="1" applyBorder="1" applyAlignment="1">
      <alignment horizontal="left"/>
    </xf>
    <xf numFmtId="0" fontId="0" fillId="0" borderId="2" xfId="0" applyNumberFormat="1" applyBorder="1" applyAlignment="1">
      <alignment horizontal="left"/>
    </xf>
    <xf numFmtId="4" fontId="3" fillId="0" borderId="2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" fontId="2" fillId="2" borderId="1" xfId="0" applyNumberFormat="1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left"/>
    </xf>
    <xf numFmtId="49" fontId="7" fillId="4" borderId="0" xfId="0" quotePrefix="1" applyNumberFormat="1" applyFont="1" applyFill="1" applyAlignment="1">
      <alignment horizontal="left"/>
    </xf>
    <xf numFmtId="0" fontId="7" fillId="4" borderId="0" xfId="0" quotePrefix="1" applyFont="1" applyFill="1" applyAlignment="1">
      <alignment horizontal="left"/>
    </xf>
    <xf numFmtId="4" fontId="7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" fontId="9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left"/>
    </xf>
    <xf numFmtId="4" fontId="10" fillId="4" borderId="0" xfId="0" applyNumberFormat="1" applyFont="1" applyFill="1" applyAlignment="1">
      <alignment horizontal="left"/>
    </xf>
    <xf numFmtId="4" fontId="10" fillId="4" borderId="0" xfId="0" quotePrefix="1" applyNumberFormat="1" applyFont="1" applyFill="1" applyAlignment="1">
      <alignment horizontal="left"/>
    </xf>
    <xf numFmtId="0" fontId="5" fillId="0" borderId="0" xfId="0" quotePrefix="1" applyFont="1" applyAlignment="1">
      <alignment horizontal="center"/>
    </xf>
    <xf numFmtId="0" fontId="12" fillId="0" borderId="0" xfId="0" applyFont="1"/>
    <xf numFmtId="167" fontId="7" fillId="4" borderId="0" xfId="0" applyNumberFormat="1" applyFont="1" applyFill="1" applyAlignment="1">
      <alignment horizontal="left"/>
    </xf>
    <xf numFmtId="167" fontId="9" fillId="0" borderId="0" xfId="0" applyNumberFormat="1" applyFont="1" applyAlignment="1">
      <alignment horizontal="left"/>
    </xf>
    <xf numFmtId="167" fontId="10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quotePrefix="1" applyFont="1" applyFill="1" applyAlignment="1">
      <alignment horizontal="left"/>
    </xf>
    <xf numFmtId="4" fontId="13" fillId="4" borderId="0" xfId="0" quotePrefix="1" applyNumberFormat="1" applyFont="1" applyFill="1" applyAlignment="1">
      <alignment horizontal="left"/>
    </xf>
    <xf numFmtId="4" fontId="13" fillId="4" borderId="0" xfId="0" applyNumberFormat="1" applyFont="1" applyFill="1" applyAlignment="1">
      <alignment horizontal="left"/>
    </xf>
    <xf numFmtId="0" fontId="14" fillId="2" borderId="7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5" fillId="3" borderId="13" xfId="0" applyFont="1" applyFill="1" applyBorder="1" applyAlignment="1">
      <alignment horizontal="left"/>
    </xf>
    <xf numFmtId="169" fontId="15" fillId="3" borderId="0" xfId="0" applyNumberFormat="1" applyFont="1" applyFill="1" applyBorder="1" applyAlignment="1">
      <alignment horizontal="left"/>
    </xf>
    <xf numFmtId="0" fontId="15" fillId="3" borderId="0" xfId="0" applyFont="1" applyFill="1" applyBorder="1" applyAlignment="1">
      <alignment horizontal="left"/>
    </xf>
    <xf numFmtId="4" fontId="15" fillId="3" borderId="0" xfId="0" applyNumberFormat="1" applyFont="1" applyFill="1" applyBorder="1" applyAlignment="1">
      <alignment horizontal="left"/>
    </xf>
    <xf numFmtId="0" fontId="15" fillId="3" borderId="14" xfId="0" applyFont="1" applyFill="1" applyBorder="1" applyAlignment="1">
      <alignment horizontal="left"/>
    </xf>
    <xf numFmtId="0" fontId="15" fillId="3" borderId="15" xfId="0" applyNumberFormat="1" applyFont="1" applyFill="1" applyBorder="1" applyAlignment="1">
      <alignment horizontal="left"/>
    </xf>
    <xf numFmtId="14" fontId="15" fillId="3" borderId="15" xfId="0" applyNumberFormat="1" applyFont="1" applyFill="1" applyBorder="1" applyAlignment="1">
      <alignment horizontal="left"/>
    </xf>
    <xf numFmtId="4" fontId="15" fillId="3" borderId="15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9" fillId="2" borderId="12" xfId="0" applyFont="1" applyFill="1" applyBorder="1" applyAlignment="1">
      <alignment horizontal="left"/>
    </xf>
    <xf numFmtId="4" fontId="19" fillId="2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4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169" fontId="15" fillId="0" borderId="0" xfId="0" applyNumberFormat="1" applyFont="1" applyAlignment="1">
      <alignment horizontal="left"/>
    </xf>
    <xf numFmtId="0" fontId="19" fillId="2" borderId="11" xfId="0" applyFont="1" applyFill="1" applyBorder="1" applyAlignment="1">
      <alignment horizontal="left"/>
    </xf>
    <xf numFmtId="14" fontId="15" fillId="0" borderId="0" xfId="0" applyNumberFormat="1" applyFont="1" applyBorder="1" applyAlignment="1">
      <alignment horizontal="left"/>
    </xf>
    <xf numFmtId="4" fontId="16" fillId="0" borderId="9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4" fontId="20" fillId="3" borderId="1" xfId="0" applyNumberFormat="1" applyFont="1" applyFill="1" applyBorder="1" applyAlignment="1">
      <alignment horizontal="left"/>
    </xf>
    <xf numFmtId="0" fontId="17" fillId="3" borderId="19" xfId="0" quotePrefix="1" applyFont="1" applyFill="1" applyBorder="1" applyAlignment="1">
      <alignment horizontal="left"/>
    </xf>
    <xf numFmtId="14" fontId="18" fillId="3" borderId="20" xfId="0" applyNumberFormat="1" applyFont="1" applyFill="1" applyBorder="1" applyAlignment="1">
      <alignment horizontal="left"/>
    </xf>
    <xf numFmtId="0" fontId="17" fillId="3" borderId="21" xfId="0" applyFont="1" applyFill="1" applyBorder="1" applyAlignment="1">
      <alignment horizontal="left"/>
    </xf>
    <xf numFmtId="167" fontId="18" fillId="3" borderId="22" xfId="0" applyNumberFormat="1" applyFont="1" applyFill="1" applyBorder="1" applyAlignment="1">
      <alignment horizontal="left"/>
    </xf>
    <xf numFmtId="0" fontId="17" fillId="3" borderId="23" xfId="0" applyFont="1" applyFill="1" applyBorder="1" applyAlignment="1">
      <alignment horizontal="left"/>
    </xf>
    <xf numFmtId="0" fontId="18" fillId="3" borderId="24" xfId="0" applyNumberFormat="1" applyFont="1" applyFill="1" applyBorder="1" applyAlignment="1">
      <alignment horizontal="left"/>
    </xf>
    <xf numFmtId="169" fontId="14" fillId="2" borderId="8" xfId="0" applyNumberFormat="1" applyFont="1" applyFill="1" applyBorder="1" applyAlignment="1">
      <alignment horizontal="left"/>
    </xf>
    <xf numFmtId="0" fontId="14" fillId="2" borderId="16" xfId="0" applyFont="1" applyFill="1" applyBorder="1" applyAlignment="1">
      <alignment horizontal="left"/>
    </xf>
    <xf numFmtId="14" fontId="19" fillId="2" borderId="18" xfId="0" applyNumberFormat="1" applyFont="1" applyFill="1" applyBorder="1" applyAlignment="1">
      <alignment horizontal="left"/>
    </xf>
    <xf numFmtId="0" fontId="19" fillId="2" borderId="11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" fontId="11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4" fontId="7" fillId="4" borderId="0" xfId="0" quotePrefix="1" applyNumberFormat="1" applyFont="1" applyFill="1" applyAlignment="1">
      <alignment horizontal="left"/>
    </xf>
    <xf numFmtId="14" fontId="7" fillId="4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2" fontId="2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left"/>
    </xf>
    <xf numFmtId="2" fontId="23" fillId="0" borderId="0" xfId="0" applyNumberFormat="1" applyFont="1" applyFill="1" applyAlignment="1">
      <alignment horizontal="left"/>
    </xf>
    <xf numFmtId="0" fontId="15" fillId="0" borderId="12" xfId="0" applyFont="1" applyBorder="1" applyAlignment="1">
      <alignment horizontal="left"/>
    </xf>
    <xf numFmtId="0" fontId="15" fillId="3" borderId="25" xfId="0" applyFont="1" applyFill="1" applyBorder="1" applyAlignment="1">
      <alignment horizontal="left"/>
    </xf>
    <xf numFmtId="2" fontId="15" fillId="0" borderId="11" xfId="0" applyNumberFormat="1" applyFont="1" applyBorder="1" applyAlignment="1">
      <alignment horizontal="left"/>
    </xf>
    <xf numFmtId="2" fontId="15" fillId="3" borderId="27" xfId="0" applyNumberFormat="1" applyFont="1" applyFill="1" applyBorder="1" applyAlignment="1">
      <alignment horizontal="left"/>
    </xf>
    <xf numFmtId="2" fontId="15" fillId="3" borderId="26" xfId="0" applyNumberFormat="1" applyFont="1" applyFill="1" applyBorder="1" applyAlignment="1">
      <alignment horizontal="left"/>
    </xf>
    <xf numFmtId="2" fontId="19" fillId="2" borderId="11" xfId="0" applyNumberFormat="1" applyFont="1" applyFill="1" applyBorder="1" applyAlignment="1">
      <alignment horizontal="left"/>
    </xf>
    <xf numFmtId="2" fontId="15" fillId="0" borderId="0" xfId="0" applyNumberFormat="1" applyFont="1" applyAlignment="1">
      <alignment horizontal="left"/>
    </xf>
    <xf numFmtId="0" fontId="24" fillId="4" borderId="0" xfId="0" applyFont="1" applyFill="1" applyAlignment="1">
      <alignment horizontal="left"/>
    </xf>
    <xf numFmtId="0" fontId="25" fillId="0" borderId="0" xfId="0" applyFont="1"/>
    <xf numFmtId="0" fontId="26" fillId="0" borderId="0" xfId="0" applyFont="1"/>
    <xf numFmtId="0" fontId="25" fillId="0" borderId="1" xfId="0" applyFont="1" applyBorder="1"/>
    <xf numFmtId="0" fontId="25" fillId="0" borderId="1" xfId="0" quotePrefix="1" applyFont="1" applyBorder="1" applyAlignment="1">
      <alignment horizontal="left"/>
    </xf>
    <xf numFmtId="2" fontId="26" fillId="0" borderId="1" xfId="0" quotePrefix="1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left"/>
    </xf>
    <xf numFmtId="2" fontId="28" fillId="0" borderId="1" xfId="0" applyNumberFormat="1" applyFont="1" applyBorder="1" applyAlignment="1">
      <alignment horizontal="left"/>
    </xf>
    <xf numFmtId="2" fontId="29" fillId="0" borderId="1" xfId="0" applyNumberFormat="1" applyFont="1" applyBorder="1" applyAlignment="1">
      <alignment horizontal="left"/>
    </xf>
    <xf numFmtId="2" fontId="26" fillId="0" borderId="0" xfId="0" applyNumberFormat="1" applyFont="1"/>
    <xf numFmtId="0" fontId="31" fillId="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4" fontId="31" fillId="4" borderId="0" xfId="0" applyNumberFormat="1" applyFont="1" applyFill="1" applyAlignment="1">
      <alignment horizontal="left"/>
    </xf>
    <xf numFmtId="14" fontId="30" fillId="0" borderId="0" xfId="0" applyNumberFormat="1" applyFont="1" applyAlignment="1">
      <alignment horizontal="left"/>
    </xf>
    <xf numFmtId="4" fontId="31" fillId="4" borderId="0" xfId="0" applyNumberFormat="1" applyFont="1" applyFill="1" applyAlignment="1">
      <alignment horizontal="left"/>
    </xf>
    <xf numFmtId="4" fontId="30" fillId="0" borderId="0" xfId="0" applyNumberFormat="1" applyFont="1" applyAlignment="1">
      <alignment horizontal="left"/>
    </xf>
    <xf numFmtId="4" fontId="31" fillId="4" borderId="0" xfId="0" quotePrefix="1" applyNumberFormat="1" applyFont="1" applyFill="1" applyAlignment="1">
      <alignment horizontal="left"/>
    </xf>
    <xf numFmtId="0" fontId="31" fillId="4" borderId="0" xfId="0" quotePrefix="1" applyFont="1" applyFill="1" applyAlignment="1">
      <alignment horizontal="left"/>
    </xf>
    <xf numFmtId="14" fontId="31" fillId="4" borderId="0" xfId="0" quotePrefix="1" applyNumberFormat="1" applyFont="1" applyFill="1" applyAlignment="1">
      <alignment horizontal="left"/>
    </xf>
    <xf numFmtId="0" fontId="31" fillId="4" borderId="0" xfId="0" applyNumberFormat="1" applyFont="1" applyFill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4" borderId="0" xfId="0" quotePrefix="1" applyNumberFormat="1" applyFont="1" applyFill="1" applyAlignment="1">
      <alignment horizontal="left"/>
    </xf>
    <xf numFmtId="49" fontId="13" fillId="4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14" fontId="13" fillId="4" borderId="0" xfId="0" applyNumberFormat="1" applyFont="1" applyFill="1" applyAlignment="1">
      <alignment horizontal="left"/>
    </xf>
    <xf numFmtId="14" fontId="6" fillId="0" borderId="0" xfId="0" applyNumberFormat="1" applyFont="1" applyAlignment="1">
      <alignment horizontal="left"/>
    </xf>
    <xf numFmtId="0" fontId="0" fillId="0" borderId="0" xfId="0" applyBorder="1"/>
    <xf numFmtId="0" fontId="2" fillId="0" borderId="0" xfId="0" applyFont="1" applyBorder="1"/>
    <xf numFmtId="4" fontId="24" fillId="4" borderId="0" xfId="0" applyNumberFormat="1" applyFont="1" applyFill="1" applyAlignment="1">
      <alignment horizontal="left"/>
    </xf>
    <xf numFmtId="0" fontId="30" fillId="0" borderId="0" xfId="0" applyFont="1" applyAlignment="1">
      <alignment horizontal="right"/>
    </xf>
    <xf numFmtId="49" fontId="26" fillId="0" borderId="1" xfId="0" applyNumberFormat="1" applyFont="1" applyBorder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4" fontId="7" fillId="4" borderId="0" xfId="0" applyNumberFormat="1" applyFont="1" applyFill="1" applyBorder="1" applyAlignment="1">
      <alignment horizontal="left" vertical="center"/>
    </xf>
    <xf numFmtId="0" fontId="33" fillId="0" borderId="0" xfId="0" applyFont="1" applyFill="1" applyAlignment="1">
      <alignment horizontal="left"/>
    </xf>
    <xf numFmtId="0" fontId="25" fillId="0" borderId="0" xfId="0" applyFont="1" applyBorder="1"/>
    <xf numFmtId="2" fontId="26" fillId="0" borderId="0" xfId="0" applyNumberFormat="1" applyFont="1" applyBorder="1"/>
    <xf numFmtId="0" fontId="26" fillId="0" borderId="0" xfId="0" applyFont="1" applyBorder="1"/>
    <xf numFmtId="0" fontId="0" fillId="0" borderId="0" xfId="0" quotePrefix="1" applyAlignment="1">
      <alignment horizontal="left"/>
    </xf>
    <xf numFmtId="0" fontId="35" fillId="0" borderId="0" xfId="0" applyFont="1" applyAlignment="1">
      <alignment horizontal="left"/>
    </xf>
    <xf numFmtId="4" fontId="35" fillId="0" borderId="0" xfId="0" applyNumberFormat="1" applyFont="1" applyAlignment="1">
      <alignment horizontal="left"/>
    </xf>
    <xf numFmtId="167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/>
    </xf>
    <xf numFmtId="4" fontId="36" fillId="0" borderId="0" xfId="0" applyNumberFormat="1" applyFont="1" applyAlignment="1">
      <alignment horizontal="left"/>
    </xf>
    <xf numFmtId="14" fontId="35" fillId="0" borderId="0" xfId="0" applyNumberFormat="1" applyFont="1" applyAlignment="1">
      <alignment horizontal="left"/>
    </xf>
    <xf numFmtId="0" fontId="35" fillId="0" borderId="0" xfId="0" quotePrefix="1" applyFont="1" applyAlignment="1">
      <alignment horizontal="left"/>
    </xf>
    <xf numFmtId="164" fontId="35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4" fontId="37" fillId="0" borderId="0" xfId="0" applyNumberFormat="1" applyFont="1" applyAlignment="1">
      <alignment horizontal="left"/>
    </xf>
    <xf numFmtId="14" fontId="36" fillId="0" borderId="0" xfId="0" applyNumberFormat="1" applyFont="1" applyAlignment="1">
      <alignment horizontal="left"/>
    </xf>
    <xf numFmtId="0" fontId="36" fillId="0" borderId="28" xfId="0" applyFont="1" applyBorder="1" applyAlignment="1">
      <alignment horizontal="left"/>
    </xf>
    <xf numFmtId="4" fontId="36" fillId="0" borderId="28" xfId="0" applyNumberFormat="1" applyFont="1" applyBorder="1" applyAlignment="1">
      <alignment horizontal="left"/>
    </xf>
    <xf numFmtId="164" fontId="36" fillId="0" borderId="28" xfId="0" applyNumberFormat="1" applyFont="1" applyBorder="1" applyAlignment="1">
      <alignment horizontal="left"/>
    </xf>
    <xf numFmtId="0" fontId="35" fillId="0" borderId="28" xfId="0" applyFont="1" applyBorder="1" applyAlignment="1">
      <alignment horizontal="left"/>
    </xf>
    <xf numFmtId="4" fontId="35" fillId="0" borderId="28" xfId="0" applyNumberFormat="1" applyFont="1" applyBorder="1" applyAlignment="1">
      <alignment horizontal="left"/>
    </xf>
    <xf numFmtId="0" fontId="36" fillId="0" borderId="30" xfId="0" applyFont="1" applyBorder="1" applyAlignment="1">
      <alignment horizontal="left"/>
    </xf>
    <xf numFmtId="4" fontId="36" fillId="0" borderId="30" xfId="0" applyNumberFormat="1" applyFont="1" applyBorder="1" applyAlignment="1">
      <alignment horizontal="left"/>
    </xf>
    <xf numFmtId="4" fontId="39" fillId="0" borderId="0" xfId="0" applyNumberFormat="1" applyFont="1" applyAlignment="1">
      <alignment horizontal="right"/>
    </xf>
    <xf numFmtId="0" fontId="35" fillId="0" borderId="29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left"/>
    </xf>
    <xf numFmtId="167" fontId="36" fillId="0" borderId="0" xfId="0" applyNumberFormat="1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4" fontId="37" fillId="0" borderId="0" xfId="0" applyNumberFormat="1" applyFont="1" applyBorder="1" applyAlignment="1">
      <alignment horizontal="left"/>
    </xf>
    <xf numFmtId="0" fontId="35" fillId="0" borderId="0" xfId="0" applyNumberFormat="1" applyFont="1" applyBorder="1" applyAlignment="1"/>
    <xf numFmtId="0" fontId="35" fillId="0" borderId="0" xfId="0" quotePrefix="1" applyNumberFormat="1" applyFont="1" applyBorder="1" applyAlignment="1"/>
    <xf numFmtId="0" fontId="35" fillId="0" borderId="0" xfId="0" applyFont="1"/>
    <xf numFmtId="167" fontId="36" fillId="0" borderId="0" xfId="0" applyNumberFormat="1" applyFont="1"/>
    <xf numFmtId="168" fontId="36" fillId="0" borderId="0" xfId="0" applyNumberFormat="1" applyFont="1" applyAlignment="1">
      <alignment horizontal="left"/>
    </xf>
    <xf numFmtId="0" fontId="35" fillId="0" borderId="29" xfId="0" applyFont="1" applyBorder="1" applyAlignment="1">
      <alignment horizontal="left"/>
    </xf>
    <xf numFmtId="4" fontId="35" fillId="0" borderId="29" xfId="0" applyNumberFormat="1" applyFont="1" applyBorder="1" applyAlignment="1">
      <alignment horizontal="left"/>
    </xf>
    <xf numFmtId="0" fontId="24" fillId="4" borderId="0" xfId="0" applyFont="1" applyFill="1"/>
    <xf numFmtId="49" fontId="35" fillId="0" borderId="0" xfId="0" applyNumberFormat="1" applyFont="1" applyAlignment="1">
      <alignment horizontal="left"/>
    </xf>
    <xf numFmtId="0" fontId="35" fillId="0" borderId="0" xfId="0" applyFont="1" applyAlignment="1"/>
    <xf numFmtId="49" fontId="36" fillId="0" borderId="30" xfId="0" applyNumberFormat="1" applyFont="1" applyBorder="1" applyAlignment="1">
      <alignment horizontal="left"/>
    </xf>
    <xf numFmtId="0" fontId="35" fillId="0" borderId="30" xfId="0" applyFont="1" applyBorder="1" applyAlignment="1">
      <alignment horizontal="left"/>
    </xf>
    <xf numFmtId="0" fontId="36" fillId="0" borderId="0" xfId="0" applyFont="1" applyBorder="1" applyAlignment="1"/>
    <xf numFmtId="167" fontId="39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42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/>
    </xf>
    <xf numFmtId="4" fontId="45" fillId="6" borderId="33" xfId="0" applyNumberFormat="1" applyFont="1" applyFill="1" applyBorder="1" applyAlignment="1">
      <alignment horizontal="left" vertical="center"/>
    </xf>
    <xf numFmtId="4" fontId="45" fillId="6" borderId="34" xfId="0" applyNumberFormat="1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38" xfId="0" applyFont="1" applyBorder="1" applyAlignment="1">
      <alignment horizontal="left"/>
    </xf>
    <xf numFmtId="0" fontId="46" fillId="6" borderId="36" xfId="0" applyFont="1" applyFill="1" applyBorder="1" applyAlignment="1">
      <alignment horizontal="left" vertical="center"/>
    </xf>
    <xf numFmtId="0" fontId="12" fillId="0" borderId="40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4" fontId="12" fillId="0" borderId="32" xfId="0" applyNumberFormat="1" applyFont="1" applyBorder="1" applyAlignment="1">
      <alignment horizontal="left"/>
    </xf>
    <xf numFmtId="4" fontId="43" fillId="0" borderId="32" xfId="0" applyNumberFormat="1" applyFont="1" applyBorder="1" applyAlignment="1">
      <alignment horizontal="left"/>
    </xf>
    <xf numFmtId="4" fontId="44" fillId="0" borderId="41" xfId="0" applyNumberFormat="1" applyFont="1" applyBorder="1" applyAlignment="1">
      <alignment horizontal="left"/>
    </xf>
    <xf numFmtId="0" fontId="45" fillId="6" borderId="42" xfId="0" applyFont="1" applyFill="1" applyBorder="1" applyAlignment="1">
      <alignment horizontal="left"/>
    </xf>
    <xf numFmtId="0" fontId="45" fillId="6" borderId="33" xfId="0" applyFont="1" applyFill="1" applyBorder="1" applyAlignment="1">
      <alignment horizontal="left"/>
    </xf>
    <xf numFmtId="0" fontId="45" fillId="6" borderId="34" xfId="0" applyFont="1" applyFill="1" applyBorder="1" applyAlignment="1">
      <alignment horizontal="left"/>
    </xf>
    <xf numFmtId="49" fontId="36" fillId="0" borderId="28" xfId="0" applyNumberFormat="1" applyFont="1" applyBorder="1" applyAlignment="1">
      <alignment horizontal="left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0" fontId="46" fillId="6" borderId="37" xfId="0" quotePrefix="1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left"/>
    </xf>
    <xf numFmtId="0" fontId="30" fillId="0" borderId="0" xfId="0" applyFont="1"/>
    <xf numFmtId="0" fontId="30" fillId="0" borderId="3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4" fontId="30" fillId="0" borderId="0" xfId="0" applyNumberFormat="1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0" xfId="0" applyFont="1" applyBorder="1"/>
    <xf numFmtId="0" fontId="48" fillId="0" borderId="0" xfId="0" applyFont="1" applyBorder="1" applyAlignment="1">
      <alignment horizontal="left"/>
    </xf>
    <xf numFmtId="0" fontId="30" fillId="0" borderId="3" xfId="0" applyFont="1" applyBorder="1"/>
    <xf numFmtId="0" fontId="30" fillId="0" borderId="3" xfId="0" applyFont="1" applyBorder="1" applyAlignment="1">
      <alignment horizontal="center"/>
    </xf>
    <xf numFmtId="4" fontId="30" fillId="0" borderId="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13" xfId="0" quotePrefix="1" applyFont="1" applyBorder="1" applyAlignment="1">
      <alignment horizontal="left"/>
    </xf>
    <xf numFmtId="0" fontId="48" fillId="0" borderId="48" xfId="0" applyFont="1" applyBorder="1" applyAlignment="1">
      <alignment horizontal="center"/>
    </xf>
    <xf numFmtId="0" fontId="30" fillId="0" borderId="13" xfId="0" applyFont="1" applyBorder="1"/>
    <xf numFmtId="0" fontId="30" fillId="0" borderId="49" xfId="0" applyFont="1" applyBorder="1"/>
    <xf numFmtId="0" fontId="48" fillId="0" borderId="50" xfId="0" applyFont="1" applyBorder="1" applyAlignment="1">
      <alignment horizontal="center"/>
    </xf>
    <xf numFmtId="0" fontId="30" fillId="0" borderId="14" xfId="0" applyFont="1" applyBorder="1"/>
    <xf numFmtId="0" fontId="30" fillId="0" borderId="15" xfId="0" applyFont="1" applyBorder="1"/>
    <xf numFmtId="0" fontId="30" fillId="0" borderId="15" xfId="0" applyFont="1" applyBorder="1" applyAlignment="1">
      <alignment horizontal="center"/>
    </xf>
    <xf numFmtId="4" fontId="30" fillId="0" borderId="15" xfId="0" applyNumberFormat="1" applyFont="1" applyBorder="1" applyAlignment="1">
      <alignment horizontal="center"/>
    </xf>
    <xf numFmtId="0" fontId="48" fillId="0" borderId="51" xfId="0" applyFont="1" applyBorder="1" applyAlignment="1">
      <alignment horizontal="center"/>
    </xf>
    <xf numFmtId="0" fontId="30" fillId="0" borderId="52" xfId="0" quotePrefix="1" applyFont="1" applyBorder="1" applyAlignment="1">
      <alignment horizontal="left"/>
    </xf>
    <xf numFmtId="0" fontId="30" fillId="0" borderId="44" xfId="0" applyFont="1" applyBorder="1" applyAlignment="1">
      <alignment horizontal="center"/>
    </xf>
    <xf numFmtId="0" fontId="30" fillId="0" borderId="25" xfId="0" applyFont="1" applyBorder="1"/>
    <xf numFmtId="14" fontId="30" fillId="0" borderId="44" xfId="0" applyNumberFormat="1" applyFont="1" applyBorder="1" applyAlignment="1">
      <alignment horizontal="center"/>
    </xf>
    <xf numFmtId="4" fontId="30" fillId="0" borderId="44" xfId="0" applyNumberFormat="1" applyFont="1" applyBorder="1" applyAlignment="1">
      <alignment horizontal="center"/>
    </xf>
    <xf numFmtId="4" fontId="48" fillId="0" borderId="45" xfId="0" applyNumberFormat="1" applyFont="1" applyBorder="1" applyAlignment="1">
      <alignment horizontal="center"/>
    </xf>
    <xf numFmtId="4" fontId="48" fillId="0" borderId="31" xfId="0" applyNumberFormat="1" applyFont="1" applyBorder="1" applyAlignment="1">
      <alignment horizontal="center"/>
    </xf>
    <xf numFmtId="0" fontId="30" fillId="0" borderId="25" xfId="0" quotePrefix="1" applyFont="1" applyBorder="1" applyAlignment="1">
      <alignment horizontal="center"/>
    </xf>
    <xf numFmtId="165" fontId="35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0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12" fillId="5" borderId="1" xfId="0" quotePrefix="1" applyNumberFormat="1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0" fillId="0" borderId="58" xfId="0" applyBorder="1"/>
    <xf numFmtId="0" fontId="32" fillId="0" borderId="60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center"/>
    </xf>
    <xf numFmtId="49" fontId="33" fillId="3" borderId="6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42" fillId="0" borderId="28" xfId="0" applyFont="1" applyBorder="1" applyAlignment="1">
      <alignment horizontal="left"/>
    </xf>
    <xf numFmtId="167" fontId="42" fillId="0" borderId="28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5" fontId="42" fillId="0" borderId="0" xfId="0" applyNumberFormat="1" applyFont="1" applyAlignment="1">
      <alignment horizontal="left"/>
    </xf>
    <xf numFmtId="0" fontId="52" fillId="4" borderId="59" xfId="0" applyFont="1" applyFill="1" applyBorder="1" applyAlignment="1">
      <alignment horizontal="left"/>
    </xf>
    <xf numFmtId="167" fontId="53" fillId="4" borderId="6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172" fontId="0" fillId="0" borderId="0" xfId="0" applyNumberFormat="1" applyAlignment="1">
      <alignment horizontal="left"/>
    </xf>
    <xf numFmtId="172" fontId="42" fillId="0" borderId="28" xfId="0" applyNumberFormat="1" applyFont="1" applyBorder="1" applyAlignment="1">
      <alignment horizontal="left"/>
    </xf>
    <xf numFmtId="0" fontId="54" fillId="0" borderId="0" xfId="0" applyFont="1"/>
    <xf numFmtId="0" fontId="54" fillId="0" borderId="0" xfId="0" applyFont="1" applyBorder="1"/>
    <xf numFmtId="0" fontId="54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/>
    </xf>
    <xf numFmtId="0" fontId="56" fillId="0" borderId="0" xfId="0" applyFont="1"/>
    <xf numFmtId="0" fontId="2" fillId="2" borderId="2" xfId="0" applyFont="1" applyFill="1" applyBorder="1" applyAlignment="1">
      <alignment horizontal="left"/>
    </xf>
    <xf numFmtId="0" fontId="2" fillId="2" borderId="2" xfId="0" quotePrefix="1" applyFont="1" applyFill="1" applyBorder="1" applyAlignment="1">
      <alignment horizontal="left"/>
    </xf>
    <xf numFmtId="49" fontId="2" fillId="2" borderId="2" xfId="0" applyNumberFormat="1" applyFont="1" applyFill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54" fillId="0" borderId="0" xfId="0" quotePrefix="1" applyFont="1" applyAlignment="1"/>
    <xf numFmtId="0" fontId="57" fillId="0" borderId="0" xfId="0" quotePrefix="1" applyFont="1" applyAlignment="1">
      <alignment horizontal="left"/>
    </xf>
    <xf numFmtId="4" fontId="36" fillId="0" borderId="0" xfId="0" applyNumberFormat="1" applyFont="1" applyAlignment="1">
      <alignment horizontal="right"/>
    </xf>
    <xf numFmtId="0" fontId="36" fillId="0" borderId="0" xfId="0" applyFont="1"/>
    <xf numFmtId="0" fontId="57" fillId="0" borderId="0" xfId="0" applyFont="1"/>
    <xf numFmtId="0" fontId="36" fillId="0" borderId="54" xfId="0" applyFont="1" applyBorder="1" applyAlignment="1">
      <alignment horizontal="left"/>
    </xf>
    <xf numFmtId="0" fontId="36" fillId="0" borderId="54" xfId="0" applyFont="1" applyBorder="1" applyAlignment="1">
      <alignment horizontal="right"/>
    </xf>
    <xf numFmtId="0" fontId="36" fillId="0" borderId="0" xfId="0" quotePrefix="1" applyNumberFormat="1" applyFont="1" applyAlignment="1">
      <alignment horizontal="left"/>
    </xf>
    <xf numFmtId="14" fontId="36" fillId="0" borderId="0" xfId="0" applyNumberFormat="1" applyFont="1" applyAlignment="1">
      <alignment horizontal="right"/>
    </xf>
    <xf numFmtId="0" fontId="36" fillId="0" borderId="56" xfId="0" quotePrefix="1" applyFont="1" applyBorder="1" applyAlignment="1">
      <alignment horizontal="left"/>
    </xf>
    <xf numFmtId="0" fontId="36" fillId="0" borderId="0" xfId="0" applyFont="1" applyBorder="1"/>
    <xf numFmtId="0" fontId="36" fillId="0" borderId="0" xfId="0" applyFont="1" applyAlignment="1"/>
    <xf numFmtId="2" fontId="36" fillId="0" borderId="0" xfId="0" applyNumberFormat="1" applyFont="1" applyAlignment="1">
      <alignment horizontal="left"/>
    </xf>
    <xf numFmtId="4" fontId="36" fillId="0" borderId="54" xfId="0" applyNumberFormat="1" applyFont="1" applyBorder="1" applyAlignment="1">
      <alignment horizontal="left"/>
    </xf>
    <xf numFmtId="14" fontId="36" fillId="0" borderId="54" xfId="0" applyNumberFormat="1" applyFont="1" applyBorder="1" applyAlignment="1">
      <alignment horizontal="right"/>
    </xf>
    <xf numFmtId="0" fontId="59" fillId="0" borderId="0" xfId="0" quotePrefix="1" applyFont="1" applyAlignment="1"/>
    <xf numFmtId="167" fontId="59" fillId="0" borderId="0" xfId="0" applyNumberFormat="1" applyFont="1" applyAlignment="1">
      <alignment horizontal="right"/>
    </xf>
    <xf numFmtId="0" fontId="59" fillId="0" borderId="0" xfId="0" applyFont="1" applyAlignment="1"/>
    <xf numFmtId="168" fontId="59" fillId="0" borderId="0" xfId="0" applyNumberFormat="1" applyFont="1" applyBorder="1" applyAlignment="1">
      <alignment horizontal="right"/>
    </xf>
    <xf numFmtId="0" fontId="59" fillId="0" borderId="0" xfId="0" quotePrefix="1" applyFont="1" applyBorder="1" applyAlignment="1">
      <alignment vertical="center"/>
    </xf>
    <xf numFmtId="0" fontId="59" fillId="0" borderId="0" xfId="0" quotePrefix="1" applyFont="1" applyAlignment="1">
      <alignment horizontal="left"/>
    </xf>
    <xf numFmtId="167" fontId="59" fillId="0" borderId="0" xfId="0" quotePrefix="1" applyNumberFormat="1" applyFont="1" applyAlignment="1">
      <alignment horizontal="left"/>
    </xf>
    <xf numFmtId="4" fontId="60" fillId="0" borderId="0" xfId="0" applyNumberFormat="1" applyFont="1" applyBorder="1" applyAlignment="1">
      <alignment vertical="center"/>
    </xf>
    <xf numFmtId="0" fontId="59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62" fillId="0" borderId="62" xfId="0" applyFont="1" applyBorder="1" applyAlignment="1">
      <alignment horizontal="left" vertical="center"/>
    </xf>
    <xf numFmtId="0" fontId="64" fillId="6" borderId="43" xfId="0" applyFont="1" applyFill="1" applyBorder="1" applyAlignment="1">
      <alignment horizontal="left" vertical="center"/>
    </xf>
    <xf numFmtId="0" fontId="64" fillId="6" borderId="11" xfId="0" applyFont="1" applyFill="1" applyBorder="1" applyAlignment="1">
      <alignment horizontal="left"/>
    </xf>
    <xf numFmtId="0" fontId="47" fillId="6" borderId="11" xfId="0" applyFont="1" applyFill="1" applyBorder="1" applyAlignment="1">
      <alignment horizontal="left"/>
    </xf>
    <xf numFmtId="0" fontId="1" fillId="0" borderId="1" xfId="0" applyFont="1" applyBorder="1"/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1" fillId="0" borderId="11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" xfId="0" applyFont="1" applyBorder="1"/>
    <xf numFmtId="4" fontId="0" fillId="0" borderId="64" xfId="0" applyNumberFormat="1" applyBorder="1" applyAlignment="1">
      <alignment horizontal="center"/>
    </xf>
    <xf numFmtId="0" fontId="1" fillId="0" borderId="32" xfId="0" applyFont="1" applyBorder="1"/>
    <xf numFmtId="4" fontId="0" fillId="0" borderId="3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8" borderId="52" xfId="0" applyFill="1" applyBorder="1"/>
    <xf numFmtId="0" fontId="0" fillId="8" borderId="13" xfId="0" applyFill="1" applyBorder="1"/>
    <xf numFmtId="0" fontId="0" fillId="8" borderId="13" xfId="0" applyFill="1" applyBorder="1" applyAlignment="1">
      <alignment vertical="center"/>
    </xf>
    <xf numFmtId="0" fontId="0" fillId="8" borderId="14" xfId="0" applyFill="1" applyBorder="1"/>
    <xf numFmtId="0" fontId="0" fillId="8" borderId="25" xfId="0" applyFill="1" applyBorder="1"/>
    <xf numFmtId="4" fontId="0" fillId="8" borderId="25" xfId="0" applyNumberForma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4" fontId="24" fillId="8" borderId="0" xfId="0" quotePrefix="1" applyNumberFormat="1" applyFont="1" applyFill="1" applyBorder="1" applyAlignment="1">
      <alignment horizontal="center"/>
    </xf>
    <xf numFmtId="4" fontId="0" fillId="8" borderId="0" xfId="0" applyNumberFormat="1" applyFill="1" applyBorder="1" applyAlignment="1">
      <alignment horizont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5" xfId="0" applyFill="1" applyBorder="1" applyAlignment="1">
      <alignment horizontal="center"/>
    </xf>
    <xf numFmtId="0" fontId="0" fillId="8" borderId="5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8" xfId="0" applyFill="1" applyBorder="1"/>
    <xf numFmtId="0" fontId="0" fillId="8" borderId="0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/>
    </xf>
    <xf numFmtId="4" fontId="24" fillId="9" borderId="16" xfId="0" applyNumberFormat="1" applyFont="1" applyFill="1" applyBorder="1" applyAlignment="1">
      <alignment horizontal="center" vertical="center"/>
    </xf>
    <xf numFmtId="4" fontId="24" fillId="9" borderId="11" xfId="0" applyNumberFormat="1" applyFont="1" applyFill="1" applyBorder="1" applyAlignment="1">
      <alignment horizontal="center" vertical="center"/>
    </xf>
    <xf numFmtId="0" fontId="24" fillId="9" borderId="43" xfId="0" applyFont="1" applyFill="1" applyBorder="1" applyAlignment="1">
      <alignment horizontal="center"/>
    </xf>
    <xf numFmtId="0" fontId="24" fillId="9" borderId="12" xfId="0" applyFont="1" applyFill="1" applyBorder="1"/>
    <xf numFmtId="4" fontId="24" fillId="9" borderId="11" xfId="0" quotePrefix="1" applyNumberFormat="1" applyFont="1" applyFill="1" applyBorder="1" applyAlignment="1">
      <alignment horizontal="center"/>
    </xf>
    <xf numFmtId="4" fontId="24" fillId="9" borderId="31" xfId="0" quotePrefix="1" applyNumberFormat="1" applyFont="1" applyFill="1" applyBorder="1" applyAlignment="1">
      <alignment horizontal="center"/>
    </xf>
    <xf numFmtId="4" fontId="24" fillId="9" borderId="11" xfId="0" applyNumberFormat="1" applyFont="1" applyFill="1" applyBorder="1" applyAlignment="1">
      <alignment horizontal="center"/>
    </xf>
    <xf numFmtId="4" fontId="24" fillId="9" borderId="43" xfId="0" quotePrefix="1" applyNumberFormat="1" applyFont="1" applyFill="1" applyBorder="1" applyAlignment="1">
      <alignment horizontal="center"/>
    </xf>
    <xf numFmtId="0" fontId="24" fillId="9" borderId="11" xfId="0" applyFont="1" applyFill="1" applyBorder="1" applyAlignment="1">
      <alignment horizontal="center"/>
    </xf>
    <xf numFmtId="0" fontId="24" fillId="9" borderId="12" xfId="0" applyFont="1" applyFill="1" applyBorder="1" applyAlignment="1">
      <alignment vertical="center"/>
    </xf>
    <xf numFmtId="0" fontId="24" fillId="9" borderId="16" xfId="0" applyFont="1" applyFill="1" applyBorder="1" applyAlignment="1">
      <alignment vertical="center"/>
    </xf>
    <xf numFmtId="0" fontId="1" fillId="0" borderId="11" xfId="0" quotePrefix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4" fontId="59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24" fillId="9" borderId="0" xfId="0" applyFont="1" applyFill="1" applyAlignment="1">
      <alignment horizontal="left"/>
    </xf>
    <xf numFmtId="2" fontId="24" fillId="9" borderId="0" xfId="0" applyNumberFormat="1" applyFont="1" applyFill="1" applyAlignment="1">
      <alignment horizontal="left"/>
    </xf>
    <xf numFmtId="167" fontId="26" fillId="0" borderId="1" xfId="0" applyNumberFormat="1" applyFont="1" applyBorder="1" applyAlignment="1">
      <alignment horizontal="left"/>
    </xf>
    <xf numFmtId="167" fontId="26" fillId="0" borderId="1" xfId="0" quotePrefix="1" applyNumberFormat="1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4" fontId="6" fillId="0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14" fontId="6" fillId="0" borderId="0" xfId="0" applyNumberFormat="1" applyFont="1" applyFill="1" applyAlignment="1">
      <alignment horizontal="left"/>
    </xf>
    <xf numFmtId="0" fontId="66" fillId="0" borderId="0" xfId="0" applyFont="1" applyAlignment="1">
      <alignment horizontal="left" vertical="top" wrapText="1"/>
    </xf>
    <xf numFmtId="0" fontId="53" fillId="4" borderId="0" xfId="0" applyFont="1" applyFill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4" borderId="0" xfId="0" quotePrefix="1" applyFont="1" applyFill="1" applyAlignment="1">
      <alignment horizontal="left" vertical="center" wrapText="1"/>
    </xf>
    <xf numFmtId="49" fontId="1" fillId="0" borderId="0" xfId="0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66" fontId="0" fillId="0" borderId="0" xfId="1" applyFont="1"/>
    <xf numFmtId="0" fontId="6" fillId="0" borderId="0" xfId="0" applyNumberFormat="1" applyFont="1" applyFill="1" applyAlignment="1">
      <alignment horizontal="left"/>
    </xf>
    <xf numFmtId="49" fontId="13" fillId="4" borderId="28" xfId="0" applyNumberFormat="1" applyFont="1" applyFill="1" applyBorder="1" applyAlignment="1">
      <alignment horizontal="left"/>
    </xf>
    <xf numFmtId="0" fontId="13" fillId="4" borderId="28" xfId="0" applyFont="1" applyFill="1" applyBorder="1" applyAlignment="1">
      <alignment horizontal="left"/>
    </xf>
    <xf numFmtId="0" fontId="13" fillId="4" borderId="28" xfId="0" quotePrefix="1" applyFont="1" applyFill="1" applyBorder="1" applyAlignment="1">
      <alignment horizontal="left"/>
    </xf>
    <xf numFmtId="4" fontId="13" fillId="4" borderId="28" xfId="0" quotePrefix="1" applyNumberFormat="1" applyFont="1" applyFill="1" applyBorder="1" applyAlignment="1">
      <alignment horizontal="left"/>
    </xf>
    <xf numFmtId="4" fontId="13" fillId="4" borderId="28" xfId="0" applyNumberFormat="1" applyFont="1" applyFill="1" applyBorder="1" applyAlignment="1">
      <alignment horizontal="left"/>
    </xf>
    <xf numFmtId="0" fontId="13" fillId="4" borderId="28" xfId="0" applyNumberFormat="1" applyFont="1" applyFill="1" applyBorder="1" applyAlignment="1">
      <alignment horizontal="left"/>
    </xf>
    <xf numFmtId="14" fontId="13" fillId="4" borderId="28" xfId="0" applyNumberFormat="1" applyFont="1" applyFill="1" applyBorder="1" applyAlignment="1">
      <alignment horizontal="left"/>
    </xf>
    <xf numFmtId="4" fontId="67" fillId="4" borderId="0" xfId="0" applyNumberFormat="1" applyFont="1" applyFill="1" applyBorder="1" applyAlignment="1">
      <alignment horizontal="left"/>
    </xf>
    <xf numFmtId="0" fontId="46" fillId="6" borderId="43" xfId="0" applyFont="1" applyFill="1" applyBorder="1" applyAlignment="1">
      <alignment horizontal="center" vertical="center"/>
    </xf>
    <xf numFmtId="0" fontId="46" fillId="6" borderId="31" xfId="0" applyFont="1" applyFill="1" applyBorder="1" applyAlignment="1">
      <alignment horizontal="center" vertical="center"/>
    </xf>
    <xf numFmtId="14" fontId="46" fillId="6" borderId="31" xfId="0" applyNumberFormat="1" applyFont="1" applyFill="1" applyBorder="1" applyAlignment="1">
      <alignment horizontal="center" vertical="center"/>
    </xf>
    <xf numFmtId="0" fontId="45" fillId="6" borderId="42" xfId="0" applyFont="1" applyFill="1" applyBorder="1" applyAlignment="1">
      <alignment horizontal="center"/>
    </xf>
    <xf numFmtId="0" fontId="45" fillId="6" borderId="18" xfId="0" quotePrefix="1" applyFont="1" applyFill="1" applyBorder="1" applyAlignment="1">
      <alignment horizontal="center"/>
    </xf>
    <xf numFmtId="0" fontId="45" fillId="6" borderId="34" xfId="0" applyFont="1" applyFill="1" applyBorder="1" applyAlignment="1">
      <alignment horizontal="center"/>
    </xf>
    <xf numFmtId="4" fontId="12" fillId="0" borderId="41" xfId="0" applyNumberFormat="1" applyFont="1" applyBorder="1" applyAlignment="1">
      <alignment horizontal="center"/>
    </xf>
    <xf numFmtId="4" fontId="12" fillId="0" borderId="40" xfId="0" applyNumberFormat="1" applyFont="1" applyBorder="1" applyAlignment="1">
      <alignment horizontal="center"/>
    </xf>
    <xf numFmtId="4" fontId="43" fillId="0" borderId="28" xfId="0" applyNumberFormat="1" applyFont="1" applyBorder="1" applyAlignment="1">
      <alignment horizontal="center"/>
    </xf>
    <xf numFmtId="4" fontId="45" fillId="6" borderId="12" xfId="0" applyNumberFormat="1" applyFont="1" applyFill="1" applyBorder="1" applyAlignment="1">
      <alignment horizontal="center" vertical="center"/>
    </xf>
    <xf numFmtId="4" fontId="45" fillId="6" borderId="18" xfId="0" applyNumberFormat="1" applyFont="1" applyFill="1" applyBorder="1" applyAlignment="1">
      <alignment horizontal="center" vertical="center"/>
    </xf>
    <xf numFmtId="4" fontId="45" fillId="6" borderId="1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42" fillId="0" borderId="30" xfId="0" applyFont="1" applyBorder="1" applyAlignment="1">
      <alignment horizontal="left"/>
    </xf>
    <xf numFmtId="14" fontId="42" fillId="0" borderId="30" xfId="0" applyNumberFormat="1" applyFont="1" applyBorder="1" applyAlignment="1">
      <alignment horizontal="left"/>
    </xf>
    <xf numFmtId="37" fontId="1" fillId="0" borderId="0" xfId="0" applyNumberFormat="1" applyFont="1" applyAlignment="1">
      <alignment horizontal="left"/>
    </xf>
    <xf numFmtId="37" fontId="42" fillId="0" borderId="30" xfId="0" applyNumberFormat="1" applyFont="1" applyBorder="1" applyAlignment="1">
      <alignment horizontal="left"/>
    </xf>
    <xf numFmtId="37" fontId="54" fillId="0" borderId="0" xfId="0" applyNumberFormat="1" applyFont="1" applyAlignment="1">
      <alignment horizontal="left"/>
    </xf>
    <xf numFmtId="4" fontId="1" fillId="0" borderId="0" xfId="0" applyNumberFormat="1" applyFont="1" applyAlignment="1">
      <alignment horizontal="left"/>
    </xf>
    <xf numFmtId="0" fontId="60" fillId="0" borderId="0" xfId="0" quotePrefix="1" applyFont="1" applyBorder="1" applyAlignment="1">
      <alignment horizontal="left" vertical="center"/>
    </xf>
    <xf numFmtId="0" fontId="42" fillId="0" borderId="0" xfId="0" quotePrefix="1" applyFont="1" applyFill="1"/>
    <xf numFmtId="0" fontId="42" fillId="0" borderId="0" xfId="0" applyFont="1"/>
    <xf numFmtId="0" fontId="42" fillId="0" borderId="0" xfId="0" applyFont="1" applyFill="1"/>
    <xf numFmtId="0" fontId="24" fillId="2" borderId="0" xfId="0" applyFont="1" applyFill="1" applyAlignment="1">
      <alignment horizontal="left"/>
    </xf>
    <xf numFmtId="4" fontId="24" fillId="2" borderId="0" xfId="0" applyNumberFormat="1" applyFont="1" applyFill="1" applyAlignment="1">
      <alignment horizontal="left"/>
    </xf>
    <xf numFmtId="0" fontId="24" fillId="2" borderId="1" xfId="0" applyFont="1" applyFill="1" applyBorder="1" applyAlignment="1">
      <alignment horizontal="left"/>
    </xf>
    <xf numFmtId="2" fontId="33" fillId="0" borderId="0" xfId="0" applyNumberFormat="1" applyFont="1" applyFill="1" applyAlignment="1">
      <alignment horizontal="left"/>
    </xf>
    <xf numFmtId="4" fontId="33" fillId="0" borderId="0" xfId="0" applyNumberFormat="1" applyFont="1" applyFill="1" applyAlignment="1">
      <alignment horizontal="left"/>
    </xf>
    <xf numFmtId="167" fontId="33" fillId="0" borderId="0" xfId="0" applyNumberFormat="1" applyFont="1" applyFill="1" applyAlignment="1">
      <alignment horizontal="left"/>
    </xf>
    <xf numFmtId="0" fontId="67" fillId="4" borderId="0" xfId="0" applyFont="1" applyFill="1" applyBorder="1" applyAlignment="1">
      <alignment horizontal="left"/>
    </xf>
    <xf numFmtId="0" fontId="69" fillId="0" borderId="0" xfId="0" applyFont="1" applyAlignment="1">
      <alignment horizontal="left"/>
    </xf>
    <xf numFmtId="4" fontId="69" fillId="0" borderId="0" xfId="0" applyNumberFormat="1" applyFont="1" applyAlignment="1">
      <alignment horizontal="left"/>
    </xf>
    <xf numFmtId="4" fontId="57" fillId="0" borderId="0" xfId="0" applyNumberFormat="1" applyFont="1" applyAlignment="1">
      <alignment horizontal="left"/>
    </xf>
    <xf numFmtId="49" fontId="69" fillId="0" borderId="0" xfId="0" applyNumberFormat="1" applyFont="1" applyAlignment="1">
      <alignment horizontal="left"/>
    </xf>
    <xf numFmtId="4" fontId="69" fillId="0" borderId="0" xfId="0" applyNumberFormat="1" applyFont="1" applyAlignment="1">
      <alignment horizontal="right"/>
    </xf>
    <xf numFmtId="49" fontId="57" fillId="0" borderId="30" xfId="0" applyNumberFormat="1" applyFont="1" applyBorder="1" applyAlignment="1">
      <alignment horizontal="left"/>
    </xf>
    <xf numFmtId="0" fontId="57" fillId="0" borderId="30" xfId="0" applyFont="1" applyBorder="1" applyAlignment="1">
      <alignment horizontal="left"/>
    </xf>
    <xf numFmtId="4" fontId="57" fillId="0" borderId="30" xfId="0" applyNumberFormat="1" applyFont="1" applyBorder="1" applyAlignment="1">
      <alignment horizontal="left"/>
    </xf>
    <xf numFmtId="4" fontId="69" fillId="0" borderId="28" xfId="0" applyNumberFormat="1" applyFont="1" applyBorder="1" applyAlignment="1">
      <alignment horizontal="left"/>
    </xf>
    <xf numFmtId="0" fontId="57" fillId="0" borderId="0" xfId="0" applyFont="1" applyAlignment="1">
      <alignment horizontal="left"/>
    </xf>
    <xf numFmtId="167" fontId="59" fillId="0" borderId="0" xfId="0" applyNumberFormat="1" applyFont="1" applyAlignment="1"/>
    <xf numFmtId="0" fontId="59" fillId="0" borderId="6" xfId="0" applyFont="1" applyBorder="1" applyAlignment="1"/>
    <xf numFmtId="0" fontId="59" fillId="0" borderId="0" xfId="0" applyFont="1" applyBorder="1" applyAlignment="1"/>
    <xf numFmtId="0" fontId="59" fillId="0" borderId="0" xfId="0" quotePrefix="1" applyFont="1" applyBorder="1" applyAlignment="1"/>
    <xf numFmtId="4" fontId="59" fillId="0" borderId="0" xfId="0" quotePrefix="1" applyNumberFormat="1" applyFont="1" applyBorder="1" applyAlignment="1">
      <alignment horizontal="left"/>
    </xf>
    <xf numFmtId="4" fontId="59" fillId="0" borderId="0" xfId="0" applyNumberFormat="1" applyFont="1" applyBorder="1" applyAlignment="1"/>
    <xf numFmtId="2" fontId="59" fillId="0" borderId="0" xfId="0" applyNumberFormat="1" applyFont="1" applyBorder="1" applyAlignment="1"/>
    <xf numFmtId="0" fontId="59" fillId="0" borderId="0" xfId="0" applyFont="1" applyAlignment="1">
      <alignment vertical="center"/>
    </xf>
    <xf numFmtId="167" fontId="59" fillId="0" borderId="0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10" borderId="11" xfId="0" applyFill="1" applyBorder="1"/>
    <xf numFmtId="0" fontId="0" fillId="10" borderId="11" xfId="0" applyFill="1" applyBorder="1" applyAlignment="1">
      <alignment horizontal="center"/>
    </xf>
    <xf numFmtId="0" fontId="26" fillId="11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0" fontId="70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14" fontId="70" fillId="0" borderId="0" xfId="0" applyNumberFormat="1" applyFont="1" applyBorder="1"/>
    <xf numFmtId="0" fontId="71" fillId="0" borderId="0" xfId="0" quotePrefix="1" applyFont="1" applyBorder="1" applyAlignment="1">
      <alignment horizontal="center" vertical="top" wrapText="1"/>
    </xf>
    <xf numFmtId="0" fontId="70" fillId="0" borderId="0" xfId="0" quotePrefix="1" applyFont="1" applyBorder="1" applyAlignment="1">
      <alignment horizontal="left" vertical="top"/>
    </xf>
    <xf numFmtId="0" fontId="70" fillId="0" borderId="57" xfId="0" quotePrefix="1" applyFont="1" applyBorder="1" applyAlignment="1">
      <alignment horizontal="left" vertical="top"/>
    </xf>
    <xf numFmtId="0" fontId="70" fillId="0" borderId="0" xfId="0" quotePrefix="1" applyFont="1" applyBorder="1" applyAlignment="1">
      <alignment horizontal="left"/>
    </xf>
    <xf numFmtId="0" fontId="70" fillId="0" borderId="0" xfId="0" applyFont="1"/>
    <xf numFmtId="0" fontId="70" fillId="0" borderId="0" xfId="0" quotePrefix="1" applyFont="1" applyAlignment="1">
      <alignment wrapText="1"/>
    </xf>
    <xf numFmtId="0" fontId="70" fillId="0" borderId="0" xfId="0" quotePrefix="1" applyFont="1" applyAlignment="1">
      <alignment horizontal="left" vertical="top"/>
    </xf>
    <xf numFmtId="0" fontId="58" fillId="0" borderId="0" xfId="0" applyFont="1"/>
    <xf numFmtId="0" fontId="36" fillId="0" borderId="0" xfId="0" quotePrefix="1" applyFont="1" applyFill="1"/>
    <xf numFmtId="0" fontId="36" fillId="0" borderId="0" xfId="0" applyFont="1" applyFill="1"/>
    <xf numFmtId="0" fontId="58" fillId="0" borderId="0" xfId="0" quotePrefix="1" applyFont="1" applyAlignment="1">
      <alignment horizontal="left" vertical="center"/>
    </xf>
    <xf numFmtId="0" fontId="58" fillId="0" borderId="0" xfId="0" quotePrefix="1" applyFont="1" applyBorder="1" applyAlignment="1">
      <alignment horizontal="left" vertical="center"/>
    </xf>
    <xf numFmtId="0" fontId="58" fillId="0" borderId="0" xfId="0" quotePrefix="1" applyFont="1" applyBorder="1" applyAlignment="1">
      <alignment horizontal="left" vertical="top"/>
    </xf>
    <xf numFmtId="0" fontId="58" fillId="0" borderId="0" xfId="0" quotePrefix="1" applyFont="1" applyBorder="1" applyAlignment="1">
      <alignment horizontal="left"/>
    </xf>
    <xf numFmtId="14" fontId="58" fillId="0" borderId="0" xfId="0" applyNumberFormat="1" applyFont="1" applyAlignment="1">
      <alignment horizontal="left"/>
    </xf>
    <xf numFmtId="0" fontId="58" fillId="0" borderId="0" xfId="0" applyFont="1" applyAlignment="1">
      <alignment horizontal="left"/>
    </xf>
    <xf numFmtId="167" fontId="58" fillId="0" borderId="0" xfId="0" applyNumberFormat="1" applyFont="1" applyAlignment="1">
      <alignment horizontal="left"/>
    </xf>
    <xf numFmtId="22" fontId="58" fillId="0" borderId="0" xfId="0" applyNumberFormat="1" applyFont="1" applyAlignment="1">
      <alignment horizontal="left"/>
    </xf>
    <xf numFmtId="0" fontId="58" fillId="0" borderId="0" xfId="0" quotePrefix="1" applyFont="1"/>
    <xf numFmtId="0" fontId="60" fillId="0" borderId="0" xfId="0" quotePrefix="1" applyFont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left"/>
    </xf>
    <xf numFmtId="167" fontId="7" fillId="4" borderId="28" xfId="2" applyNumberFormat="1" applyFont="1" applyFill="1" applyBorder="1" applyAlignment="1">
      <alignment horizontal="left"/>
    </xf>
    <xf numFmtId="2" fontId="7" fillId="4" borderId="28" xfId="2" applyNumberFormat="1" applyFont="1" applyFill="1" applyBorder="1" applyAlignment="1">
      <alignment horizontal="left"/>
    </xf>
    <xf numFmtId="4" fontId="7" fillId="4" borderId="28" xfId="2" applyNumberFormat="1" applyFont="1" applyFill="1" applyBorder="1" applyAlignment="1">
      <alignment horizontal="left"/>
    </xf>
    <xf numFmtId="4" fontId="7" fillId="4" borderId="28" xfId="2" quotePrefix="1" applyNumberFormat="1" applyFont="1" applyFill="1" applyBorder="1" applyAlignment="1">
      <alignment horizontal="left"/>
    </xf>
    <xf numFmtId="0" fontId="72" fillId="0" borderId="0" xfId="0" applyFont="1" applyAlignment="1">
      <alignment vertical="top"/>
    </xf>
    <xf numFmtId="0" fontId="73" fillId="0" borderId="0" xfId="0" applyFont="1" applyAlignment="1">
      <alignment horizontal="right"/>
    </xf>
    <xf numFmtId="4" fontId="72" fillId="0" borderId="0" xfId="0" applyNumberFormat="1" applyFont="1" applyAlignment="1">
      <alignment horizontal="right"/>
    </xf>
    <xf numFmtId="0" fontId="72" fillId="0" borderId="0" xfId="0" applyFont="1"/>
    <xf numFmtId="0" fontId="73" fillId="0" borderId="0" xfId="0" applyFont="1"/>
    <xf numFmtId="4" fontId="72" fillId="0" borderId="0" xfId="0" applyNumberFormat="1" applyFont="1"/>
    <xf numFmtId="4" fontId="72" fillId="0" borderId="0" xfId="0" applyNumberFormat="1" applyFont="1" applyAlignment="1"/>
    <xf numFmtId="0" fontId="72" fillId="0" borderId="0" xfId="0" applyFont="1" applyAlignment="1">
      <alignment horizontal="right"/>
    </xf>
    <xf numFmtId="0" fontId="72" fillId="0" borderId="0" xfId="0" quotePrefix="1" applyFont="1" applyAlignment="1">
      <alignment horizontal="left" vertical="top"/>
    </xf>
    <xf numFmtId="4" fontId="72" fillId="0" borderId="0" xfId="0" quotePrefix="1" applyNumberFormat="1" applyFont="1" applyAlignment="1">
      <alignment horizontal="left" vertical="top"/>
    </xf>
    <xf numFmtId="0" fontId="72" fillId="0" borderId="0" xfId="0" quotePrefix="1" applyNumberFormat="1" applyFont="1" applyAlignment="1">
      <alignment horizontal="left" vertical="top"/>
    </xf>
    <xf numFmtId="2" fontId="72" fillId="0" borderId="0" xfId="0" applyNumberFormat="1" applyFont="1" applyAlignment="1">
      <alignment vertical="top"/>
    </xf>
    <xf numFmtId="0" fontId="72" fillId="0" borderId="0" xfId="0" applyFont="1" applyAlignment="1">
      <alignment horizontal="right" vertical="top"/>
    </xf>
    <xf numFmtId="4" fontId="72" fillId="0" borderId="0" xfId="0" applyNumberFormat="1" applyFont="1" applyAlignment="1">
      <alignment horizontal="right" vertical="top"/>
    </xf>
    <xf numFmtId="0" fontId="73" fillId="0" borderId="0" xfId="0" applyFont="1" applyAlignment="1">
      <alignment vertical="top"/>
    </xf>
    <xf numFmtId="0" fontId="72" fillId="0" borderId="0" xfId="0" applyFont="1" applyAlignment="1">
      <alignment horizontal="left" vertical="top"/>
    </xf>
    <xf numFmtId="0" fontId="72" fillId="0" borderId="0" xfId="0" applyNumberFormat="1" applyFont="1" applyAlignment="1">
      <alignment horizontal="left" vertical="top"/>
    </xf>
    <xf numFmtId="14" fontId="72" fillId="0" borderId="0" xfId="0" quotePrefix="1" applyNumberFormat="1" applyFont="1" applyAlignment="1">
      <alignment horizontal="left" vertical="top"/>
    </xf>
    <xf numFmtId="0" fontId="72" fillId="0" borderId="3" xfId="0" quotePrefix="1" applyFont="1" applyBorder="1" applyAlignment="1">
      <alignment horizontal="left" vertical="top"/>
    </xf>
    <xf numFmtId="0" fontId="0" fillId="0" borderId="0" xfId="0" applyAlignment="1">
      <alignment horizontal="center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0" fontId="0" fillId="0" borderId="5" xfId="0" applyBorder="1" applyAlignment="1">
      <alignment horizontal="left"/>
    </xf>
    <xf numFmtId="0" fontId="3" fillId="0" borderId="2" xfId="0" quotePrefix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0" fillId="0" borderId="4" xfId="0" applyBorder="1" applyAlignment="1">
      <alignment horizontal="left"/>
    </xf>
    <xf numFmtId="167" fontId="0" fillId="0" borderId="4" xfId="1" applyNumberFormat="1" applyFont="1" applyBorder="1" applyAlignment="1">
      <alignment horizontal="left"/>
    </xf>
    <xf numFmtId="167" fontId="0" fillId="0" borderId="5" xfId="1" applyNumberFormat="1" applyFont="1" applyBorder="1" applyAlignment="1">
      <alignment horizontal="left"/>
    </xf>
    <xf numFmtId="49" fontId="0" fillId="0" borderId="5" xfId="0" applyNumberFormat="1" applyBorder="1" applyAlignment="1">
      <alignment horizontal="left"/>
    </xf>
    <xf numFmtId="169" fontId="15" fillId="3" borderId="10" xfId="0" applyNumberFormat="1" applyFont="1" applyFill="1" applyBorder="1" applyAlignment="1">
      <alignment horizontal="left"/>
    </xf>
    <xf numFmtId="169" fontId="15" fillId="3" borderId="17" xfId="0" applyNumberFormat="1" applyFont="1" applyFill="1" applyBorder="1" applyAlignment="1">
      <alignment horizontal="left"/>
    </xf>
    <xf numFmtId="4" fontId="60" fillId="0" borderId="0" xfId="0" quotePrefix="1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14" fontId="61" fillId="0" borderId="0" xfId="0" quotePrefix="1" applyNumberFormat="1" applyFont="1" applyBorder="1" applyAlignment="1">
      <alignment horizontal="center" vertical="center" wrapText="1"/>
    </xf>
    <xf numFmtId="0" fontId="61" fillId="0" borderId="0" xfId="0" quotePrefix="1" applyFont="1" applyBorder="1" applyAlignment="1">
      <alignment horizontal="center" vertical="center" wrapText="1"/>
    </xf>
    <xf numFmtId="14" fontId="59" fillId="0" borderId="0" xfId="0" quotePrefix="1" applyNumberFormat="1" applyFont="1" applyAlignment="1"/>
    <xf numFmtId="14" fontId="59" fillId="0" borderId="0" xfId="0" quotePrefix="1" applyNumberFormat="1" applyFont="1" applyAlignment="1">
      <alignment horizontal="left"/>
    </xf>
    <xf numFmtId="0" fontId="25" fillId="0" borderId="29" xfId="0" applyFont="1" applyBorder="1" applyAlignment="1">
      <alignment horizontal="center"/>
    </xf>
    <xf numFmtId="0" fontId="34" fillId="0" borderId="29" xfId="0" quotePrefix="1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0" fontId="38" fillId="0" borderId="0" xfId="0" applyNumberFormat="1" applyFont="1" applyAlignment="1">
      <alignment horizontal="left"/>
    </xf>
    <xf numFmtId="168" fontId="38" fillId="0" borderId="0" xfId="0" applyNumberFormat="1" applyFont="1" applyAlignment="1">
      <alignment horizontal="left"/>
    </xf>
    <xf numFmtId="0" fontId="63" fillId="3" borderId="43" xfId="0" quotePrefix="1" applyFont="1" applyFill="1" applyBorder="1" applyAlignment="1">
      <alignment horizontal="center" vertical="center"/>
    </xf>
    <xf numFmtId="0" fontId="63" fillId="3" borderId="62" xfId="0" applyFont="1" applyFill="1" applyBorder="1" applyAlignment="1">
      <alignment horizontal="center" vertical="center"/>
    </xf>
    <xf numFmtId="0" fontId="63" fillId="3" borderId="63" xfId="0" applyFont="1" applyFill="1" applyBorder="1" applyAlignment="1">
      <alignment horizontal="center" vertical="center"/>
    </xf>
    <xf numFmtId="0" fontId="47" fillId="6" borderId="12" xfId="0" applyFont="1" applyFill="1" applyBorder="1" applyAlignment="1">
      <alignment horizontal="center" vertical="center"/>
    </xf>
    <xf numFmtId="0" fontId="47" fillId="6" borderId="35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left" vertical="center"/>
    </xf>
    <xf numFmtId="164" fontId="63" fillId="0" borderId="63" xfId="0" applyNumberFormat="1" applyFont="1" applyBorder="1" applyAlignment="1">
      <alignment horizontal="left" vertical="center"/>
    </xf>
    <xf numFmtId="9" fontId="63" fillId="0" borderId="43" xfId="0" applyNumberFormat="1" applyFont="1" applyBorder="1" applyAlignment="1">
      <alignment horizontal="center" vertical="center"/>
    </xf>
    <xf numFmtId="9" fontId="63" fillId="0" borderId="62" xfId="0" applyNumberFormat="1" applyFont="1" applyBorder="1" applyAlignment="1">
      <alignment horizontal="center" vertical="center"/>
    </xf>
    <xf numFmtId="9" fontId="63" fillId="0" borderId="63" xfId="0" applyNumberFormat="1" applyFont="1" applyBorder="1" applyAlignment="1">
      <alignment horizontal="center" vertical="center"/>
    </xf>
    <xf numFmtId="0" fontId="63" fillId="0" borderId="43" xfId="0" applyFont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164" fontId="65" fillId="0" borderId="43" xfId="0" applyNumberFormat="1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center" vertical="center"/>
    </xf>
    <xf numFmtId="164" fontId="63" fillId="0" borderId="63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64" fontId="39" fillId="0" borderId="30" xfId="0" applyNumberFormat="1" applyFont="1" applyBorder="1" applyAlignment="1">
      <alignment horizontal="center"/>
    </xf>
    <xf numFmtId="170" fontId="36" fillId="0" borderId="28" xfId="0" applyNumberFormat="1" applyFont="1" applyBorder="1" applyAlignment="1">
      <alignment horizontal="left"/>
    </xf>
    <xf numFmtId="168" fontId="36" fillId="0" borderId="30" xfId="0" applyNumberFormat="1" applyFont="1" applyBorder="1" applyAlignment="1">
      <alignment horizontal="left"/>
    </xf>
    <xf numFmtId="0" fontId="34" fillId="0" borderId="30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left"/>
    </xf>
    <xf numFmtId="0" fontId="35" fillId="0" borderId="28" xfId="0" applyFont="1" applyBorder="1" applyAlignment="1">
      <alignment horizontal="center"/>
    </xf>
    <xf numFmtId="0" fontId="41" fillId="0" borderId="30" xfId="0" applyFont="1" applyBorder="1" applyAlignment="1">
      <alignment horizontal="center" vertical="center"/>
    </xf>
    <xf numFmtId="168" fontId="36" fillId="0" borderId="28" xfId="0" applyNumberFormat="1" applyFont="1" applyBorder="1" applyAlignment="1">
      <alignment horizontal="left"/>
    </xf>
    <xf numFmtId="4" fontId="57" fillId="0" borderId="0" xfId="0" applyNumberFormat="1" applyFont="1" applyAlignment="1">
      <alignment horizontal="right" indent="1"/>
    </xf>
    <xf numFmtId="49" fontId="57" fillId="0" borderId="28" xfId="0" applyNumberFormat="1" applyFont="1" applyBorder="1" applyAlignment="1">
      <alignment horizontal="left" vertical="center"/>
    </xf>
    <xf numFmtId="170" fontId="57" fillId="0" borderId="29" xfId="0" applyNumberFormat="1" applyFont="1" applyBorder="1" applyAlignment="1">
      <alignment horizontal="left"/>
    </xf>
    <xf numFmtId="168" fontId="57" fillId="0" borderId="0" xfId="0" applyNumberFormat="1" applyFont="1" applyAlignment="1">
      <alignment horizontal="left"/>
    </xf>
    <xf numFmtId="4" fontId="57" fillId="0" borderId="29" xfId="0" applyNumberFormat="1" applyFont="1" applyBorder="1" applyAlignment="1">
      <alignment horizontal="right" indent="1"/>
    </xf>
    <xf numFmtId="49" fontId="34" fillId="0" borderId="28" xfId="0" applyNumberFormat="1" applyFont="1" applyBorder="1" applyAlignment="1">
      <alignment horizontal="center" vertical="center"/>
    </xf>
    <xf numFmtId="170" fontId="36" fillId="0" borderId="29" xfId="0" quotePrefix="1" applyNumberFormat="1" applyFont="1" applyBorder="1" applyAlignment="1">
      <alignment horizontal="left"/>
    </xf>
    <xf numFmtId="170" fontId="36" fillId="0" borderId="29" xfId="0" applyNumberFormat="1" applyFont="1" applyBorder="1" applyAlignment="1">
      <alignment horizontal="left"/>
    </xf>
    <xf numFmtId="168" fontId="36" fillId="0" borderId="28" xfId="0" quotePrefix="1" applyNumberFormat="1" applyFont="1" applyBorder="1" applyAlignment="1">
      <alignment horizontal="left"/>
    </xf>
    <xf numFmtId="0" fontId="48" fillId="0" borderId="13" xfId="0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48" fillId="0" borderId="48" xfId="0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46" xfId="0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0" fontId="48" fillId="0" borderId="28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30" fillId="0" borderId="0" xfId="0" quotePrefix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48" fillId="0" borderId="53" xfId="0" applyFont="1" applyBorder="1" applyAlignment="1">
      <alignment horizontal="left"/>
    </xf>
    <xf numFmtId="171" fontId="30" fillId="0" borderId="28" xfId="0" quotePrefix="1" applyNumberFormat="1" applyFont="1" applyBorder="1" applyAlignment="1">
      <alignment horizontal="left"/>
    </xf>
    <xf numFmtId="171" fontId="30" fillId="0" borderId="28" xfId="0" applyNumberFormat="1" applyFont="1" applyBorder="1" applyAlignment="1">
      <alignment horizontal="left"/>
    </xf>
    <xf numFmtId="0" fontId="30" fillId="0" borderId="28" xfId="0" quotePrefix="1" applyFont="1" applyBorder="1" applyAlignment="1">
      <alignment horizontal="center"/>
    </xf>
    <xf numFmtId="0" fontId="48" fillId="0" borderId="0" xfId="0" quotePrefix="1" applyFont="1" applyBorder="1" applyAlignment="1">
      <alignment horizontal="left"/>
    </xf>
    <xf numFmtId="0" fontId="36" fillId="0" borderId="55" xfId="0" quotePrefix="1" applyFont="1" applyBorder="1" applyAlignment="1">
      <alignment horizontal="left"/>
    </xf>
    <xf numFmtId="0" fontId="36" fillId="0" borderId="55" xfId="0" applyFont="1" applyBorder="1" applyAlignment="1">
      <alignment horizontal="left"/>
    </xf>
    <xf numFmtId="0" fontId="36" fillId="0" borderId="0" xfId="0" applyFont="1" applyAlignment="1">
      <alignment horizontal="center"/>
    </xf>
    <xf numFmtId="0" fontId="36" fillId="0" borderId="28" xfId="0" applyFont="1" applyBorder="1" applyAlignment="1">
      <alignment horizontal="center"/>
    </xf>
    <xf numFmtId="0" fontId="36" fillId="0" borderId="0" xfId="0" quotePrefix="1" applyFont="1" applyAlignment="1">
      <alignment horizontal="left" wrapText="1"/>
    </xf>
    <xf numFmtId="0" fontId="36" fillId="0" borderId="0" xfId="0" applyFont="1" applyAlignment="1">
      <alignment horizontal="left" wrapText="1"/>
    </xf>
    <xf numFmtId="0" fontId="36" fillId="0" borderId="0" xfId="0" applyFont="1" applyBorder="1" applyAlignment="1">
      <alignment horizontal="left"/>
    </xf>
    <xf numFmtId="0" fontId="36" fillId="0" borderId="54" xfId="0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14" fontId="57" fillId="0" borderId="55" xfId="0" applyNumberFormat="1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58" fillId="0" borderId="54" xfId="0" quotePrefix="1" applyFont="1" applyBorder="1" applyAlignment="1">
      <alignment horizontal="left"/>
    </xf>
    <xf numFmtId="0" fontId="36" fillId="0" borderId="56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0" fillId="0" borderId="28" xfId="0" applyNumberFormat="1" applyFont="1" applyBorder="1" applyAlignment="1">
      <alignment horizontal="center" vertical="center"/>
    </xf>
    <xf numFmtId="0" fontId="50" fillId="0" borderId="28" xfId="0" applyFont="1" applyBorder="1" applyAlignment="1">
      <alignment horizontal="left" vertical="center"/>
    </xf>
    <xf numFmtId="0" fontId="50" fillId="0" borderId="28" xfId="0" quotePrefix="1" applyFont="1" applyBorder="1" applyAlignment="1">
      <alignment horizontal="right" vertical="center"/>
    </xf>
    <xf numFmtId="0" fontId="50" fillId="0" borderId="28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14" fontId="72" fillId="0" borderId="0" xfId="0" applyNumberFormat="1" applyFont="1" applyAlignment="1">
      <alignment horizontal="right" vertical="top" indent="1"/>
    </xf>
    <xf numFmtId="172" fontId="72" fillId="0" borderId="3" xfId="0" applyNumberFormat="1" applyFont="1" applyBorder="1" applyAlignment="1">
      <alignment horizontal="right" vertical="top" indent="1"/>
    </xf>
    <xf numFmtId="0" fontId="34" fillId="0" borderId="28" xfId="0" applyFont="1" applyBorder="1" applyAlignment="1">
      <alignment horizontal="left" vertical="center"/>
    </xf>
    <xf numFmtId="170" fontId="0" fillId="0" borderId="29" xfId="0" applyNumberFormat="1" applyBorder="1" applyAlignment="1">
      <alignment horizontal="left"/>
    </xf>
    <xf numFmtId="0" fontId="0" fillId="7" borderId="0" xfId="0" applyFill="1" applyAlignment="1">
      <alignment horizontal="center"/>
    </xf>
    <xf numFmtId="0" fontId="68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170" fontId="1" fillId="0" borderId="29" xfId="0" applyNumberFormat="1" applyFont="1" applyBorder="1" applyAlignment="1">
      <alignment horizontal="left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86929133858271E-2"/>
          <c:y val="0"/>
          <c:w val="0.88711307086614177"/>
          <c:h val="0.92903225806451617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C-4777-BCA0-8A39777FA838}"/>
            </c:ext>
          </c:extLst>
        </c:ser>
        <c:ser>
          <c:idx val="1"/>
          <c:order val="1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FLUXO!$G$3:$G$14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4C-4777-BCA0-8A39777FA8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73775368"/>
        <c:axId val="274577112"/>
      </c:barChart>
      <c:catAx>
        <c:axId val="273775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577112"/>
        <c:crosses val="autoZero"/>
        <c:auto val="1"/>
        <c:lblAlgn val="ctr"/>
        <c:lblOffset val="100"/>
        <c:noMultiLvlLbl val="0"/>
      </c:catAx>
      <c:valAx>
        <c:axId val="27457711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27377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0</xdr:rowOff>
        </xdr:from>
        <xdr:to>
          <xdr:col>10</xdr:col>
          <xdr:colOff>276225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28575</xdr:rowOff>
        </xdr:from>
        <xdr:to>
          <xdr:col>13</xdr:col>
          <xdr:colOff>571500</xdr:colOff>
          <xdr:row>2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142875</xdr:colOff>
      <xdr:row>1</xdr:row>
      <xdr:rowOff>28574</xdr:rowOff>
    </xdr:to>
    <xdr:sp macro="[0]!VOL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562600" y="0"/>
          <a:ext cx="7429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</xdr:row>
      <xdr:rowOff>38101</xdr:rowOff>
    </xdr:from>
    <xdr:to>
      <xdr:col>4</xdr:col>
      <xdr:colOff>133753</xdr:colOff>
      <xdr:row>33</xdr:row>
      <xdr:rowOff>38101</xdr:rowOff>
    </xdr:to>
    <xdr:pic>
      <xdr:nvPicPr>
        <xdr:cNvPr id="2" name="Imagem 1" descr="inscreva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784" y="6324601"/>
          <a:ext cx="2438803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1247774</xdr:colOff>
      <xdr:row>1</xdr:row>
      <xdr:rowOff>9525</xdr:rowOff>
    </xdr:from>
    <xdr:to>
      <xdr:col>8</xdr:col>
      <xdr:colOff>1323974</xdr:colOff>
      <xdr:row>1</xdr:row>
      <xdr:rowOff>180975</xdr:rowOff>
    </xdr:to>
    <xdr:sp macro="" textlink="$L$2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6934199" y="2095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933EF13-2427-4FD8-A618-30F9C409916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2</xdr:row>
      <xdr:rowOff>1</xdr:rowOff>
    </xdr:from>
    <xdr:to>
      <xdr:col>8</xdr:col>
      <xdr:colOff>1323974</xdr:colOff>
      <xdr:row>2</xdr:row>
      <xdr:rowOff>171451</xdr:rowOff>
    </xdr:to>
    <xdr:sp macro="" textlink="$L$3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6934199" y="400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4B28301-EEBC-4883-955C-838FD35FF736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3</xdr:row>
      <xdr:rowOff>1</xdr:rowOff>
    </xdr:from>
    <xdr:to>
      <xdr:col>8</xdr:col>
      <xdr:colOff>1323974</xdr:colOff>
      <xdr:row>3</xdr:row>
      <xdr:rowOff>171451</xdr:rowOff>
    </xdr:to>
    <xdr:sp macro="" textlink="$L$4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6934199" y="5905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4</xdr:row>
      <xdr:rowOff>1</xdr:rowOff>
    </xdr:from>
    <xdr:to>
      <xdr:col>8</xdr:col>
      <xdr:colOff>1323975</xdr:colOff>
      <xdr:row>4</xdr:row>
      <xdr:rowOff>171451</xdr:rowOff>
    </xdr:to>
    <xdr:sp macro="" textlink="$L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6934200" y="781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5</xdr:row>
      <xdr:rowOff>0</xdr:rowOff>
    </xdr:from>
    <xdr:to>
      <xdr:col>8</xdr:col>
      <xdr:colOff>1323975</xdr:colOff>
      <xdr:row>5</xdr:row>
      <xdr:rowOff>171450</xdr:rowOff>
    </xdr:to>
    <xdr:sp macro="" textlink="$L$6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6934200" y="971550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6774A99-D5D6-4950-B408-F4783A19698B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800"/>
        </a:p>
      </xdr:txBody>
    </xdr:sp>
    <xdr:clientData/>
  </xdr:twoCellAnchor>
  <xdr:twoCellAnchor>
    <xdr:from>
      <xdr:col>7</xdr:col>
      <xdr:colOff>1247775</xdr:colOff>
      <xdr:row>0</xdr:row>
      <xdr:rowOff>19050</xdr:rowOff>
    </xdr:from>
    <xdr:to>
      <xdr:col>8</xdr:col>
      <xdr:colOff>1323975</xdr:colOff>
      <xdr:row>0</xdr:row>
      <xdr:rowOff>190500</xdr:rowOff>
    </xdr:to>
    <xdr:sp macro="" textlink="$L$1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6934200" y="190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657CA93-46BF-409F-A1EE-9C2B728A5532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15</xdr:row>
      <xdr:rowOff>142875</xdr:rowOff>
    </xdr:from>
    <xdr:to>
      <xdr:col>10</xdr:col>
      <xdr:colOff>88900</xdr:colOff>
      <xdr:row>40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7</xdr:col>
      <xdr:colOff>1343025</xdr:colOff>
      <xdr:row>3</xdr:row>
      <xdr:rowOff>9525</xdr:rowOff>
    </xdr:to>
    <xdr:sp macro="" textlink="$J$2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7296150" y="352425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2DBA2B7-DF2D-4EA6-ADEE-1DE031EFD88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3</xdr:row>
      <xdr:rowOff>28576</xdr:rowOff>
    </xdr:from>
    <xdr:to>
      <xdr:col>7</xdr:col>
      <xdr:colOff>1343025</xdr:colOff>
      <xdr:row>4</xdr:row>
      <xdr:rowOff>28576</xdr:rowOff>
    </xdr:to>
    <xdr:sp macro="" textlink="$J$3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7296150" y="542926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5EC0809-D092-4C3C-97F1-D97486577E5E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</xdr:colOff>
      <xdr:row>0</xdr:row>
      <xdr:rowOff>238125</xdr:rowOff>
    </xdr:from>
    <xdr:to>
      <xdr:col>7</xdr:col>
      <xdr:colOff>1343026</xdr:colOff>
      <xdr:row>1</xdr:row>
      <xdr:rowOff>161925</xdr:rowOff>
    </xdr:to>
    <xdr:sp macro="" textlink="$J$1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7296151" y="238125"/>
          <a:ext cx="1343025" cy="180975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2789395-4AB4-4C52-A18D-5B2F2A817A8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4</xdr:row>
      <xdr:rowOff>47626</xdr:rowOff>
    </xdr:from>
    <xdr:to>
      <xdr:col>7</xdr:col>
      <xdr:colOff>1343025</xdr:colOff>
      <xdr:row>5</xdr:row>
      <xdr:rowOff>1</xdr:rowOff>
    </xdr:to>
    <xdr:sp macro="" textlink="$J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7296150" y="733426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AC4F22E-4A7E-454D-B198-6B9D55336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9526</xdr:rowOff>
    </xdr:from>
    <xdr:to>
      <xdr:col>7</xdr:col>
      <xdr:colOff>1352550</xdr:colOff>
      <xdr:row>0</xdr:row>
      <xdr:rowOff>219076</xdr:rowOff>
    </xdr:to>
    <xdr:sp macro="" textlink="$J$5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7305675" y="9526"/>
          <a:ext cx="1343025" cy="2095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E83A5DF-47D2-4613-AA34-A3F391E0D36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2</xdr:col>
      <xdr:colOff>128838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1050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2</xdr:col>
      <xdr:colOff>128838</xdr:colOff>
      <xdr:row>31</xdr:row>
      <xdr:rowOff>180975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4591050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19050</xdr:rowOff>
    </xdr:from>
    <xdr:to>
      <xdr:col>2</xdr:col>
      <xdr:colOff>128838</xdr:colOff>
      <xdr:row>47</xdr:row>
      <xdr:rowOff>171450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70961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19050</xdr:rowOff>
    </xdr:from>
    <xdr:to>
      <xdr:col>2</xdr:col>
      <xdr:colOff>128838</xdr:colOff>
      <xdr:row>63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9591675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19050</xdr:rowOff>
    </xdr:from>
    <xdr:to>
      <xdr:col>2</xdr:col>
      <xdr:colOff>128838</xdr:colOff>
      <xdr:row>79</xdr:row>
      <xdr:rowOff>171450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20872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19050</xdr:rowOff>
    </xdr:from>
    <xdr:to>
      <xdr:col>2</xdr:col>
      <xdr:colOff>128838</xdr:colOff>
      <xdr:row>95</xdr:row>
      <xdr:rowOff>190500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46018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19050</xdr:rowOff>
    </xdr:from>
    <xdr:to>
      <xdr:col>2</xdr:col>
      <xdr:colOff>128838</xdr:colOff>
      <xdr:row>111</xdr:row>
      <xdr:rowOff>180975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7106900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19050</xdr:rowOff>
    </xdr:from>
    <xdr:to>
      <xdr:col>2</xdr:col>
      <xdr:colOff>128838</xdr:colOff>
      <xdr:row>127</xdr:row>
      <xdr:rowOff>200025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2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9611975"/>
          <a:ext cx="1271838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19050</xdr:rowOff>
    </xdr:from>
    <xdr:to>
      <xdr:col>2</xdr:col>
      <xdr:colOff>128838</xdr:colOff>
      <xdr:row>143</xdr:row>
      <xdr:rowOff>190500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2117050"/>
          <a:ext cx="1271838" cy="1714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7</xdr:col>
          <xdr:colOff>504825</xdr:colOff>
          <xdr:row>2</xdr:row>
          <xdr:rowOff>133350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1066800</xdr:colOff>
          <xdr:row>0</xdr:row>
          <xdr:rowOff>47625</xdr:rowOff>
        </xdr:from>
        <xdr:to>
          <xdr:col>12</xdr:col>
          <xdr:colOff>2752725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RENTE%20DE%20CAIXA\BANCO%20DE%20DADOS\FRENTE%20DE%20CAIXA%20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  <sheetName val="Fornecedores"/>
      <sheetName val="COMANDA"/>
      <sheetName val="LISTA"/>
      <sheetName val="ENTRADAS"/>
      <sheetName val="RODAPE"/>
      <sheetName val="VENDAS"/>
      <sheetName val="RESUMO_VENDAS"/>
      <sheetName val="TIPOS"/>
      <sheetName val="A RECEBER"/>
      <sheetName val="PARCELADO"/>
      <sheetName val="FECHAMENTO"/>
    </sheetNames>
    <sheetDataSet>
      <sheetData sheetId="0">
        <row r="7">
          <cell r="F7">
            <v>1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6"/>
  <sheetViews>
    <sheetView workbookViewId="0">
      <pane ySplit="6" topLeftCell="A7" activePane="bottomLeft" state="frozen"/>
      <selection activeCell="A2" sqref="A2:J2"/>
      <selection pane="bottomLeft" activeCell="E3" sqref="E3"/>
    </sheetView>
  </sheetViews>
  <sheetFormatPr defaultRowHeight="12.75"/>
  <cols>
    <col min="1" max="1" width="12.28515625" style="4" customWidth="1"/>
    <col min="2" max="2" width="5.42578125" style="4" customWidth="1"/>
    <col min="3" max="3" width="6.85546875" style="12" customWidth="1"/>
    <col min="4" max="4" width="5.7109375" style="12" customWidth="1"/>
    <col min="5" max="5" width="36.140625" style="4" customWidth="1"/>
    <col min="6" max="6" width="12" style="13" customWidth="1"/>
    <col min="7" max="7" width="10" style="4" customWidth="1"/>
    <col min="8" max="8" width="14" style="14" customWidth="1"/>
    <col min="9" max="9" width="15" style="4" customWidth="1"/>
    <col min="10" max="10" width="8.85546875" style="4" customWidth="1"/>
    <col min="11" max="11" width="11.7109375" style="13" customWidth="1"/>
    <col min="12" max="12" width="19.42578125" style="4" customWidth="1"/>
    <col min="13" max="13" width="14.140625" style="4" bestFit="1" customWidth="1"/>
    <col min="14" max="14" width="13.140625" style="4" bestFit="1" customWidth="1"/>
    <col min="15" max="15" width="21.140625" style="4" bestFit="1" customWidth="1"/>
    <col min="16" max="16" width="1.5703125" style="4" bestFit="1" customWidth="1"/>
    <col min="17" max="17" width="2" style="4" bestFit="1" customWidth="1"/>
    <col min="18" max="18" width="5.5703125" style="4" bestFit="1" customWidth="1"/>
    <col min="19" max="16384" width="9.140625" style="4"/>
  </cols>
  <sheetData>
    <row r="1" spans="1:18" ht="15">
      <c r="A1" s="474" t="s">
        <v>3</v>
      </c>
      <c r="B1" s="475"/>
      <c r="C1" s="475"/>
      <c r="D1" s="475"/>
      <c r="E1" s="1" t="s">
        <v>146</v>
      </c>
      <c r="F1" s="2" t="s">
        <v>5</v>
      </c>
      <c r="G1" s="481">
        <f>SUM(H7:H9052)</f>
        <v>0</v>
      </c>
      <c r="H1" s="482"/>
      <c r="I1" s="3" t="s">
        <v>6</v>
      </c>
      <c r="J1" s="1"/>
      <c r="K1" s="13">
        <f>SUM(F7:F9884)</f>
        <v>0</v>
      </c>
      <c r="L1" s="126" t="s">
        <v>146</v>
      </c>
      <c r="M1" s="126" t="s">
        <v>184</v>
      </c>
      <c r="N1" s="4" t="s">
        <v>183</v>
      </c>
      <c r="O1" s="186" t="s">
        <v>191</v>
      </c>
      <c r="Q1" s="4" t="s">
        <v>297</v>
      </c>
      <c r="R1" s="4" t="s">
        <v>296</v>
      </c>
    </row>
    <row r="2" spans="1:18" ht="15">
      <c r="A2" s="474" t="s">
        <v>7</v>
      </c>
      <c r="B2" s="475"/>
      <c r="C2" s="475"/>
      <c r="D2" s="475"/>
      <c r="E2" s="189"/>
      <c r="F2" s="2"/>
      <c r="G2" s="480">
        <v>1</v>
      </c>
      <c r="H2" s="477"/>
      <c r="I2" s="3" t="s">
        <v>8</v>
      </c>
      <c r="J2" s="1"/>
      <c r="L2" s="4" t="s">
        <v>147</v>
      </c>
      <c r="M2" s="126" t="s">
        <v>185</v>
      </c>
      <c r="N2" s="4" t="s">
        <v>188</v>
      </c>
      <c r="O2" s="187" t="s">
        <v>192</v>
      </c>
      <c r="R2" s="4" t="s">
        <v>316</v>
      </c>
    </row>
    <row r="3" spans="1:18" ht="15">
      <c r="A3" s="474"/>
      <c r="B3" s="475"/>
      <c r="C3" s="475"/>
      <c r="D3" s="475"/>
      <c r="E3" s="1" t="s">
        <v>122</v>
      </c>
      <c r="F3" s="2"/>
      <c r="G3" s="476">
        <v>0</v>
      </c>
      <c r="H3" s="483"/>
      <c r="I3" s="3" t="s">
        <v>61</v>
      </c>
      <c r="J3" s="1"/>
      <c r="M3" s="4" t="s">
        <v>183</v>
      </c>
      <c r="N3" s="4" t="s">
        <v>189</v>
      </c>
    </row>
    <row r="4" spans="1:18" ht="15">
      <c r="A4" s="474" t="s">
        <v>10</v>
      </c>
      <c r="B4" s="475"/>
      <c r="C4" s="475"/>
      <c r="D4" s="475"/>
      <c r="E4" s="5">
        <f ca="1">TODAY()</f>
        <v>44114</v>
      </c>
      <c r="F4" s="6"/>
      <c r="G4" s="476" t="s">
        <v>12</v>
      </c>
      <c r="H4" s="477"/>
      <c r="I4" s="3" t="s">
        <v>13</v>
      </c>
      <c r="J4" s="248"/>
      <c r="M4" s="126" t="s">
        <v>146</v>
      </c>
      <c r="N4" s="4" t="s">
        <v>190</v>
      </c>
    </row>
    <row r="5" spans="1:18" ht="15">
      <c r="A5" s="478"/>
      <c r="B5" s="479"/>
      <c r="C5" s="479"/>
      <c r="D5" s="479"/>
      <c r="E5" s="7">
        <v>1</v>
      </c>
      <c r="F5" s="8" t="s">
        <v>296</v>
      </c>
      <c r="G5" s="480"/>
      <c r="H5" s="477"/>
      <c r="I5" s="3"/>
      <c r="J5" s="1">
        <f ca="1">MONTH(E4)</f>
        <v>10</v>
      </c>
      <c r="M5" s="4" t="s">
        <v>147</v>
      </c>
    </row>
    <row r="6" spans="1:18" ht="15">
      <c r="A6" s="256" t="s">
        <v>14</v>
      </c>
      <c r="B6" s="257" t="s">
        <v>295</v>
      </c>
      <c r="C6" s="258" t="s">
        <v>30</v>
      </c>
      <c r="D6" s="258" t="s">
        <v>294</v>
      </c>
      <c r="E6" s="9" t="s">
        <v>15</v>
      </c>
      <c r="F6" s="10" t="s">
        <v>11</v>
      </c>
      <c r="G6" s="9" t="s">
        <v>76</v>
      </c>
      <c r="H6" s="11" t="s">
        <v>34</v>
      </c>
      <c r="I6" s="9" t="s">
        <v>284</v>
      </c>
      <c r="J6" s="395" t="s">
        <v>293</v>
      </c>
      <c r="K6" s="394" t="s">
        <v>40</v>
      </c>
      <c r="L6" s="393" t="s">
        <v>41</v>
      </c>
      <c r="M6" s="473" t="str">
        <f>IFERROR(VLOOKUP(E2,TABELA_CLIENTES,10,0),"-")</f>
        <v>-</v>
      </c>
      <c r="N6" s="473"/>
      <c r="O6" s="4" t="str">
        <f>IFERROR(VLOOKUP(E2,TABELA_CLIENTES,11,0),"-")</f>
        <v>-</v>
      </c>
      <c r="P6" s="4" t="str">
        <f>IFERROR(VLOOKUP(E2,TABELA_CLIENTES,14,0),"-")</f>
        <v>-</v>
      </c>
    </row>
  </sheetData>
  <autoFilter ref="A6:J6" xr:uid="{00000000-0009-0000-0000-000000000000}">
    <sortState xmlns:xlrd2="http://schemas.microsoft.com/office/spreadsheetml/2017/richdata2" ref="A7:J7">
      <sortCondition descending="1" ref="A6"/>
    </sortState>
  </autoFilter>
  <mergeCells count="11">
    <mergeCell ref="A1:D1"/>
    <mergeCell ref="G1:H1"/>
    <mergeCell ref="A2:D2"/>
    <mergeCell ref="G2:H2"/>
    <mergeCell ref="A3:D3"/>
    <mergeCell ref="G3:H3"/>
    <mergeCell ref="M6:N6"/>
    <mergeCell ref="A4:D4"/>
    <mergeCell ref="G4:H4"/>
    <mergeCell ref="A5:D5"/>
    <mergeCell ref="G5:H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002060"/>
  </sheetPr>
  <dimension ref="A1:E28"/>
  <sheetViews>
    <sheetView workbookViewId="0">
      <pane ySplit="10" topLeftCell="A11" activePane="bottomLeft" state="frozen"/>
      <selection pane="bottomLeft" activeCell="A7" sqref="A7"/>
    </sheetView>
  </sheetViews>
  <sheetFormatPr defaultRowHeight="12.75"/>
  <cols>
    <col min="1" max="1" width="39.42578125" style="433" customWidth="1"/>
    <col min="2" max="2" width="11.28515625" style="392" bestFit="1" customWidth="1"/>
    <col min="3" max="16384" width="9.140625" style="391"/>
  </cols>
  <sheetData>
    <row r="1" spans="1:5">
      <c r="A1" s="426" t="s">
        <v>158</v>
      </c>
      <c r="B1" s="390"/>
      <c r="E1" s="427"/>
    </row>
    <row r="2" spans="1:5">
      <c r="A2" s="426" t="s">
        <v>144</v>
      </c>
    </row>
    <row r="3" spans="1:5">
      <c r="A3" s="426" t="s">
        <v>142</v>
      </c>
    </row>
    <row r="4" spans="1:5">
      <c r="A4" s="426" t="s">
        <v>143</v>
      </c>
    </row>
    <row r="5" spans="1:5" ht="12.75" customHeight="1">
      <c r="A5" s="426" t="s">
        <v>145</v>
      </c>
    </row>
    <row r="6" spans="1:5">
      <c r="A6" s="428" t="s">
        <v>320</v>
      </c>
    </row>
    <row r="7" spans="1:5" ht="12.75" customHeight="1">
      <c r="A7" s="426" t="s">
        <v>321</v>
      </c>
    </row>
    <row r="8" spans="1:5" ht="13.5" customHeight="1">
      <c r="A8" s="429" t="s">
        <v>193</v>
      </c>
    </row>
    <row r="9" spans="1:5" ht="9" customHeight="1">
      <c r="A9" s="430" t="s">
        <v>18</v>
      </c>
    </row>
    <row r="10" spans="1:5" ht="15" customHeight="1">
      <c r="A10" s="431" t="s">
        <v>17</v>
      </c>
    </row>
    <row r="11" spans="1:5" ht="7.5" customHeight="1">
      <c r="A11" s="432" t="s">
        <v>18</v>
      </c>
    </row>
    <row r="13" spans="1:5">
      <c r="A13" s="426"/>
    </row>
    <row r="27" spans="1:1">
      <c r="A27" s="434"/>
    </row>
    <row r="28" spans="1:1">
      <c r="A28" s="435"/>
    </row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OLTAR">
                <anchor mov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10</xdr:col>
                    <xdr:colOff>276225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W1"/>
  <sheetViews>
    <sheetView workbookViewId="0">
      <pane ySplit="1" topLeftCell="A2" activePane="bottomLeft" state="frozen"/>
      <selection activeCell="E3" sqref="E3"/>
      <selection pane="bottomLeft" activeCell="N9" sqref="N9"/>
    </sheetView>
  </sheetViews>
  <sheetFormatPr defaultRowHeight="12.75" outlineLevelCol="1"/>
  <cols>
    <col min="1" max="1" width="14.42578125" style="348" customWidth="1"/>
    <col min="2" max="2" width="4.85546875" style="346" bestFit="1" customWidth="1"/>
    <col min="3" max="3" width="33.5703125" style="346" customWidth="1"/>
    <col min="4" max="4" width="10.42578125" style="346" customWidth="1"/>
    <col min="5" max="5" width="8.28515625" style="347" customWidth="1"/>
    <col min="6" max="7" width="9.140625" style="347"/>
    <col min="8" max="9" width="10.28515625" style="347" hidden="1" customWidth="1" outlineLevel="1"/>
    <col min="10" max="10" width="10" style="347" hidden="1" customWidth="1" outlineLevel="1"/>
    <col min="11" max="11" width="11.28515625" style="347" hidden="1" customWidth="1" outlineLevel="1"/>
    <col min="12" max="12" width="9.5703125" style="359" bestFit="1" customWidth="1" collapsed="1"/>
    <col min="13" max="13" width="5.140625" style="346" customWidth="1"/>
    <col min="14" max="14" width="13" style="349" customWidth="1"/>
    <col min="15" max="15" width="14.140625" style="346" bestFit="1" customWidth="1"/>
    <col min="16" max="16" width="32.140625" style="348" customWidth="1"/>
    <col min="17" max="17" width="10.7109375" style="346" customWidth="1"/>
    <col min="18" max="18" width="12.140625" style="346" customWidth="1"/>
    <col min="19" max="19" width="17.42578125" style="346" customWidth="1"/>
    <col min="20" max="20" width="13.85546875" style="347" customWidth="1"/>
    <col min="21" max="21" width="12.42578125" style="347" customWidth="1"/>
    <col min="22" max="22" width="18.42578125" style="347" customWidth="1"/>
    <col min="23" max="23" width="54.28515625" style="346" customWidth="1"/>
    <col min="24" max="16384" width="9.140625" style="346"/>
  </cols>
  <sheetData>
    <row r="1" spans="1:23" s="345" customFormat="1">
      <c r="A1" s="360" t="s">
        <v>1</v>
      </c>
      <c r="B1" s="361" t="s">
        <v>14</v>
      </c>
      <c r="C1" s="362" t="s">
        <v>0</v>
      </c>
      <c r="D1" s="361" t="s">
        <v>2</v>
      </c>
      <c r="E1" s="363" t="s">
        <v>19</v>
      </c>
      <c r="F1" s="364" t="s">
        <v>300</v>
      </c>
      <c r="G1" s="364" t="s">
        <v>299</v>
      </c>
      <c r="H1" s="364" t="s">
        <v>20</v>
      </c>
      <c r="I1" s="364" t="s">
        <v>21</v>
      </c>
      <c r="J1" s="364" t="s">
        <v>22</v>
      </c>
      <c r="K1" s="364" t="s">
        <v>23</v>
      </c>
      <c r="L1" s="365" t="s">
        <v>308</v>
      </c>
      <c r="M1" s="361">
        <v>1</v>
      </c>
      <c r="N1" s="366" t="s">
        <v>29</v>
      </c>
      <c r="O1" s="361" t="s">
        <v>187</v>
      </c>
      <c r="P1" s="360" t="s">
        <v>239</v>
      </c>
      <c r="Q1" s="361" t="s">
        <v>267</v>
      </c>
      <c r="R1" s="361" t="s">
        <v>268</v>
      </c>
      <c r="S1" s="361" t="s">
        <v>269</v>
      </c>
      <c r="T1" s="367" t="s">
        <v>301</v>
      </c>
      <c r="U1" s="367" t="s">
        <v>302</v>
      </c>
      <c r="V1" s="367" t="s">
        <v>303</v>
      </c>
      <c r="W1" s="399" t="s">
        <v>28</v>
      </c>
    </row>
  </sheetData>
  <autoFilter ref="A1:S1" xr:uid="{00000000-0009-0000-0000-000002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K1"/>
  <sheetViews>
    <sheetView workbookViewId="0">
      <pane ySplit="1" topLeftCell="A2" activePane="bottomLeft" state="frozen"/>
      <selection activeCell="E3" sqref="E3"/>
      <selection pane="bottomLeft" activeCell="F18" sqref="F18"/>
    </sheetView>
  </sheetViews>
  <sheetFormatPr defaultRowHeight="12.75"/>
  <cols>
    <col min="1" max="1" width="9.140625" style="15"/>
    <col min="2" max="2" width="17.140625" style="112" customWidth="1"/>
    <col min="3" max="3" width="7.5703125" style="15" customWidth="1"/>
    <col min="4" max="4" width="38" style="15" customWidth="1"/>
    <col min="5" max="5" width="11.5703125" style="15" customWidth="1"/>
    <col min="6" max="6" width="11.140625" style="16" customWidth="1"/>
    <col min="7" max="7" width="9.140625" style="16"/>
    <col min="8" max="8" width="10.28515625" style="16" customWidth="1"/>
    <col min="9" max="9" width="32.85546875" style="16" customWidth="1"/>
    <col min="10" max="10" width="13.140625" style="114" customWidth="1"/>
    <col min="11" max="11" width="3" style="15" bestFit="1" customWidth="1"/>
    <col min="12" max="16384" width="9.140625" style="15"/>
  </cols>
  <sheetData>
    <row r="1" spans="1:11" ht="13.5" customHeight="1">
      <c r="A1" s="33" t="s">
        <v>30</v>
      </c>
      <c r="B1" s="111" t="s">
        <v>1</v>
      </c>
      <c r="C1" s="33" t="s">
        <v>14</v>
      </c>
      <c r="D1" s="34" t="s">
        <v>0</v>
      </c>
      <c r="E1" s="33" t="s">
        <v>2</v>
      </c>
      <c r="F1" s="35" t="s">
        <v>108</v>
      </c>
      <c r="G1" s="36" t="s">
        <v>26</v>
      </c>
      <c r="H1" s="36" t="s">
        <v>27</v>
      </c>
      <c r="I1" s="36" t="s">
        <v>28</v>
      </c>
      <c r="J1" s="113" t="s">
        <v>29</v>
      </c>
      <c r="K1" s="28">
        <v>1</v>
      </c>
    </row>
  </sheetData>
  <autoFilter ref="A1:J1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Q1"/>
  <sheetViews>
    <sheetView workbookViewId="0">
      <pane ySplit="1" topLeftCell="A2" activePane="bottomLeft" state="frozen"/>
      <selection activeCell="E3" sqref="E3"/>
      <selection pane="bottomLeft" activeCell="D13" sqref="D13"/>
    </sheetView>
  </sheetViews>
  <sheetFormatPr defaultRowHeight="12"/>
  <cols>
    <col min="1" max="1" width="5.42578125" style="22" customWidth="1"/>
    <col min="2" max="2" width="10.85546875" style="23" bestFit="1" customWidth="1"/>
    <col min="3" max="3" width="13" style="23" customWidth="1"/>
    <col min="4" max="4" width="8.7109375" style="22" bestFit="1" customWidth="1"/>
    <col min="5" max="5" width="32.140625" style="22" customWidth="1"/>
    <col min="6" max="6" width="10.42578125" style="24" bestFit="1" customWidth="1"/>
    <col min="7" max="7" width="7.28515625" style="22" bestFit="1" customWidth="1"/>
    <col min="8" max="8" width="9.140625" style="31" customWidth="1"/>
    <col min="9" max="9" width="26.140625" style="22" customWidth="1"/>
    <col min="10" max="11" width="12.85546875" style="22" customWidth="1"/>
    <col min="12" max="12" width="11.7109375" style="22" customWidth="1"/>
    <col min="13" max="13" width="8.140625" style="24" customWidth="1"/>
    <col min="14" max="14" width="9" style="24" customWidth="1"/>
    <col min="15" max="15" width="7.140625" style="22" customWidth="1"/>
    <col min="16" max="16" width="6.42578125" style="22" customWidth="1"/>
    <col min="17" max="17" width="9.28515625" style="22" bestFit="1" customWidth="1"/>
    <col min="18" max="16384" width="9.140625" style="22"/>
  </cols>
  <sheetData>
    <row r="1" spans="1:17" s="21" customFormat="1" ht="14.25" customHeight="1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30" t="s">
        <v>34</v>
      </c>
      <c r="I1" s="19" t="s">
        <v>35</v>
      </c>
      <c r="J1" s="17" t="s">
        <v>36</v>
      </c>
      <c r="K1" s="17" t="s">
        <v>37</v>
      </c>
      <c r="L1" s="17" t="s">
        <v>38</v>
      </c>
      <c r="M1" s="20" t="s">
        <v>39</v>
      </c>
      <c r="N1" s="20" t="s">
        <v>40</v>
      </c>
      <c r="O1" s="17" t="s">
        <v>41</v>
      </c>
      <c r="P1" s="17" t="s">
        <v>42</v>
      </c>
      <c r="Q1" s="17" t="s">
        <v>284</v>
      </c>
    </row>
  </sheetData>
  <autoFilter ref="A1:Q1" xr:uid="{00000000-0009-0000-0000-000004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/>
  <dimension ref="A1:L1"/>
  <sheetViews>
    <sheetView workbookViewId="0">
      <pane ySplit="1" topLeftCell="A2" activePane="bottomLeft" state="frozen"/>
      <selection activeCell="E3" sqref="E3"/>
      <selection pane="bottomLeft" activeCell="B10" sqref="B10"/>
    </sheetView>
  </sheetViews>
  <sheetFormatPr defaultRowHeight="12"/>
  <cols>
    <col min="1" max="1" width="9.140625" style="122"/>
    <col min="2" max="2" width="32" style="122" customWidth="1"/>
    <col min="3" max="3" width="13.140625" style="122" customWidth="1"/>
    <col min="4" max="4" width="12.7109375" style="122" customWidth="1"/>
    <col min="5" max="5" width="12.7109375" style="398" customWidth="1"/>
    <col min="6" max="6" width="11.140625" style="396" customWidth="1"/>
    <col min="7" max="7" width="10.140625" style="397" customWidth="1"/>
    <col min="8" max="8" width="9.140625" style="397"/>
    <col min="9" max="9" width="12.85546875" style="397" customWidth="1"/>
    <col min="10" max="10" width="11.28515625" style="122" customWidth="1"/>
    <col min="11" max="11" width="7.28515625" style="122" customWidth="1"/>
    <col min="12" max="12" width="6.28515625" style="122" customWidth="1"/>
    <col min="13" max="13" width="5.140625" style="122" bestFit="1" customWidth="1"/>
    <col min="14" max="14" width="4.85546875" style="122" customWidth="1"/>
    <col min="15" max="15" width="5.140625" style="122" bestFit="1" customWidth="1"/>
    <col min="16" max="16384" width="9.140625" style="122"/>
  </cols>
  <sheetData>
    <row r="1" spans="1:12">
      <c r="A1" s="449" t="s">
        <v>14</v>
      </c>
      <c r="B1" s="449" t="s">
        <v>35</v>
      </c>
      <c r="C1" s="449" t="s">
        <v>36</v>
      </c>
      <c r="D1" s="449" t="s">
        <v>37</v>
      </c>
      <c r="E1" s="450" t="s">
        <v>34</v>
      </c>
      <c r="F1" s="451" t="s">
        <v>9</v>
      </c>
      <c r="G1" s="452" t="s">
        <v>6</v>
      </c>
      <c r="H1" s="452" t="s">
        <v>8</v>
      </c>
      <c r="I1" s="453" t="s">
        <v>68</v>
      </c>
      <c r="J1" s="449" t="s">
        <v>38</v>
      </c>
      <c r="K1" s="449" t="s">
        <v>42</v>
      </c>
      <c r="L1" s="449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1:B21"/>
  <sheetViews>
    <sheetView workbookViewId="0">
      <pane ySplit="1" topLeftCell="A2" activePane="bottomLeft" state="frozen"/>
      <selection activeCell="E3" sqref="E3"/>
      <selection pane="bottomLeft" activeCell="J12" sqref="J12"/>
    </sheetView>
  </sheetViews>
  <sheetFormatPr defaultRowHeight="12.75"/>
  <cols>
    <col min="1" max="1" width="19.28515625" customWidth="1"/>
  </cols>
  <sheetData>
    <row r="1" spans="1:2" ht="14.25" customHeight="1" thickBot="1">
      <c r="A1" s="160" t="s">
        <v>43</v>
      </c>
      <c r="B1" s="160" t="s">
        <v>306</v>
      </c>
    </row>
    <row r="2" spans="1:2" ht="13.5" thickBot="1">
      <c r="A2" t="s">
        <v>25</v>
      </c>
      <c r="B2" s="290">
        <v>58</v>
      </c>
    </row>
    <row r="3" spans="1:2">
      <c r="A3" t="s">
        <v>44</v>
      </c>
    </row>
    <row r="4" spans="1:2">
      <c r="A4" t="s">
        <v>24</v>
      </c>
    </row>
    <row r="5" spans="1:2">
      <c r="A5" t="s">
        <v>45</v>
      </c>
    </row>
    <row r="6" spans="1:2">
      <c r="A6" t="s">
        <v>46</v>
      </c>
    </row>
    <row r="7" spans="1:2">
      <c r="A7" t="s">
        <v>47</v>
      </c>
    </row>
    <row r="8" spans="1:2">
      <c r="A8" t="s">
        <v>48</v>
      </c>
    </row>
    <row r="9" spans="1:2">
      <c r="A9" t="s">
        <v>49</v>
      </c>
    </row>
    <row r="10" spans="1:2">
      <c r="A10" t="s">
        <v>50</v>
      </c>
    </row>
    <row r="11" spans="1:2">
      <c r="A11" t="s">
        <v>51</v>
      </c>
    </row>
    <row r="12" spans="1:2">
      <c r="A12" t="s">
        <v>52</v>
      </c>
    </row>
    <row r="13" spans="1:2">
      <c r="A13" t="s">
        <v>53</v>
      </c>
    </row>
    <row r="14" spans="1:2">
      <c r="A14" t="s">
        <v>54</v>
      </c>
    </row>
    <row r="15" spans="1:2">
      <c r="A15" t="s">
        <v>55</v>
      </c>
    </row>
    <row r="16" spans="1:2">
      <c r="A16" t="s">
        <v>56</v>
      </c>
    </row>
    <row r="17" spans="1:1">
      <c r="A17" t="s">
        <v>57</v>
      </c>
    </row>
    <row r="18" spans="1:1">
      <c r="A18" s="126" t="s">
        <v>222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/>
  <dimension ref="A1:A5"/>
  <sheetViews>
    <sheetView workbookViewId="0">
      <selection activeCell="E3" sqref="E3"/>
    </sheetView>
  </sheetViews>
  <sheetFormatPr defaultRowHeight="12.75"/>
  <cols>
    <col min="1" max="1" width="19.42578125" customWidth="1"/>
  </cols>
  <sheetData>
    <row r="1" spans="1:1">
      <c r="A1" s="29" t="s">
        <v>4</v>
      </c>
    </row>
    <row r="2" spans="1:1">
      <c r="A2" s="29" t="s">
        <v>65</v>
      </c>
    </row>
    <row r="3" spans="1:1">
      <c r="A3" s="29" t="s">
        <v>70</v>
      </c>
    </row>
    <row r="4" spans="1:1">
      <c r="A4" s="29" t="s">
        <v>71</v>
      </c>
    </row>
    <row r="5" spans="1:1">
      <c r="A5" s="29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H10000"/>
  <sheetViews>
    <sheetView workbookViewId="0">
      <selection activeCell="E1" sqref="E1"/>
    </sheetView>
  </sheetViews>
  <sheetFormatPr defaultColWidth="9.140625" defaultRowHeight="12.75"/>
  <cols>
    <col min="1" max="1" width="8" style="38" bestFit="1" customWidth="1"/>
    <col min="2" max="2" width="13.28515625" style="54" customWidth="1"/>
    <col min="3" max="3" width="19.140625" style="38" customWidth="1"/>
    <col min="4" max="4" width="16.7109375" style="53" customWidth="1"/>
    <col min="5" max="5" width="18.5703125" style="53" customWidth="1"/>
    <col min="6" max="6" width="10.7109375" style="38" hidden="1" customWidth="1"/>
    <col min="7" max="7" width="12.7109375" style="38" customWidth="1"/>
    <col min="8" max="8" width="21.85546875" style="88" bestFit="1" customWidth="1"/>
    <col min="9" max="16384" width="9.140625" style="38"/>
  </cols>
  <sheetData>
    <row r="1" spans="1:8" ht="13.5" thickBot="1">
      <c r="A1" s="37" t="s">
        <v>35</v>
      </c>
      <c r="B1" s="484" t="s">
        <v>107</v>
      </c>
      <c r="C1" s="485"/>
      <c r="D1" s="66" t="s">
        <v>36</v>
      </c>
      <c r="E1" s="57" t="s">
        <v>146</v>
      </c>
      <c r="F1" s="67"/>
      <c r="G1" s="82">
        <v>30</v>
      </c>
      <c r="H1" s="84">
        <v>0</v>
      </c>
    </row>
    <row r="2" spans="1:8" ht="13.5" thickBot="1">
      <c r="A2" s="39"/>
      <c r="B2" s="40"/>
      <c r="C2" s="41"/>
      <c r="D2" s="42"/>
      <c r="E2" s="42"/>
      <c r="F2" s="41"/>
      <c r="G2" s="83"/>
      <c r="H2" s="85"/>
    </row>
    <row r="3" spans="1:8" ht="15.75" customHeight="1">
      <c r="A3" s="39"/>
      <c r="B3" s="60" t="s">
        <v>73</v>
      </c>
      <c r="C3" s="61">
        <f ca="1">TODAY()</f>
        <v>44114</v>
      </c>
      <c r="D3" s="42"/>
      <c r="E3" s="59" t="s">
        <v>61</v>
      </c>
      <c r="F3" s="58">
        <v>0</v>
      </c>
      <c r="G3" s="41"/>
      <c r="H3" s="85"/>
    </row>
    <row r="4" spans="1:8" ht="15.75" customHeight="1">
      <c r="A4" s="39"/>
      <c r="B4" s="62" t="s">
        <v>34</v>
      </c>
      <c r="C4" s="63">
        <v>10</v>
      </c>
      <c r="D4" s="42"/>
      <c r="E4" s="59" t="s">
        <v>9</v>
      </c>
      <c r="F4" s="58"/>
      <c r="G4" s="41"/>
      <c r="H4" s="85"/>
    </row>
    <row r="5" spans="1:8" ht="15.75" customHeight="1" thickBot="1">
      <c r="A5" s="39"/>
      <c r="B5" s="64" t="s">
        <v>74</v>
      </c>
      <c r="C5" s="65">
        <v>1</v>
      </c>
      <c r="D5" s="42"/>
      <c r="E5" s="59"/>
      <c r="F5" s="58"/>
      <c r="G5" s="41"/>
      <c r="H5" s="85"/>
    </row>
    <row r="6" spans="1:8" ht="13.5" thickBot="1">
      <c r="A6" s="43"/>
      <c r="B6" s="44"/>
      <c r="C6" s="45"/>
      <c r="D6" s="46"/>
      <c r="E6" s="46"/>
      <c r="F6" s="47"/>
      <c r="G6" s="47"/>
      <c r="H6" s="86"/>
    </row>
    <row r="7" spans="1:8" s="50" customFormat="1" ht="13.5" thickBot="1">
      <c r="A7" s="48" t="s">
        <v>30</v>
      </c>
      <c r="B7" s="69" t="s">
        <v>62</v>
      </c>
      <c r="C7" s="68" t="s">
        <v>75</v>
      </c>
      <c r="D7" s="49" t="s">
        <v>76</v>
      </c>
      <c r="E7" s="49" t="s">
        <v>16</v>
      </c>
      <c r="F7" s="48"/>
      <c r="G7" s="55" t="s">
        <v>38</v>
      </c>
      <c r="H7" s="87" t="s">
        <v>61</v>
      </c>
    </row>
    <row r="8" spans="1:8">
      <c r="A8">
        <f>ROW()</f>
        <v>8</v>
      </c>
      <c r="B8">
        <v>1</v>
      </c>
      <c r="C8" s="357">
        <v>43526</v>
      </c>
      <c r="D8" s="358">
        <f>$C$4/$C$5</f>
        <v>10</v>
      </c>
      <c r="E8" s="51">
        <f t="shared" ref="E8:E34" si="0">IF(A8="","",$C$4)</f>
        <v>10</v>
      </c>
      <c r="F8" s="52"/>
      <c r="G8" s="56">
        <f ca="1">IF(C8="","",C$3+G$1)</f>
        <v>44144</v>
      </c>
      <c r="H8" s="88">
        <f>F3</f>
        <v>0</v>
      </c>
    </row>
    <row r="9" spans="1:8">
      <c r="A9"/>
      <c r="B9"/>
      <c r="C9"/>
      <c r="D9"/>
      <c r="E9" s="51" t="str">
        <f t="shared" si="0"/>
        <v/>
      </c>
      <c r="F9" s="52"/>
      <c r="G9" s="56" t="str">
        <f>IF(C9="","",C$3+G$1+G$1)</f>
        <v/>
      </c>
    </row>
    <row r="10" spans="1:8">
      <c r="A10"/>
      <c r="B10"/>
      <c r="C10"/>
      <c r="D10"/>
      <c r="E10" s="51" t="str">
        <f t="shared" si="0"/>
        <v/>
      </c>
      <c r="F10" s="56">
        <v>43047</v>
      </c>
      <c r="G10" s="56" t="str">
        <f>IF(C10="","",C$3+G$1+G$1+G$1)</f>
        <v/>
      </c>
    </row>
    <row r="11" spans="1:8">
      <c r="A11"/>
      <c r="B11"/>
      <c r="C11"/>
      <c r="D11"/>
      <c r="E11" s="51" t="str">
        <f t="shared" si="0"/>
        <v/>
      </c>
      <c r="F11" s="56">
        <v>43047</v>
      </c>
      <c r="G11" s="56" t="str">
        <f>IF(C11="","",C$3+G$1+G$1+G$1+G$1)</f>
        <v/>
      </c>
    </row>
    <row r="12" spans="1:8">
      <c r="A12"/>
      <c r="B12"/>
      <c r="C12"/>
      <c r="D12"/>
      <c r="E12" s="51" t="str">
        <f t="shared" si="0"/>
        <v/>
      </c>
      <c r="F12" s="52" t="str">
        <f>IF(A12="","",$F$1+5)</f>
        <v/>
      </c>
      <c r="G12" s="56" t="str">
        <f>IF(C12="","",C$3+G$1+G$1+G$1+G$1+G$1)</f>
        <v/>
      </c>
    </row>
    <row r="13" spans="1:8">
      <c r="A13"/>
      <c r="B13"/>
      <c r="C13"/>
      <c r="D13"/>
      <c r="E13" s="51" t="str">
        <f t="shared" si="0"/>
        <v/>
      </c>
      <c r="F13" s="52" t="str">
        <f>IF(A13="","",$F$1+6)</f>
        <v/>
      </c>
      <c r="G13" s="56" t="str">
        <f>IF(C13="","",C$3+G$1+G$1+G$1+G$1+G$1+G$1)</f>
        <v/>
      </c>
    </row>
    <row r="14" spans="1:8">
      <c r="A14"/>
      <c r="B14"/>
      <c r="C14"/>
      <c r="D14"/>
      <c r="E14" s="51" t="str">
        <f t="shared" si="0"/>
        <v/>
      </c>
      <c r="F14" s="52" t="str">
        <f>IF(A14="","",$F$1+7)</f>
        <v/>
      </c>
      <c r="G14" s="56" t="str">
        <f>IF(C14="","",C$3+G$1+G$1+G$1+G$1+G$1+G$1+G$1)</f>
        <v/>
      </c>
    </row>
    <row r="15" spans="1:8">
      <c r="A15"/>
      <c r="B15"/>
      <c r="C15"/>
      <c r="D15"/>
      <c r="E15" s="51" t="str">
        <f t="shared" si="0"/>
        <v/>
      </c>
      <c r="F15" s="52" t="str">
        <f>IF(A15="","",$F$1+8)</f>
        <v/>
      </c>
      <c r="G15" s="56" t="str">
        <f>IF(C15="","",C$3+G$1+G$1+G$1+G$1+G$1+G$1+G$1+G$1)</f>
        <v/>
      </c>
    </row>
    <row r="16" spans="1:8">
      <c r="A16"/>
      <c r="B16"/>
      <c r="C16"/>
      <c r="D16"/>
      <c r="E16" s="51" t="str">
        <f t="shared" si="0"/>
        <v/>
      </c>
      <c r="F16" s="52" t="str">
        <f>IF(A16="","",$F$1+9)</f>
        <v/>
      </c>
      <c r="G16" s="56" t="str">
        <f>IF(C16="","",C$3+G$1+G$1+G$1+G$1+G$1+G$1+G$1+G$1+G$1)</f>
        <v/>
      </c>
    </row>
    <row r="17" spans="1:7">
      <c r="A17"/>
      <c r="B17"/>
      <c r="C17"/>
      <c r="D17"/>
      <c r="E17" s="51" t="str">
        <f t="shared" si="0"/>
        <v/>
      </c>
      <c r="F17" s="52" t="str">
        <f>IF(A17="","",$F$1+10)</f>
        <v/>
      </c>
      <c r="G17" s="56" t="str">
        <f>IF(C17="","",C$3+G$1+G$1+G$1+G$1+G$1+G$1+G$1+G$1+G$1+G$1)</f>
        <v/>
      </c>
    </row>
    <row r="18" spans="1:7">
      <c r="A18"/>
      <c r="B18"/>
      <c r="C18"/>
      <c r="D18"/>
      <c r="E18" s="51" t="str">
        <f t="shared" si="0"/>
        <v/>
      </c>
      <c r="F18" s="52" t="str">
        <f>IF(A18="","",$F$1+11)</f>
        <v/>
      </c>
      <c r="G18" s="56" t="str">
        <f>IF(C18="","",C$3+G$1+G$1+G$1+G$1+G$1+G$1+G$1+G$1+G$1+G$1)</f>
        <v/>
      </c>
    </row>
    <row r="19" spans="1:7">
      <c r="A19"/>
      <c r="B19"/>
      <c r="C19"/>
      <c r="D19"/>
      <c r="E19" s="51" t="str">
        <f t="shared" si="0"/>
        <v/>
      </c>
      <c r="F19" s="52" t="str">
        <f>IF(A19="","",$F$1+12)</f>
        <v/>
      </c>
      <c r="G19" s="56" t="str">
        <f>IF(C19="","",C$3+G$1+G$1+G$1+G$1+G$1+G$1+G$1+G$1+G$1+G$1+G$1)</f>
        <v/>
      </c>
    </row>
    <row r="20" spans="1:7">
      <c r="A20"/>
      <c r="B20"/>
      <c r="C20"/>
      <c r="D20"/>
      <c r="E20" s="51" t="str">
        <f t="shared" si="0"/>
        <v/>
      </c>
      <c r="F20" s="52" t="str">
        <f>IF(A20="","",$F$1+13)</f>
        <v/>
      </c>
      <c r="G20" s="56" t="str">
        <f>IF(C20="","",C$3+G$1+G$1+G$1+G$1+G$1+G$1+G$1+G$1+G$1+G$1+G$1+G$1)</f>
        <v/>
      </c>
    </row>
    <row r="21" spans="1:7">
      <c r="A21"/>
      <c r="B21"/>
      <c r="C21"/>
      <c r="D21"/>
      <c r="E21" s="51" t="str">
        <f t="shared" si="0"/>
        <v/>
      </c>
      <c r="F21" s="52" t="str">
        <f>IF(A21="","",$F$1+14)</f>
        <v/>
      </c>
      <c r="G21" s="56" t="str">
        <f>IF(C21="","",C$3+G$1+G$1+G$1+G$1+G$1+G$1+G$1+G$1+G$1+G$1+G$1+G$1+G$1)</f>
        <v/>
      </c>
    </row>
    <row r="22" spans="1:7">
      <c r="A22"/>
      <c r="B22"/>
      <c r="C22"/>
      <c r="D22"/>
      <c r="E22" s="51" t="str">
        <f t="shared" si="0"/>
        <v/>
      </c>
      <c r="F22" s="52" t="str">
        <f>IF(A22="","",$F$1+15)</f>
        <v/>
      </c>
      <c r="G22" s="56" t="str">
        <f>IF(C22="","",C$3+G$1+G$1+G$1+G$1+G$1+G$1+G$1+G$1+G$1+G$1+G$1+G$1+G$1+G$1)</f>
        <v/>
      </c>
    </row>
    <row r="23" spans="1:7">
      <c r="A23"/>
      <c r="B23"/>
      <c r="C23"/>
      <c r="D23"/>
      <c r="E23" s="51" t="str">
        <f t="shared" si="0"/>
        <v/>
      </c>
      <c r="F23" s="52" t="str">
        <f>IF(A23="","",$F$1+16)</f>
        <v/>
      </c>
      <c r="G23" s="56" t="str">
        <f>IF(C23="","",C$3+G$1+G$1+G$1+G$1+G$1+G$1+G$1+G$1+G$1+G$1+G$1+G$1+G$1+G$1+G$1)</f>
        <v/>
      </c>
    </row>
    <row r="24" spans="1:7">
      <c r="A24"/>
      <c r="B24"/>
      <c r="C24"/>
      <c r="D24"/>
      <c r="E24" s="51" t="str">
        <f t="shared" si="0"/>
        <v/>
      </c>
      <c r="F24" s="52" t="str">
        <f>IF(A24="","",$F$1+17)</f>
        <v/>
      </c>
      <c r="G24" s="56" t="str">
        <f>IF(C24="","",C$3+G$1+G$1+G$1+G$1+G$1+G$1+G$1+G$1+G$1+G$1+G$1+G$1+G$1+G$1+G$1+G$1)</f>
        <v/>
      </c>
    </row>
    <row r="25" spans="1:7">
      <c r="A25"/>
      <c r="B25"/>
      <c r="C25"/>
      <c r="D25"/>
      <c r="E25" s="51" t="str">
        <f t="shared" si="0"/>
        <v/>
      </c>
      <c r="F25" s="52" t="str">
        <f>IF(A25="","",$F$1+18)</f>
        <v/>
      </c>
      <c r="G25" s="56" t="str">
        <f>IF(C25="","",C$3+G$1+G$1+G$1+G$1+G$1+G$1+G$1+G$1+G$1+G$1+G$1+G$1+G$1+G$1+G$1+G$1+G$1)</f>
        <v/>
      </c>
    </row>
    <row r="26" spans="1:7">
      <c r="A26"/>
      <c r="B26"/>
      <c r="C26"/>
      <c r="D26"/>
      <c r="E26" s="51" t="str">
        <f t="shared" si="0"/>
        <v/>
      </c>
      <c r="F26" s="52" t="str">
        <f>IF(A26="","",$F$1+19)</f>
        <v/>
      </c>
      <c r="G26" s="56" t="str">
        <f>IF(C26="","",C$3+G$1+G$1+G$1+G$1+G$1+G$1+G$1+G$1+G$1+G$1+G$1+G$1+G$1+G$1+G$1+G$1+G$1+G$1)</f>
        <v/>
      </c>
    </row>
    <row r="27" spans="1:7">
      <c r="A27"/>
      <c r="B27"/>
      <c r="C27"/>
      <c r="D27"/>
      <c r="E27" s="51" t="str">
        <f t="shared" si="0"/>
        <v/>
      </c>
      <c r="F27" s="52" t="str">
        <f>IF(A27="","",$F$1+20)</f>
        <v/>
      </c>
      <c r="G27" s="56" t="str">
        <f>IF(C27="","",C$3+G$1+G$1+G$1+G$1+G$1+G$1+G$1+G$1+G$1+G$1+G$1+G$1+G$1+G$1+G$1+G$1+G$1+G$1+G$1)</f>
        <v/>
      </c>
    </row>
    <row r="28" spans="1:7">
      <c r="A28"/>
      <c r="B28"/>
      <c r="C28"/>
      <c r="D28"/>
      <c r="E28" s="51" t="str">
        <f t="shared" si="0"/>
        <v/>
      </c>
      <c r="G28" s="56" t="str">
        <f>IF(C28="","",C28+G$1-G$1)</f>
        <v/>
      </c>
    </row>
    <row r="29" spans="1:7">
      <c r="A29"/>
      <c r="B29"/>
      <c r="C29"/>
      <c r="D29"/>
      <c r="E29" s="51" t="str">
        <f t="shared" si="0"/>
        <v/>
      </c>
      <c r="G29" s="56" t="str">
        <f>IF(C29="","",C29+G$1-G$1)</f>
        <v/>
      </c>
    </row>
    <row r="30" spans="1:7">
      <c r="A30"/>
      <c r="B30"/>
      <c r="C30"/>
      <c r="D30"/>
      <c r="E30" s="51" t="str">
        <f t="shared" si="0"/>
        <v/>
      </c>
      <c r="G30" s="56" t="str">
        <f>IF(C30="","",C30+G$1-G$1)</f>
        <v/>
      </c>
    </row>
    <row r="31" spans="1:7">
      <c r="A31"/>
      <c r="B31"/>
      <c r="C31"/>
      <c r="D31"/>
      <c r="E31" s="51" t="str">
        <f t="shared" si="0"/>
        <v/>
      </c>
    </row>
    <row r="32" spans="1:7">
      <c r="A32"/>
      <c r="B32"/>
      <c r="C32"/>
      <c r="D32"/>
      <c r="E32" s="51" t="str">
        <f t="shared" si="0"/>
        <v/>
      </c>
    </row>
    <row r="33" spans="1:5">
      <c r="A33"/>
      <c r="B33"/>
      <c r="C33"/>
      <c r="D33"/>
      <c r="E33" s="51" t="str">
        <f t="shared" si="0"/>
        <v/>
      </c>
    </row>
    <row r="34" spans="1:5">
      <c r="A34"/>
      <c r="B34"/>
      <c r="C34"/>
      <c r="D34"/>
      <c r="E34" s="51" t="str">
        <f t="shared" si="0"/>
        <v/>
      </c>
    </row>
    <row r="35" spans="1:5">
      <c r="A35"/>
      <c r="B35"/>
      <c r="C35"/>
      <c r="D35"/>
    </row>
    <row r="36" spans="1:5">
      <c r="A36"/>
      <c r="B36"/>
      <c r="C36"/>
      <c r="D36"/>
    </row>
    <row r="37" spans="1:5">
      <c r="A37"/>
      <c r="B37"/>
      <c r="C37"/>
      <c r="D37"/>
    </row>
    <row r="38" spans="1:5">
      <c r="A38"/>
      <c r="B38"/>
      <c r="C38"/>
      <c r="D38"/>
    </row>
    <row r="39" spans="1:5">
      <c r="A39"/>
      <c r="B39"/>
      <c r="C39"/>
      <c r="D39"/>
    </row>
    <row r="40" spans="1:5">
      <c r="A40"/>
      <c r="B40"/>
      <c r="C40"/>
      <c r="D40"/>
    </row>
    <row r="41" spans="1:5">
      <c r="A41"/>
      <c r="B41"/>
      <c r="C41"/>
      <c r="D41"/>
    </row>
    <row r="42" spans="1:5">
      <c r="A42"/>
      <c r="B42"/>
      <c r="C42"/>
      <c r="D42"/>
    </row>
    <row r="43" spans="1:5">
      <c r="A43"/>
      <c r="B43"/>
      <c r="C43"/>
      <c r="D43"/>
    </row>
    <row r="44" spans="1:5">
      <c r="A44"/>
      <c r="B44"/>
      <c r="C44"/>
      <c r="D44"/>
    </row>
    <row r="45" spans="1:5">
      <c r="A45"/>
      <c r="B45"/>
      <c r="C45"/>
      <c r="D45"/>
    </row>
    <row r="46" spans="1:5">
      <c r="A46"/>
      <c r="B46"/>
      <c r="C46"/>
      <c r="D46"/>
    </row>
    <row r="47" spans="1:5">
      <c r="A47"/>
      <c r="B47"/>
      <c r="C47"/>
      <c r="D47"/>
    </row>
    <row r="48" spans="1:5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</sheetData>
  <mergeCells count="1"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N1"/>
  <sheetViews>
    <sheetView workbookViewId="0">
      <pane ySplit="1" topLeftCell="A2" activePane="bottomLeft" state="frozen"/>
      <selection activeCell="E3" sqref="E3"/>
      <selection pane="bottomLeft" activeCell="G15" sqref="G15:H15"/>
    </sheetView>
  </sheetViews>
  <sheetFormatPr defaultRowHeight="15" customHeight="1"/>
  <cols>
    <col min="1" max="1" width="9.28515625" style="70" customWidth="1"/>
    <col min="2" max="2" width="8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20.855468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5.42578125" style="70" hidden="1" customWidth="1"/>
    <col min="13" max="13" width="9.5703125" style="122" hidden="1" customWidth="1"/>
    <col min="14" max="14" width="29.85546875" style="70" hidden="1" customWidth="1"/>
    <col min="15" max="16384" width="9.140625" style="70"/>
  </cols>
  <sheetData>
    <row r="1" spans="1:14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61</v>
      </c>
      <c r="H1" s="17" t="s">
        <v>35</v>
      </c>
      <c r="I1" s="19" t="s">
        <v>78</v>
      </c>
      <c r="J1" s="20" t="s">
        <v>77</v>
      </c>
      <c r="K1" s="17" t="s">
        <v>79</v>
      </c>
      <c r="L1" s="76">
        <f>SUMIF(status,"Vencida",parcela)</f>
        <v>0</v>
      </c>
      <c r="M1" s="76" t="str">
        <f>IF(L1&gt;0,"Vencida","")</f>
        <v/>
      </c>
      <c r="N1" s="76" t="str">
        <f>IF(M1="Vencida","Alerta! Conta(as) Vencida(as) verifique","")</f>
        <v/>
      </c>
    </row>
  </sheetData>
  <autoFilter ref="A1:K1" xr:uid="{00000000-0009-0000-0000-000009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rgb="FF00B050"/>
  </sheetPr>
  <dimension ref="A1:I41"/>
  <sheetViews>
    <sheetView tabSelected="1" workbookViewId="0">
      <pane ySplit="10" topLeftCell="A11" activePane="bottomLeft" state="frozen"/>
      <selection pane="bottomLeft" activeCell="M11" sqref="M11"/>
    </sheetView>
  </sheetViews>
  <sheetFormatPr defaultRowHeight="15.75"/>
  <cols>
    <col min="1" max="1" width="19.85546875" style="277" customWidth="1"/>
    <col min="2" max="2" width="16.5703125" style="277" customWidth="1"/>
    <col min="3" max="3" width="21.42578125" style="277" hidden="1" customWidth="1"/>
    <col min="4" max="4" width="8.7109375" style="277" hidden="1" customWidth="1"/>
    <col min="5" max="5" width="9.7109375" style="277" hidden="1" customWidth="1"/>
    <col min="6" max="6" width="13" style="277" hidden="1" customWidth="1"/>
    <col min="7" max="7" width="10" style="277" hidden="1" customWidth="1"/>
    <col min="8" max="8" width="9.28515625" style="277" hidden="1" customWidth="1"/>
    <col min="9" max="9" width="10.85546875" style="277" hidden="1" customWidth="1"/>
    <col min="10" max="10" width="7.7109375" style="277" customWidth="1"/>
    <col min="11" max="16384" width="9.140625" style="277"/>
  </cols>
  <sheetData>
    <row r="1" spans="1:9" ht="15.75" customHeight="1">
      <c r="A1" s="277" t="s">
        <v>158</v>
      </c>
      <c r="C1" s="410">
        <f>B8+B14+B18-B22+B19+B16+B17+B21-B20</f>
        <v>0</v>
      </c>
      <c r="E1" s="275" t="s">
        <v>4</v>
      </c>
      <c r="F1" s="275" t="s">
        <v>65</v>
      </c>
      <c r="G1" s="277" t="s">
        <v>146</v>
      </c>
      <c r="H1" s="275" t="s">
        <v>147</v>
      </c>
      <c r="I1" s="277" t="s">
        <v>72</v>
      </c>
    </row>
    <row r="2" spans="1:9" ht="15" customHeight="1">
      <c r="A2" s="275" t="s">
        <v>144</v>
      </c>
    </row>
    <row r="3" spans="1:9" ht="15" customHeight="1">
      <c r="A3" s="277" t="s">
        <v>142</v>
      </c>
    </row>
    <row r="4" spans="1:9" ht="15" customHeight="1">
      <c r="A4" s="279" t="s">
        <v>307</v>
      </c>
    </row>
    <row r="5" spans="1:9" ht="18.75" customHeight="1">
      <c r="A5" s="279" t="s">
        <v>145</v>
      </c>
    </row>
    <row r="6" spans="1:9" ht="16.5" customHeight="1">
      <c r="A6" s="424" t="s">
        <v>248</v>
      </c>
      <c r="B6" s="283" t="s">
        <v>122</v>
      </c>
      <c r="D6" s="411"/>
    </row>
    <row r="7" spans="1:9" ht="6.75" hidden="1" customHeight="1">
      <c r="A7" s="488"/>
      <c r="B7" s="488"/>
      <c r="D7" s="412"/>
    </row>
    <row r="8" spans="1:9" ht="16.5" customHeight="1">
      <c r="A8" s="280" t="s">
        <v>66</v>
      </c>
      <c r="B8" s="276"/>
    </row>
    <row r="9" spans="1:9" ht="16.5" customHeight="1">
      <c r="A9" s="281" t="s">
        <v>258</v>
      </c>
      <c r="B9" s="339"/>
    </row>
    <row r="10" spans="1:9" ht="16.5" customHeight="1">
      <c r="A10" s="280" t="s">
        <v>288</v>
      </c>
      <c r="B10" s="278">
        <f ca="1">NOW()</f>
        <v>44114.674698842602</v>
      </c>
    </row>
    <row r="11" spans="1:9" ht="10.5" customHeight="1">
      <c r="A11" s="491" t="s">
        <v>249</v>
      </c>
      <c r="B11" s="491"/>
    </row>
    <row r="12" spans="1:9" ht="12" hidden="1" customHeight="1">
      <c r="A12" s="489"/>
      <c r="B12" s="490"/>
    </row>
    <row r="13" spans="1:9" ht="9.75" customHeight="1">
      <c r="A13" s="491" t="s">
        <v>249</v>
      </c>
      <c r="B13" s="491"/>
    </row>
    <row r="14" spans="1:9" ht="15.75" customHeight="1">
      <c r="A14" s="413" t="s">
        <v>250</v>
      </c>
      <c r="B14" s="415">
        <f>SUMIFS(CONDIÇÃO_TOTAL,CODIÇÃO_PAGAMENTO,E1,CONDIÇÃO_DATA,FECHAMENTO!B9,AT,B6)</f>
        <v>0</v>
      </c>
    </row>
    <row r="15" spans="1:9" ht="15.75" customHeight="1">
      <c r="A15" s="413" t="s">
        <v>251</v>
      </c>
      <c r="B15" s="415">
        <f>SUMIFS(CONDIÇÃO_TOTAL,CODIÇÃO_PAGAMENTO,F1,CONDIÇÃO_DATA,FECHAMENTO!B9,AT,B6)</f>
        <v>0</v>
      </c>
    </row>
    <row r="16" spans="1:9" ht="15" customHeight="1">
      <c r="A16" s="413" t="s">
        <v>252</v>
      </c>
      <c r="B16" s="415">
        <f>SUMIFS(CONDIÇÃO_TOTAL,CODIÇÃO_PAGAMENTO,H1,CONDIÇÃO_DATA,FECHAMENTO!B9,AT,B6)</f>
        <v>0</v>
      </c>
    </row>
    <row r="17" spans="1:2" ht="15" customHeight="1">
      <c r="A17" s="413" t="s">
        <v>253</v>
      </c>
      <c r="B17" s="415">
        <f>SUMIFS(CONDIÇÃO_TOTAL,CODIÇÃO_PAGAMENTO,G1,CONDIÇÃO_DATA,FECHAMENTO!B9,AT,B6)</f>
        <v>0</v>
      </c>
    </row>
    <row r="18" spans="1:2" ht="15" customHeight="1">
      <c r="A18" s="414" t="s">
        <v>255</v>
      </c>
      <c r="B18" s="415">
        <f>SUMIFS(pago,data_receber,B9)</f>
        <v>0</v>
      </c>
    </row>
    <row r="19" spans="1:2" ht="15" customHeight="1">
      <c r="A19" s="414" t="s">
        <v>22</v>
      </c>
      <c r="B19" s="415">
        <f>SUMIFS(valor_entradass,data_entradass,B9)</f>
        <v>0</v>
      </c>
    </row>
    <row r="20" spans="1:2" ht="15" customHeight="1">
      <c r="A20" s="413" t="s">
        <v>254</v>
      </c>
      <c r="B20" s="415">
        <f>SUMIFS(VALOR_PAGO,DATA_APAGAR,B9)</f>
        <v>0</v>
      </c>
    </row>
    <row r="21" spans="1:2" ht="15" customHeight="1">
      <c r="A21" s="415" t="s">
        <v>195</v>
      </c>
      <c r="B21" s="415">
        <f>SUMIFS(CONDIÇÃO_TOTAL,CODIÇÃO_PAGAMENTO,I1,CONDIÇÃO_DATA,FECHAMENTO!B9,AT,B6)</f>
        <v>0</v>
      </c>
    </row>
    <row r="22" spans="1:2" ht="15" customHeight="1">
      <c r="A22" s="424" t="s">
        <v>257</v>
      </c>
      <c r="B22" s="415">
        <f>SUMIFS(VALOR_SANGRIA,DATA_SANGRIA,B9,OPERADOR,B6)</f>
        <v>0</v>
      </c>
    </row>
    <row r="23" spans="1:2" ht="12" customHeight="1">
      <c r="A23" s="491" t="s">
        <v>249</v>
      </c>
      <c r="B23" s="491"/>
    </row>
    <row r="24" spans="1:2" ht="15" customHeight="1">
      <c r="A24" s="389" t="s">
        <v>155</v>
      </c>
      <c r="B24" s="282">
        <f>B8+B14+B18-B22+B19+B15+B16+B17+B21-B20</f>
        <v>0</v>
      </c>
    </row>
    <row r="25" spans="1:2" ht="15" customHeight="1">
      <c r="A25" s="492" t="s">
        <v>249</v>
      </c>
      <c r="B25" s="492"/>
    </row>
    <row r="26" spans="1:2" ht="15" customHeight="1">
      <c r="A26" s="486" t="s">
        <v>256</v>
      </c>
      <c r="B26" s="487"/>
    </row>
    <row r="27" spans="1:2" ht="15" customHeight="1"/>
    <row r="28" spans="1:2" ht="15" customHeight="1"/>
    <row r="29" spans="1:2" ht="6" customHeight="1">
      <c r="A29" s="415" t="s">
        <v>64</v>
      </c>
    </row>
    <row r="30" spans="1:2" ht="15" customHeight="1"/>
    <row r="31" spans="1:2" ht="15" customHeight="1"/>
    <row r="32" spans="1:2" ht="6" customHeight="1">
      <c r="A32" s="416" t="s">
        <v>64</v>
      </c>
    </row>
    <row r="33" spans="1:1" ht="15" customHeight="1"/>
    <row r="34" spans="1:1" ht="15" customHeight="1"/>
    <row r="35" spans="1:1">
      <c r="A35" s="416"/>
    </row>
    <row r="36" spans="1:1" s="417" customFormat="1" ht="19.5" customHeight="1"/>
    <row r="37" spans="1:1" s="417" customFormat="1" ht="15" customHeight="1"/>
    <row r="38" spans="1:1" ht="9.75" customHeight="1">
      <c r="A38" s="413"/>
    </row>
    <row r="39" spans="1:1" hidden="1">
      <c r="A39" s="279"/>
    </row>
    <row r="40" spans="1:1" hidden="1">
      <c r="A40" s="418"/>
    </row>
    <row r="41" spans="1:1" hidden="1">
      <c r="A41" s="413"/>
    </row>
  </sheetData>
  <mergeCells count="7">
    <mergeCell ref="A26:B26"/>
    <mergeCell ref="A7:B7"/>
    <mergeCell ref="A12:B12"/>
    <mergeCell ref="A11:B11"/>
    <mergeCell ref="A13:B13"/>
    <mergeCell ref="A23:B23"/>
    <mergeCell ref="A25:B25"/>
  </mergeCells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VOLTAR">
                <anchor moveWithCells="1">
                  <from>
                    <xdr:col>11</xdr:col>
                    <xdr:colOff>104775</xdr:colOff>
                    <xdr:row>0</xdr:row>
                    <xdr:rowOff>28575</xdr:rowOff>
                  </from>
                  <to>
                    <xdr:col>13</xdr:col>
                    <xdr:colOff>571500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F1"/>
  <sheetViews>
    <sheetView workbookViewId="0">
      <selection activeCell="E3" sqref="E3"/>
    </sheetView>
  </sheetViews>
  <sheetFormatPr defaultRowHeight="12.75"/>
  <sheetData>
    <row r="1" spans="1:6">
      <c r="A1" s="77" t="s">
        <v>80</v>
      </c>
      <c r="B1" s="79">
        <f>SUMIF(status,"Vencida",parcela)</f>
        <v>0</v>
      </c>
      <c r="C1" s="76" t="s">
        <v>81</v>
      </c>
      <c r="D1" s="80">
        <f>SUMIF(status,"Próximos dias",parcela)</f>
        <v>0</v>
      </c>
      <c r="E1" s="78" t="s">
        <v>82</v>
      </c>
      <c r="F1" s="81">
        <f>SUMIF(status,"Parcela Quitada",pago)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/>
  <dimension ref="A1:W1"/>
  <sheetViews>
    <sheetView workbookViewId="0">
      <pane ySplit="1" topLeftCell="A2" activePane="bottomLeft" state="frozen"/>
      <selection activeCell="E3" sqref="E3"/>
      <selection pane="bottomLeft" activeCell="B2" sqref="B2:V2"/>
    </sheetView>
  </sheetViews>
  <sheetFormatPr defaultRowHeight="12"/>
  <cols>
    <col min="1" max="1" width="28.28515625" style="100" customWidth="1"/>
    <col min="2" max="2" width="12.5703125" style="100" customWidth="1"/>
    <col min="3" max="3" width="14.28515625" style="100" customWidth="1"/>
    <col min="4" max="4" width="14.140625" style="100" customWidth="1"/>
    <col min="5" max="5" width="16" style="100" customWidth="1"/>
    <col min="6" max="6" width="17.28515625" style="100" customWidth="1"/>
    <col min="7" max="7" width="15.5703125" style="100" customWidth="1"/>
    <col min="8" max="8" width="14.28515625" style="100" customWidth="1"/>
    <col min="9" max="9" width="5.42578125" style="100" customWidth="1"/>
    <col min="10" max="10" width="20.5703125" style="100" customWidth="1"/>
    <col min="11" max="11" width="7.5703125" style="100" customWidth="1"/>
    <col min="12" max="12" width="23.140625" style="100" customWidth="1"/>
    <col min="13" max="13" width="14.7109375" style="100" customWidth="1"/>
    <col min="14" max="14" width="14.5703125" style="100" customWidth="1"/>
    <col min="15" max="15" width="10.85546875" style="100" customWidth="1"/>
    <col min="16" max="16" width="5.7109375" style="100" customWidth="1"/>
    <col min="17" max="17" width="15" style="100" customWidth="1"/>
    <col min="18" max="18" width="14.140625" style="100" customWidth="1"/>
    <col min="19" max="19" width="28.5703125" style="100" customWidth="1"/>
    <col min="20" max="20" width="14" style="100" customWidth="1"/>
    <col min="21" max="21" width="17.140625" style="104" customWidth="1"/>
    <col min="22" max="22" width="36" style="100" customWidth="1"/>
    <col min="23" max="16384" width="9.140625" style="100"/>
  </cols>
  <sheetData>
    <row r="1" spans="1:23" ht="15.75" customHeight="1">
      <c r="A1" s="120" t="s">
        <v>85</v>
      </c>
      <c r="B1" s="120" t="s">
        <v>86</v>
      </c>
      <c r="C1" s="120" t="s">
        <v>87</v>
      </c>
      <c r="D1" s="120" t="s">
        <v>88</v>
      </c>
      <c r="E1" s="120" t="s">
        <v>89</v>
      </c>
      <c r="F1" s="120" t="s">
        <v>90</v>
      </c>
      <c r="G1" s="120" t="s">
        <v>91</v>
      </c>
      <c r="H1" s="120" t="s">
        <v>92</v>
      </c>
      <c r="I1" s="120" t="s">
        <v>93</v>
      </c>
      <c r="J1" s="120" t="s">
        <v>94</v>
      </c>
      <c r="K1" s="120" t="s">
        <v>95</v>
      </c>
      <c r="L1" s="120" t="s">
        <v>96</v>
      </c>
      <c r="M1" s="120" t="s">
        <v>97</v>
      </c>
      <c r="N1" s="120" t="s">
        <v>98</v>
      </c>
      <c r="O1" s="120" t="s">
        <v>99</v>
      </c>
      <c r="P1" s="120" t="s">
        <v>93</v>
      </c>
      <c r="Q1" s="120" t="s">
        <v>100</v>
      </c>
      <c r="R1" s="120" t="s">
        <v>101</v>
      </c>
      <c r="S1" s="120" t="s">
        <v>102</v>
      </c>
      <c r="T1" s="120" t="s">
        <v>103</v>
      </c>
      <c r="U1" s="121" t="s">
        <v>106</v>
      </c>
      <c r="V1" s="120" t="s">
        <v>104</v>
      </c>
      <c r="W1" s="9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6"/>
  <dimension ref="A1:K13"/>
  <sheetViews>
    <sheetView workbookViewId="0">
      <pane ySplit="13" topLeftCell="A14" activePane="bottomLeft" state="frozen"/>
      <selection activeCell="E3" sqref="E3"/>
      <selection pane="bottomLeft" activeCell="B11" sqref="B11"/>
    </sheetView>
  </sheetViews>
  <sheetFormatPr defaultRowHeight="18"/>
  <cols>
    <col min="1" max="1" width="28.85546875" style="90" customWidth="1"/>
    <col min="2" max="2" width="45.28515625" style="98" customWidth="1"/>
    <col min="3" max="3" width="9.140625" style="91"/>
    <col min="4" max="4" width="12.140625" style="91" customWidth="1"/>
    <col min="5" max="6" width="9.140625" style="91"/>
    <col min="7" max="11" width="11.85546875" style="251" customWidth="1"/>
    <col min="12" max="16384" width="9.140625" style="91"/>
  </cols>
  <sheetData>
    <row r="1" spans="1:11">
      <c r="A1" s="92" t="s">
        <v>35</v>
      </c>
      <c r="B1" s="94" t="s">
        <v>107</v>
      </c>
    </row>
    <row r="2" spans="1:11">
      <c r="A2" s="92" t="s">
        <v>113</v>
      </c>
      <c r="B2" s="344">
        <f>IFERROR(VLOOKUP(B1,TABELA_CLIENTES,21,0),0)</f>
        <v>0</v>
      </c>
    </row>
    <row r="3" spans="1:11">
      <c r="A3" s="92" t="s">
        <v>110</v>
      </c>
      <c r="B3" s="95">
        <f>SUMIF(CLIENTES_RECEBER,B1,parcela)</f>
        <v>0</v>
      </c>
    </row>
    <row r="4" spans="1:11">
      <c r="A4" s="92" t="s">
        <v>82</v>
      </c>
      <c r="B4" s="97">
        <f>SUMIF(CLIENTES_RECEBER,B1,pago)</f>
        <v>0</v>
      </c>
      <c r="G4" s="251">
        <v>1</v>
      </c>
    </row>
    <row r="5" spans="1:11">
      <c r="A5" s="92" t="s">
        <v>112</v>
      </c>
      <c r="B5" s="95">
        <f>PEDIDOS!G1</f>
        <v>0</v>
      </c>
    </row>
    <row r="6" spans="1:11">
      <c r="A6" s="92" t="s">
        <v>111</v>
      </c>
      <c r="B6" s="96">
        <f>B3-B4</f>
        <v>0</v>
      </c>
    </row>
    <row r="7" spans="1:11">
      <c r="A7" s="93" t="s">
        <v>115</v>
      </c>
      <c r="B7" s="343">
        <f>IFERROR(B2-B6-B5,0)</f>
        <v>0</v>
      </c>
    </row>
    <row r="8" spans="1:11">
      <c r="A8" s="92" t="s">
        <v>114</v>
      </c>
      <c r="B8" s="343">
        <f>B6+B5-B11</f>
        <v>-20000000000</v>
      </c>
    </row>
    <row r="10" spans="1:11">
      <c r="A10" s="92" t="s">
        <v>116</v>
      </c>
      <c r="B10" s="119" t="s">
        <v>186</v>
      </c>
    </row>
    <row r="11" spans="1:11">
      <c r="A11" s="92" t="s">
        <v>117</v>
      </c>
      <c r="B11" s="343">
        <v>20000000000</v>
      </c>
    </row>
    <row r="12" spans="1:11">
      <c r="A12" s="493"/>
      <c r="B12" s="493"/>
    </row>
    <row r="13" spans="1:11" s="125" customFormat="1">
      <c r="A13" s="123"/>
      <c r="B13" s="124"/>
      <c r="G13" s="252"/>
      <c r="H13" s="252"/>
      <c r="I13" s="252"/>
      <c r="J13" s="252"/>
      <c r="K13" s="252"/>
    </row>
  </sheetData>
  <mergeCells count="1">
    <mergeCell ref="A12:B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5"/>
  <dimension ref="A1:K1"/>
  <sheetViews>
    <sheetView workbookViewId="0">
      <pane ySplit="1" topLeftCell="A2" activePane="bottomLeft" state="frozen"/>
      <selection activeCell="E3" sqref="E3"/>
      <selection pane="bottomLeft" activeCell="A2" sqref="A2:J1000000"/>
    </sheetView>
  </sheetViews>
  <sheetFormatPr defaultRowHeight="12"/>
  <cols>
    <col min="1" max="1" width="8.5703125" style="109" bestFit="1" customWidth="1"/>
    <col min="2" max="2" width="12.140625" style="102" bestFit="1" customWidth="1"/>
    <col min="3" max="3" width="13" style="104" customWidth="1"/>
    <col min="4" max="4" width="19" style="109" customWidth="1"/>
    <col min="5" max="5" width="13.7109375" style="100" customWidth="1"/>
    <col min="6" max="6" width="29.85546875" style="100" customWidth="1"/>
    <col min="7" max="7" width="10.28515625" style="102" bestFit="1" customWidth="1"/>
    <col min="8" max="8" width="10.42578125" style="102" bestFit="1" customWidth="1"/>
    <col min="9" max="9" width="13.28515625" style="104" customWidth="1"/>
    <col min="10" max="10" width="18" style="100" customWidth="1"/>
    <col min="11" max="11" width="12.85546875" style="100" customWidth="1"/>
    <col min="12" max="16384" width="9.140625" style="100"/>
  </cols>
  <sheetData>
    <row r="1" spans="1:11" ht="14.25" customHeight="1">
      <c r="A1" s="110" t="s">
        <v>62</v>
      </c>
      <c r="B1" s="101" t="s">
        <v>75</v>
      </c>
      <c r="C1" s="105" t="s">
        <v>76</v>
      </c>
      <c r="D1" s="108" t="s">
        <v>118</v>
      </c>
      <c r="E1" s="106" t="s">
        <v>119</v>
      </c>
      <c r="F1" s="99" t="s">
        <v>15</v>
      </c>
      <c r="G1" s="107" t="s">
        <v>120</v>
      </c>
      <c r="H1" s="107" t="s">
        <v>121</v>
      </c>
      <c r="I1" s="103" t="s">
        <v>82</v>
      </c>
      <c r="J1" s="99" t="s">
        <v>79</v>
      </c>
      <c r="K1" s="99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6"/>
  <dimension ref="A1:AO3"/>
  <sheetViews>
    <sheetView workbookViewId="0">
      <pane ySplit="1" topLeftCell="A2" activePane="bottomLeft" state="frozen"/>
      <selection activeCell="E3" sqref="E3"/>
      <selection pane="bottomLeft" activeCell="A4" sqref="A4"/>
    </sheetView>
  </sheetViews>
  <sheetFormatPr defaultRowHeight="12"/>
  <cols>
    <col min="1" max="1" width="4.7109375" style="100" customWidth="1"/>
    <col min="2" max="2" width="13.140625" style="100" customWidth="1"/>
    <col min="3" max="3" width="9.140625" style="100"/>
    <col min="4" max="4" width="10.7109375" style="100" customWidth="1"/>
    <col min="5" max="5" width="13.7109375" style="100" customWidth="1"/>
    <col min="6" max="6" width="12.140625" style="100" customWidth="1"/>
    <col min="7" max="27" width="12.7109375" style="100" customWidth="1"/>
    <col min="28" max="16384" width="9.140625" style="100"/>
  </cols>
  <sheetData>
    <row r="1" spans="1:41" ht="15" customHeight="1">
      <c r="A1" s="99" t="s">
        <v>14</v>
      </c>
      <c r="B1" s="106" t="s">
        <v>125</v>
      </c>
      <c r="C1" s="99" t="s">
        <v>124</v>
      </c>
      <c r="D1" s="99" t="s">
        <v>79</v>
      </c>
      <c r="E1" s="99" t="s">
        <v>119</v>
      </c>
      <c r="F1" s="99" t="s">
        <v>127</v>
      </c>
      <c r="G1" s="99" t="s">
        <v>126</v>
      </c>
      <c r="H1" s="99" t="s">
        <v>126</v>
      </c>
      <c r="I1" s="99" t="s">
        <v>126</v>
      </c>
      <c r="J1" s="99" t="s">
        <v>126</v>
      </c>
      <c r="K1" s="99" t="s">
        <v>126</v>
      </c>
      <c r="L1" s="99" t="s">
        <v>126</v>
      </c>
      <c r="M1" s="99" t="s">
        <v>126</v>
      </c>
      <c r="N1" s="99" t="s">
        <v>126</v>
      </c>
      <c r="O1" s="99" t="s">
        <v>126</v>
      </c>
      <c r="P1" s="99" t="s">
        <v>126</v>
      </c>
      <c r="Q1" s="99" t="s">
        <v>126</v>
      </c>
      <c r="R1" s="99" t="s">
        <v>126</v>
      </c>
      <c r="S1" s="99" t="s">
        <v>126</v>
      </c>
      <c r="T1" s="99" t="s">
        <v>126</v>
      </c>
      <c r="U1" s="99" t="s">
        <v>126</v>
      </c>
      <c r="V1" s="99" t="s">
        <v>126</v>
      </c>
      <c r="W1" s="99" t="s">
        <v>126</v>
      </c>
      <c r="X1" s="99" t="s">
        <v>126</v>
      </c>
      <c r="Y1" s="99" t="s">
        <v>126</v>
      </c>
      <c r="Z1" s="99" t="s">
        <v>126</v>
      </c>
      <c r="AA1" s="99" t="s">
        <v>126</v>
      </c>
    </row>
    <row r="2" spans="1:41">
      <c r="A2" s="100">
        <v>1</v>
      </c>
      <c r="B2" s="100" t="s">
        <v>122</v>
      </c>
      <c r="C2" s="100" t="s">
        <v>69</v>
      </c>
      <c r="D2" s="100" t="s">
        <v>194</v>
      </c>
      <c r="E2" s="100" t="s">
        <v>123</v>
      </c>
      <c r="F2" s="100" t="s">
        <v>122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1</v>
      </c>
      <c r="L2" s="100" t="b">
        <v>1</v>
      </c>
      <c r="M2" s="100" t="b">
        <v>1</v>
      </c>
      <c r="N2" s="100" t="b">
        <v>1</v>
      </c>
      <c r="O2" s="100" t="b">
        <v>1</v>
      </c>
      <c r="P2" s="100" t="b">
        <v>1</v>
      </c>
      <c r="Q2" s="100" t="b">
        <v>1</v>
      </c>
      <c r="R2" s="100" t="b">
        <v>1</v>
      </c>
      <c r="S2" s="100" t="b">
        <v>0</v>
      </c>
      <c r="T2" s="100" t="b">
        <v>1</v>
      </c>
      <c r="U2" s="100" t="b">
        <v>1</v>
      </c>
      <c r="V2" s="100" t="b">
        <v>1</v>
      </c>
      <c r="W2" s="100" t="b">
        <v>1</v>
      </c>
      <c r="X2" s="100" t="b">
        <v>1</v>
      </c>
      <c r="Y2" s="100" t="b">
        <v>1</v>
      </c>
      <c r="Z2" s="100" t="b">
        <v>1</v>
      </c>
      <c r="AA2" s="100" t="b">
        <v>1</v>
      </c>
      <c r="AB2" s="100" t="b">
        <v>1</v>
      </c>
      <c r="AC2" s="100" t="b">
        <v>1</v>
      </c>
      <c r="AD2" s="100" t="b">
        <v>1</v>
      </c>
      <c r="AE2" s="100" t="b">
        <v>1</v>
      </c>
      <c r="AF2" s="100" t="b">
        <v>1</v>
      </c>
      <c r="AG2" s="100" t="b">
        <v>1</v>
      </c>
      <c r="AH2" s="100" t="b">
        <v>1</v>
      </c>
      <c r="AI2" s="100" t="b">
        <v>1</v>
      </c>
      <c r="AJ2" s="100" t="b">
        <v>1</v>
      </c>
      <c r="AK2" s="100" t="b">
        <v>1</v>
      </c>
      <c r="AL2" s="100" t="b">
        <v>1</v>
      </c>
      <c r="AM2" s="100" t="b">
        <v>1</v>
      </c>
      <c r="AN2" s="100" t="b">
        <v>1</v>
      </c>
      <c r="AO2" s="100" t="b">
        <v>1</v>
      </c>
    </row>
    <row r="3" spans="1:41">
      <c r="A3" s="100">
        <v>2</v>
      </c>
      <c r="B3" s="100" t="s">
        <v>331</v>
      </c>
      <c r="C3" s="100" t="s">
        <v>332</v>
      </c>
      <c r="D3" s="100" t="s">
        <v>194</v>
      </c>
      <c r="E3" s="100" t="s">
        <v>123</v>
      </c>
      <c r="F3" s="100" t="s">
        <v>331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1</v>
      </c>
      <c r="L3" s="100" t="b">
        <v>1</v>
      </c>
      <c r="M3" s="100" t="b">
        <v>1</v>
      </c>
      <c r="N3" s="100" t="b">
        <v>1</v>
      </c>
      <c r="O3" s="100" t="b">
        <v>1</v>
      </c>
      <c r="P3" s="100" t="b">
        <v>1</v>
      </c>
      <c r="Q3" s="100" t="b">
        <v>0</v>
      </c>
      <c r="R3" s="100" t="b">
        <v>1</v>
      </c>
      <c r="T3" s="100" t="b">
        <v>0</v>
      </c>
      <c r="U3" s="100" t="b">
        <v>1</v>
      </c>
      <c r="V3" s="100" t="b">
        <v>0</v>
      </c>
      <c r="W3" s="100" t="b">
        <v>1</v>
      </c>
      <c r="X3" s="100" t="b">
        <v>1</v>
      </c>
      <c r="Y3" s="100" t="b">
        <v>1</v>
      </c>
      <c r="Z3" s="100" t="b">
        <v>1</v>
      </c>
      <c r="AA3" s="100" t="b">
        <v>1</v>
      </c>
      <c r="AB3" s="100" t="b">
        <v>1</v>
      </c>
      <c r="AC3" s="100" t="b">
        <v>1</v>
      </c>
      <c r="AD3" s="100" t="b">
        <v>1</v>
      </c>
      <c r="AE3" s="100" t="b">
        <v>1</v>
      </c>
      <c r="AF3" s="100" t="b">
        <v>1</v>
      </c>
      <c r="AG3" s="100" t="b">
        <v>1</v>
      </c>
      <c r="AH3" s="100" t="b">
        <v>1</v>
      </c>
      <c r="AI3" s="100" t="b">
        <v>0</v>
      </c>
      <c r="AJ3" s="100" t="b">
        <v>0</v>
      </c>
      <c r="AK3" s="100" t="b">
        <v>0</v>
      </c>
      <c r="AL3" s="100" t="b">
        <v>1</v>
      </c>
      <c r="AM3" s="100" t="b">
        <v>0</v>
      </c>
      <c r="AN3" s="100" t="b">
        <v>0</v>
      </c>
      <c r="AO3" s="10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7"/>
  <dimension ref="A1"/>
  <sheetViews>
    <sheetView workbookViewId="0">
      <selection activeCell="L22" sqref="L22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E200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9.140625" defaultRowHeight="12.75"/>
  <cols>
    <col min="1" max="1" width="9.140625" style="4" customWidth="1"/>
    <col min="2" max="2" width="29" style="12" bestFit="1" customWidth="1"/>
    <col min="3" max="3" width="18.140625" style="12" customWidth="1"/>
    <col min="4" max="4" width="34.5703125" style="4" customWidth="1"/>
    <col min="5" max="5" width="12.7109375" style="4" customWidth="1"/>
    <col min="6" max="7" width="9.140625" style="4" customWidth="1"/>
    <col min="8" max="16384" width="9.140625" style="4"/>
  </cols>
  <sheetData>
    <row r="1" spans="1:5">
      <c r="A1" s="228" t="s">
        <v>14</v>
      </c>
      <c r="B1" s="229" t="s">
        <v>225</v>
      </c>
      <c r="C1" s="229" t="s">
        <v>224</v>
      </c>
      <c r="D1" s="228" t="s">
        <v>85</v>
      </c>
      <c r="E1" s="230" t="s">
        <v>216</v>
      </c>
    </row>
    <row r="2" spans="1:5">
      <c r="A2" s="1"/>
      <c r="B2" s="226"/>
      <c r="C2" s="227"/>
      <c r="D2" s="1"/>
      <c r="E2" s="1"/>
    </row>
    <row r="3" spans="1:5">
      <c r="A3" s="1"/>
      <c r="B3" s="226"/>
      <c r="C3" s="227"/>
      <c r="D3" s="1"/>
      <c r="E3" s="1"/>
    </row>
    <row r="4" spans="1:5">
      <c r="A4" s="1"/>
      <c r="B4" s="226"/>
      <c r="C4" s="227"/>
      <c r="D4" s="1"/>
      <c r="E4" s="1"/>
    </row>
    <row r="5" spans="1:5">
      <c r="A5" s="1"/>
      <c r="B5" s="227"/>
      <c r="C5" s="227"/>
      <c r="D5" s="1"/>
      <c r="E5" s="1"/>
    </row>
    <row r="6" spans="1:5">
      <c r="A6" s="1"/>
      <c r="B6" s="227"/>
      <c r="C6" s="227"/>
      <c r="D6" s="1"/>
      <c r="E6" s="1"/>
    </row>
    <row r="7" spans="1:5">
      <c r="A7" s="1"/>
      <c r="B7" s="227"/>
      <c r="C7" s="227"/>
      <c r="D7" s="1"/>
      <c r="E7" s="1"/>
    </row>
    <row r="8" spans="1:5">
      <c r="A8" s="1"/>
      <c r="B8" s="227"/>
      <c r="C8" s="227"/>
      <c r="D8" s="1"/>
      <c r="E8" s="1"/>
    </row>
    <row r="9" spans="1:5">
      <c r="A9" s="1"/>
      <c r="B9" s="227"/>
      <c r="C9" s="227"/>
      <c r="D9" s="1"/>
      <c r="E9" s="1"/>
    </row>
    <row r="10" spans="1:5">
      <c r="A10" s="1"/>
      <c r="B10" s="227"/>
      <c r="C10" s="227"/>
      <c r="D10" s="1"/>
      <c r="E10" s="1"/>
    </row>
    <row r="11" spans="1:5">
      <c r="A11" s="1"/>
      <c r="B11" s="227"/>
      <c r="C11" s="227"/>
      <c r="D11" s="1"/>
      <c r="E11" s="1"/>
    </row>
    <row r="12" spans="1:5">
      <c r="A12" s="1"/>
      <c r="B12" s="227"/>
      <c r="C12" s="227"/>
      <c r="D12" s="1"/>
      <c r="E12" s="1"/>
    </row>
    <row r="13" spans="1:5">
      <c r="A13" s="1"/>
      <c r="B13" s="227"/>
      <c r="C13" s="227"/>
      <c r="D13" s="1"/>
      <c r="E13" s="1"/>
    </row>
    <row r="14" spans="1:5">
      <c r="A14" s="1"/>
      <c r="B14" s="227"/>
      <c r="C14" s="227"/>
      <c r="D14" s="1"/>
      <c r="E14" s="1"/>
    </row>
    <row r="15" spans="1:5">
      <c r="A15" s="1"/>
      <c r="B15" s="227"/>
      <c r="C15" s="227"/>
      <c r="D15" s="1"/>
      <c r="E15" s="1"/>
    </row>
    <row r="16" spans="1:5">
      <c r="A16" s="1"/>
      <c r="B16" s="227"/>
      <c r="C16" s="227"/>
      <c r="D16" s="1"/>
      <c r="E16" s="1"/>
    </row>
    <row r="17" spans="1:5">
      <c r="A17" s="1"/>
      <c r="B17" s="227"/>
      <c r="C17" s="227"/>
      <c r="D17" s="1"/>
      <c r="E17" s="1"/>
    </row>
    <row r="18" spans="1:5">
      <c r="A18" s="1"/>
      <c r="B18" s="227"/>
      <c r="C18" s="227"/>
      <c r="D18" s="1"/>
      <c r="E18" s="1"/>
    </row>
    <row r="19" spans="1:5">
      <c r="A19" s="1"/>
      <c r="B19" s="227"/>
      <c r="C19" s="227"/>
      <c r="D19" s="1"/>
      <c r="E19" s="1"/>
    </row>
    <row r="20" spans="1:5">
      <c r="A20" s="1"/>
      <c r="B20" s="227"/>
      <c r="C20" s="227"/>
      <c r="D20" s="1"/>
      <c r="E20" s="1"/>
    </row>
    <row r="21" spans="1:5">
      <c r="A21" s="1"/>
      <c r="B21" s="227"/>
      <c r="C21" s="227"/>
      <c r="D21" s="1"/>
      <c r="E21" s="1"/>
    </row>
    <row r="22" spans="1:5">
      <c r="A22" s="1"/>
      <c r="B22" s="227"/>
      <c r="C22" s="227"/>
      <c r="D22" s="1"/>
      <c r="E22" s="1"/>
    </row>
    <row r="23" spans="1:5">
      <c r="A23" s="1"/>
      <c r="B23" s="227"/>
      <c r="C23" s="227"/>
      <c r="D23" s="1"/>
      <c r="E23" s="1"/>
    </row>
    <row r="24" spans="1:5">
      <c r="A24" s="1"/>
      <c r="B24" s="227"/>
      <c r="C24" s="227"/>
      <c r="D24" s="1"/>
      <c r="E24" s="1"/>
    </row>
    <row r="25" spans="1:5">
      <c r="A25" s="1"/>
      <c r="B25" s="227"/>
      <c r="C25" s="227"/>
      <c r="D25" s="1"/>
      <c r="E25" s="1"/>
    </row>
    <row r="26" spans="1:5">
      <c r="A26" s="1"/>
      <c r="B26" s="227"/>
      <c r="C26" s="227"/>
      <c r="D26" s="1"/>
      <c r="E26" s="1"/>
    </row>
    <row r="27" spans="1:5">
      <c r="A27" s="1"/>
      <c r="B27" s="227"/>
      <c r="C27" s="227"/>
      <c r="D27" s="1"/>
      <c r="E27" s="1"/>
    </row>
    <row r="28" spans="1:5">
      <c r="A28" s="227"/>
      <c r="B28" s="227"/>
      <c r="C28" s="227"/>
      <c r="D28" s="1"/>
      <c r="E28" s="1"/>
    </row>
    <row r="29" spans="1:5">
      <c r="A29" s="227"/>
      <c r="B29" s="227"/>
      <c r="C29" s="227"/>
      <c r="D29" s="1"/>
      <c r="E29" s="1"/>
    </row>
    <row r="30" spans="1:5">
      <c r="A30" s="227"/>
      <c r="B30" s="227"/>
      <c r="C30" s="227"/>
      <c r="D30" s="1"/>
      <c r="E30" s="1"/>
    </row>
    <row r="31" spans="1:5">
      <c r="A31" s="227"/>
      <c r="B31" s="227"/>
      <c r="C31" s="227"/>
      <c r="D31" s="1"/>
      <c r="E31" s="1"/>
    </row>
    <row r="32" spans="1:5">
      <c r="A32" s="227"/>
      <c r="B32" s="227"/>
      <c r="C32" s="227"/>
      <c r="D32" s="1"/>
      <c r="E32" s="1"/>
    </row>
    <row r="33" spans="1:5">
      <c r="A33" s="227"/>
      <c r="B33" s="227"/>
      <c r="C33" s="227"/>
      <c r="D33" s="1"/>
      <c r="E33" s="1"/>
    </row>
    <row r="34" spans="1:5">
      <c r="A34" s="227"/>
      <c r="B34" s="227"/>
      <c r="C34" s="227"/>
      <c r="D34" s="1"/>
      <c r="E34" s="1"/>
    </row>
    <row r="35" spans="1:5">
      <c r="A35" s="227"/>
      <c r="B35" s="227"/>
      <c r="C35" s="227"/>
      <c r="D35" s="1"/>
      <c r="E35" s="1"/>
    </row>
    <row r="36" spans="1:5">
      <c r="A36" s="227"/>
      <c r="B36" s="227"/>
      <c r="C36" s="227"/>
      <c r="D36" s="1"/>
      <c r="E36" s="1"/>
    </row>
    <row r="37" spans="1:5">
      <c r="A37" s="227"/>
      <c r="B37" s="227"/>
      <c r="C37" s="227"/>
      <c r="D37" s="1"/>
      <c r="E37" s="1"/>
    </row>
    <row r="38" spans="1:5">
      <c r="A38" s="227"/>
      <c r="B38" s="227"/>
      <c r="C38" s="227"/>
      <c r="D38" s="1"/>
      <c r="E38" s="1"/>
    </row>
    <row r="39" spans="1:5">
      <c r="A39" s="227"/>
      <c r="B39" s="227"/>
      <c r="C39" s="227"/>
      <c r="D39" s="1"/>
      <c r="E39" s="1"/>
    </row>
    <row r="40" spans="1:5">
      <c r="A40" s="227"/>
      <c r="B40" s="227"/>
      <c r="C40" s="227"/>
      <c r="D40" s="1"/>
      <c r="E40" s="1"/>
    </row>
    <row r="41" spans="1:5">
      <c r="A41" s="227"/>
      <c r="B41" s="227"/>
      <c r="C41" s="227"/>
      <c r="D41" s="1"/>
      <c r="E41" s="1"/>
    </row>
    <row r="42" spans="1:5">
      <c r="A42" s="227"/>
      <c r="B42" s="227"/>
      <c r="C42" s="227"/>
      <c r="D42" s="1"/>
      <c r="E42" s="1"/>
    </row>
    <row r="43" spans="1:5">
      <c r="A43" s="227"/>
      <c r="B43" s="227"/>
      <c r="C43" s="227"/>
      <c r="D43" s="1"/>
      <c r="E43" s="1"/>
    </row>
    <row r="44" spans="1:5">
      <c r="A44" s="227"/>
      <c r="B44" s="227"/>
      <c r="C44" s="227"/>
      <c r="D44" s="1"/>
      <c r="E44" s="1"/>
    </row>
    <row r="45" spans="1:5">
      <c r="A45" s="227"/>
      <c r="B45" s="227"/>
      <c r="C45" s="227"/>
      <c r="D45" s="1"/>
      <c r="E45" s="1"/>
    </row>
    <row r="46" spans="1:5">
      <c r="A46" s="227"/>
      <c r="B46" s="227"/>
      <c r="C46" s="227"/>
      <c r="D46" s="1"/>
      <c r="E46" s="1"/>
    </row>
    <row r="47" spans="1:5">
      <c r="A47" s="227"/>
      <c r="B47" s="227"/>
      <c r="C47" s="227"/>
      <c r="D47" s="1"/>
      <c r="E47" s="1"/>
    </row>
    <row r="48" spans="1:5">
      <c r="A48" s="227"/>
      <c r="B48" s="227"/>
      <c r="C48" s="227"/>
      <c r="D48" s="1"/>
      <c r="E48" s="1"/>
    </row>
    <row r="49" spans="1:5">
      <c r="A49" s="227"/>
      <c r="B49" s="227"/>
      <c r="C49" s="227"/>
      <c r="D49" s="1"/>
      <c r="E49" s="1"/>
    </row>
    <row r="50" spans="1:5">
      <c r="A50" s="227"/>
      <c r="B50" s="227"/>
      <c r="C50" s="227"/>
      <c r="D50" s="1"/>
      <c r="E50" s="1"/>
    </row>
    <row r="51" spans="1:5">
      <c r="A51" s="227"/>
      <c r="B51" s="227"/>
      <c r="C51" s="227"/>
      <c r="D51" s="1"/>
      <c r="E51" s="1"/>
    </row>
    <row r="52" spans="1:5">
      <c r="A52" s="227"/>
      <c r="B52" s="227"/>
      <c r="C52" s="227"/>
      <c r="D52" s="1"/>
      <c r="E52" s="1"/>
    </row>
    <row r="53" spans="1:5">
      <c r="A53" s="227"/>
      <c r="B53" s="227"/>
      <c r="C53" s="227"/>
      <c r="D53" s="1"/>
      <c r="E53" s="1"/>
    </row>
    <row r="54" spans="1:5">
      <c r="A54" s="227"/>
      <c r="B54" s="227"/>
      <c r="C54" s="227"/>
      <c r="D54" s="1"/>
      <c r="E54" s="1"/>
    </row>
    <row r="55" spans="1:5">
      <c r="A55" s="227"/>
      <c r="B55" s="227"/>
      <c r="C55" s="227"/>
      <c r="D55" s="1"/>
      <c r="E55" s="1"/>
    </row>
    <row r="56" spans="1:5">
      <c r="A56" s="227"/>
      <c r="B56" s="227"/>
      <c r="C56" s="227"/>
      <c r="D56" s="1"/>
      <c r="E56" s="1"/>
    </row>
    <row r="57" spans="1:5">
      <c r="A57" s="227"/>
      <c r="B57" s="227"/>
      <c r="C57" s="227"/>
      <c r="D57" s="1"/>
      <c r="E57" s="1"/>
    </row>
    <row r="58" spans="1:5">
      <c r="A58" s="227"/>
      <c r="B58" s="227"/>
      <c r="C58" s="227"/>
      <c r="D58" s="1"/>
      <c r="E58" s="1"/>
    </row>
    <row r="59" spans="1:5">
      <c r="A59" s="227"/>
      <c r="B59" s="227"/>
      <c r="C59" s="227"/>
      <c r="D59" s="1"/>
      <c r="E59" s="1"/>
    </row>
    <row r="60" spans="1:5">
      <c r="A60" s="227"/>
      <c r="B60" s="227"/>
      <c r="C60" s="227"/>
      <c r="D60" s="1"/>
      <c r="E60" s="1"/>
    </row>
    <row r="61" spans="1:5">
      <c r="A61" s="227"/>
      <c r="B61" s="227"/>
      <c r="C61" s="227"/>
      <c r="D61" s="1"/>
      <c r="E61" s="1"/>
    </row>
    <row r="62" spans="1:5">
      <c r="A62" s="227"/>
      <c r="B62" s="227"/>
      <c r="C62" s="227"/>
      <c r="D62" s="1"/>
      <c r="E62" s="1"/>
    </row>
    <row r="63" spans="1:5">
      <c r="A63" s="227"/>
      <c r="B63" s="227"/>
      <c r="C63" s="227"/>
      <c r="D63" s="1"/>
      <c r="E63" s="1"/>
    </row>
    <row r="64" spans="1:5">
      <c r="A64" s="227"/>
      <c r="B64" s="227"/>
      <c r="C64" s="227"/>
      <c r="D64" s="1"/>
      <c r="E64" s="1"/>
    </row>
    <row r="65" spans="1:5">
      <c r="A65" s="227"/>
      <c r="B65" s="227"/>
      <c r="C65" s="227"/>
      <c r="D65" s="1"/>
      <c r="E65" s="1"/>
    </row>
    <row r="66" spans="1:5">
      <c r="A66" s="227"/>
      <c r="B66" s="227"/>
      <c r="C66" s="227"/>
      <c r="D66" s="1"/>
      <c r="E66" s="1"/>
    </row>
    <row r="67" spans="1:5">
      <c r="A67" s="227"/>
      <c r="B67" s="227"/>
      <c r="C67" s="227"/>
      <c r="D67" s="1"/>
      <c r="E67" s="1"/>
    </row>
    <row r="68" spans="1:5">
      <c r="A68" s="227"/>
      <c r="B68" s="227"/>
      <c r="C68" s="227"/>
      <c r="D68" s="1"/>
      <c r="E68" s="1"/>
    </row>
    <row r="69" spans="1:5">
      <c r="A69" s="227"/>
      <c r="B69" s="227"/>
      <c r="C69" s="227"/>
      <c r="D69" s="1"/>
      <c r="E69" s="1"/>
    </row>
    <row r="70" spans="1:5">
      <c r="A70" s="227"/>
      <c r="B70" s="227"/>
      <c r="C70" s="227"/>
      <c r="D70" s="1"/>
      <c r="E70" s="1"/>
    </row>
    <row r="71" spans="1:5">
      <c r="A71" s="227"/>
      <c r="B71" s="227"/>
      <c r="C71" s="227"/>
      <c r="D71" s="1"/>
      <c r="E71" s="1"/>
    </row>
    <row r="72" spans="1:5">
      <c r="A72" s="227"/>
      <c r="B72" s="227"/>
      <c r="C72" s="227"/>
      <c r="D72" s="1"/>
      <c r="E72" s="1"/>
    </row>
    <row r="73" spans="1:5">
      <c r="A73" s="227"/>
      <c r="B73" s="227"/>
      <c r="C73" s="227"/>
      <c r="D73" s="1"/>
      <c r="E73" s="1"/>
    </row>
    <row r="74" spans="1:5">
      <c r="A74" s="227"/>
      <c r="B74" s="227"/>
      <c r="C74" s="227"/>
      <c r="D74" s="1"/>
      <c r="E74" s="1"/>
    </row>
    <row r="75" spans="1:5">
      <c r="A75" s="227"/>
      <c r="B75" s="227"/>
      <c r="C75" s="227"/>
      <c r="D75" s="1"/>
      <c r="E75" s="1"/>
    </row>
    <row r="76" spans="1:5">
      <c r="A76" s="227"/>
      <c r="B76" s="227"/>
      <c r="C76" s="227"/>
      <c r="D76" s="1"/>
      <c r="E76" s="1"/>
    </row>
    <row r="77" spans="1:5">
      <c r="A77" s="227"/>
      <c r="B77" s="227"/>
      <c r="C77" s="227"/>
      <c r="D77" s="1"/>
      <c r="E77" s="1"/>
    </row>
    <row r="78" spans="1:5">
      <c r="A78" s="227"/>
      <c r="B78" s="227"/>
      <c r="C78" s="227"/>
      <c r="D78" s="1"/>
      <c r="E78" s="1"/>
    </row>
    <row r="79" spans="1:5">
      <c r="A79" s="227"/>
      <c r="B79" s="227"/>
      <c r="C79" s="227"/>
      <c r="D79" s="1"/>
      <c r="E79" s="1"/>
    </row>
    <row r="80" spans="1:5">
      <c r="A80" s="227"/>
      <c r="B80" s="227"/>
      <c r="C80" s="227"/>
      <c r="D80" s="1"/>
      <c r="E80" s="1"/>
    </row>
    <row r="81" spans="1:5">
      <c r="A81" s="227"/>
      <c r="B81" s="227"/>
      <c r="C81" s="227"/>
      <c r="D81" s="1"/>
      <c r="E81" s="1"/>
    </row>
    <row r="82" spans="1:5">
      <c r="A82" s="227"/>
      <c r="B82" s="227"/>
      <c r="C82" s="227"/>
      <c r="D82" s="1"/>
      <c r="E82" s="1"/>
    </row>
    <row r="83" spans="1:5">
      <c r="A83" s="227"/>
      <c r="B83" s="227"/>
      <c r="C83" s="227"/>
      <c r="D83" s="1"/>
      <c r="E83" s="1"/>
    </row>
    <row r="84" spans="1:5">
      <c r="A84" s="227"/>
      <c r="B84" s="227"/>
      <c r="C84" s="227"/>
      <c r="D84" s="1"/>
      <c r="E84" s="1"/>
    </row>
    <row r="85" spans="1:5">
      <c r="A85" s="227"/>
      <c r="B85" s="227"/>
      <c r="C85" s="227"/>
      <c r="D85" s="1"/>
      <c r="E85" s="1"/>
    </row>
    <row r="86" spans="1:5">
      <c r="A86" s="227"/>
      <c r="B86" s="227"/>
      <c r="C86" s="227"/>
      <c r="D86" s="1"/>
      <c r="E86" s="1"/>
    </row>
    <row r="87" spans="1:5">
      <c r="A87" s="227"/>
      <c r="B87" s="227"/>
      <c r="C87" s="227"/>
      <c r="D87" s="1"/>
      <c r="E87" s="1"/>
    </row>
    <row r="88" spans="1:5">
      <c r="A88" s="227"/>
      <c r="B88" s="227"/>
      <c r="C88" s="227"/>
      <c r="D88" s="1"/>
      <c r="E88" s="1"/>
    </row>
    <row r="89" spans="1:5">
      <c r="A89" s="227"/>
      <c r="B89" s="227"/>
      <c r="C89" s="227"/>
      <c r="D89" s="1"/>
      <c r="E89" s="1"/>
    </row>
    <row r="90" spans="1:5">
      <c r="A90" s="227"/>
      <c r="B90" s="227"/>
      <c r="C90" s="227"/>
      <c r="D90" s="1"/>
      <c r="E90" s="1"/>
    </row>
    <row r="91" spans="1:5">
      <c r="A91" s="227"/>
      <c r="B91" s="227"/>
      <c r="C91" s="227"/>
      <c r="D91" s="1"/>
      <c r="E91" s="1"/>
    </row>
    <row r="92" spans="1:5">
      <c r="A92" s="227"/>
      <c r="B92" s="227"/>
      <c r="C92" s="227"/>
      <c r="D92" s="1"/>
      <c r="E92" s="1"/>
    </row>
    <row r="93" spans="1:5">
      <c r="A93" s="227"/>
      <c r="B93" s="227"/>
      <c r="C93" s="227"/>
      <c r="D93" s="1"/>
      <c r="E93" s="1"/>
    </row>
    <row r="94" spans="1:5">
      <c r="A94" s="227"/>
      <c r="B94" s="227"/>
      <c r="C94" s="227"/>
      <c r="D94" s="1"/>
      <c r="E94" s="1"/>
    </row>
    <row r="95" spans="1:5">
      <c r="A95" s="227"/>
      <c r="B95" s="227"/>
      <c r="C95" s="227"/>
      <c r="D95" s="1"/>
      <c r="E95" s="1"/>
    </row>
    <row r="96" spans="1:5">
      <c r="A96" s="227"/>
      <c r="B96" s="227"/>
      <c r="C96" s="227"/>
      <c r="D96" s="1"/>
      <c r="E96" s="1"/>
    </row>
    <row r="97" spans="1:5">
      <c r="A97" s="227"/>
      <c r="B97" s="227"/>
      <c r="C97" s="227"/>
      <c r="D97" s="1"/>
      <c r="E97" s="1"/>
    </row>
    <row r="98" spans="1:5">
      <c r="A98" s="227"/>
      <c r="B98" s="227"/>
      <c r="C98" s="227"/>
      <c r="D98" s="1"/>
      <c r="E98" s="1"/>
    </row>
    <row r="99" spans="1:5">
      <c r="A99" s="227"/>
      <c r="B99" s="227"/>
      <c r="C99" s="227"/>
      <c r="D99" s="1"/>
      <c r="E99" s="1"/>
    </row>
    <row r="100" spans="1:5">
      <c r="A100" s="227"/>
      <c r="B100" s="227"/>
      <c r="C100" s="227"/>
      <c r="D100" s="1"/>
      <c r="E100" s="1"/>
    </row>
    <row r="101" spans="1:5">
      <c r="A101" s="227"/>
      <c r="B101" s="227"/>
      <c r="C101" s="227"/>
      <c r="D101" s="1"/>
      <c r="E101" s="1"/>
    </row>
    <row r="102" spans="1:5">
      <c r="A102" s="227"/>
      <c r="B102" s="227"/>
      <c r="C102" s="227"/>
      <c r="D102" s="1"/>
      <c r="E102" s="1"/>
    </row>
    <row r="103" spans="1:5">
      <c r="A103" s="227"/>
      <c r="B103" s="227"/>
      <c r="C103" s="227"/>
      <c r="D103" s="1"/>
      <c r="E103" s="1"/>
    </row>
    <row r="104" spans="1:5">
      <c r="A104" s="227"/>
      <c r="B104" s="227"/>
      <c r="C104" s="227"/>
      <c r="D104" s="1"/>
      <c r="E104" s="1"/>
    </row>
    <row r="105" spans="1:5">
      <c r="A105" s="227"/>
      <c r="B105" s="227"/>
      <c r="C105" s="227"/>
      <c r="D105" s="1"/>
      <c r="E105" s="1"/>
    </row>
    <row r="106" spans="1:5">
      <c r="A106" s="227"/>
      <c r="B106" s="227"/>
      <c r="C106" s="227"/>
      <c r="D106" s="1"/>
      <c r="E106" s="1"/>
    </row>
    <row r="107" spans="1:5">
      <c r="A107" s="227"/>
      <c r="B107" s="227"/>
      <c r="C107" s="227"/>
      <c r="D107" s="1"/>
      <c r="E107" s="1"/>
    </row>
    <row r="108" spans="1:5">
      <c r="A108" s="227"/>
      <c r="B108" s="227"/>
      <c r="C108" s="227"/>
      <c r="D108" s="1"/>
      <c r="E108" s="1"/>
    </row>
    <row r="109" spans="1:5">
      <c r="A109" s="227"/>
      <c r="B109" s="227"/>
      <c r="C109" s="227"/>
      <c r="D109" s="1"/>
      <c r="E109" s="1"/>
    </row>
    <row r="110" spans="1:5">
      <c r="A110" s="227"/>
      <c r="B110" s="227"/>
      <c r="C110" s="227"/>
      <c r="D110" s="1"/>
      <c r="E110" s="1"/>
    </row>
    <row r="111" spans="1:5">
      <c r="A111" s="227"/>
      <c r="B111" s="227"/>
      <c r="C111" s="227"/>
      <c r="D111" s="1"/>
      <c r="E111" s="1"/>
    </row>
    <row r="112" spans="1:5">
      <c r="A112" s="227"/>
      <c r="B112" s="227"/>
      <c r="C112" s="227"/>
      <c r="D112" s="1"/>
      <c r="E112" s="1"/>
    </row>
    <row r="113" spans="1:5">
      <c r="A113" s="227"/>
      <c r="B113" s="227"/>
      <c r="C113" s="227"/>
      <c r="D113" s="1"/>
      <c r="E113" s="1"/>
    </row>
    <row r="114" spans="1:5">
      <c r="A114" s="227"/>
      <c r="B114" s="227"/>
      <c r="C114" s="227"/>
      <c r="D114" s="1"/>
      <c r="E114" s="1"/>
    </row>
    <row r="115" spans="1:5">
      <c r="A115" s="227"/>
      <c r="B115" s="227"/>
      <c r="C115" s="227"/>
      <c r="D115" s="1"/>
      <c r="E115" s="1"/>
    </row>
    <row r="116" spans="1:5">
      <c r="A116" s="227"/>
      <c r="B116" s="227"/>
      <c r="C116" s="227"/>
      <c r="D116" s="1"/>
      <c r="E116" s="1"/>
    </row>
    <row r="117" spans="1:5">
      <c r="A117" s="227"/>
      <c r="B117" s="227"/>
      <c r="C117" s="227"/>
      <c r="D117" s="1"/>
      <c r="E117" s="1"/>
    </row>
    <row r="118" spans="1:5">
      <c r="A118" s="227"/>
      <c r="B118" s="227"/>
      <c r="C118" s="227"/>
      <c r="D118" s="1"/>
      <c r="E118" s="1"/>
    </row>
    <row r="119" spans="1:5">
      <c r="A119" s="227"/>
      <c r="B119" s="227"/>
      <c r="C119" s="227"/>
      <c r="D119" s="1"/>
      <c r="E119" s="1"/>
    </row>
    <row r="120" spans="1:5">
      <c r="A120" s="227"/>
      <c r="B120" s="227"/>
      <c r="C120" s="227"/>
      <c r="D120" s="1"/>
      <c r="E120" s="1"/>
    </row>
    <row r="121" spans="1:5">
      <c r="A121" s="227"/>
      <c r="B121" s="227"/>
      <c r="C121" s="227"/>
      <c r="D121" s="1"/>
      <c r="E121" s="1"/>
    </row>
    <row r="122" spans="1:5">
      <c r="A122" s="227"/>
      <c r="B122" s="227"/>
      <c r="C122" s="227"/>
      <c r="D122" s="1"/>
      <c r="E122" s="1"/>
    </row>
    <row r="123" spans="1:5">
      <c r="A123" s="227"/>
      <c r="B123" s="227"/>
      <c r="C123" s="227"/>
      <c r="D123" s="1"/>
      <c r="E123" s="1"/>
    </row>
    <row r="124" spans="1:5">
      <c r="A124" s="227"/>
      <c r="B124" s="227"/>
      <c r="C124" s="227"/>
      <c r="D124" s="1"/>
      <c r="E124" s="1"/>
    </row>
    <row r="125" spans="1:5">
      <c r="A125" s="227"/>
      <c r="B125" s="227"/>
      <c r="C125" s="227"/>
      <c r="D125" s="1"/>
      <c r="E125" s="1"/>
    </row>
    <row r="126" spans="1:5">
      <c r="A126" s="227"/>
      <c r="B126" s="227"/>
      <c r="C126" s="227"/>
      <c r="D126" s="1"/>
      <c r="E126" s="1"/>
    </row>
    <row r="127" spans="1:5">
      <c r="A127" s="227"/>
      <c r="B127" s="227"/>
      <c r="C127" s="227"/>
      <c r="D127" s="1"/>
      <c r="E127" s="1"/>
    </row>
    <row r="128" spans="1:5">
      <c r="A128" s="227"/>
      <c r="B128" s="227"/>
      <c r="C128" s="227"/>
      <c r="D128" s="1"/>
      <c r="E128" s="1"/>
    </row>
    <row r="129" spans="1:5">
      <c r="A129" s="227"/>
      <c r="B129" s="227"/>
      <c r="C129" s="227"/>
      <c r="D129" s="1"/>
      <c r="E129" s="1"/>
    </row>
    <row r="130" spans="1:5">
      <c r="A130" s="227"/>
      <c r="B130" s="227"/>
      <c r="C130" s="227"/>
      <c r="D130" s="1"/>
      <c r="E130" s="1"/>
    </row>
    <row r="131" spans="1:5">
      <c r="A131" s="227"/>
      <c r="B131" s="227"/>
      <c r="C131" s="227"/>
      <c r="D131" s="1"/>
      <c r="E131" s="1"/>
    </row>
    <row r="132" spans="1:5">
      <c r="A132" s="227"/>
      <c r="B132" s="227"/>
      <c r="C132" s="227"/>
      <c r="D132" s="1"/>
      <c r="E132" s="1"/>
    </row>
    <row r="133" spans="1:5">
      <c r="A133" s="227"/>
      <c r="B133" s="227"/>
      <c r="C133" s="227"/>
      <c r="D133" s="1"/>
      <c r="E133" s="1"/>
    </row>
    <row r="134" spans="1:5">
      <c r="A134" s="227"/>
      <c r="B134" s="227"/>
      <c r="C134" s="227"/>
      <c r="D134" s="1"/>
      <c r="E134" s="1"/>
    </row>
    <row r="135" spans="1:5">
      <c r="A135" s="227"/>
      <c r="B135" s="227"/>
      <c r="C135" s="227"/>
      <c r="D135" s="1"/>
      <c r="E135" s="1"/>
    </row>
    <row r="136" spans="1:5">
      <c r="A136" s="227"/>
      <c r="B136" s="227"/>
      <c r="C136" s="227"/>
      <c r="D136" s="1"/>
      <c r="E136" s="1"/>
    </row>
    <row r="137" spans="1:5">
      <c r="A137" s="227"/>
      <c r="B137" s="227"/>
      <c r="C137" s="227"/>
      <c r="D137" s="1"/>
      <c r="E137" s="1"/>
    </row>
    <row r="138" spans="1:5">
      <c r="A138" s="227"/>
      <c r="B138" s="227"/>
      <c r="C138" s="227"/>
      <c r="D138" s="1"/>
      <c r="E138" s="1"/>
    </row>
    <row r="139" spans="1:5">
      <c r="A139" s="227"/>
      <c r="B139" s="227"/>
      <c r="C139" s="227"/>
      <c r="D139" s="1"/>
      <c r="E139" s="1"/>
    </row>
    <row r="140" spans="1:5">
      <c r="A140" s="227"/>
      <c r="B140" s="227"/>
      <c r="C140" s="227"/>
      <c r="D140" s="1"/>
      <c r="E140" s="1"/>
    </row>
    <row r="141" spans="1:5">
      <c r="A141" s="227"/>
      <c r="B141" s="227"/>
      <c r="C141" s="227"/>
      <c r="D141" s="1"/>
      <c r="E141" s="1"/>
    </row>
    <row r="142" spans="1:5">
      <c r="A142" s="227"/>
      <c r="B142" s="227"/>
      <c r="C142" s="227"/>
      <c r="D142" s="1"/>
      <c r="E142" s="1"/>
    </row>
    <row r="143" spans="1:5">
      <c r="A143" s="227"/>
      <c r="B143" s="227"/>
      <c r="C143" s="227"/>
      <c r="D143" s="1"/>
      <c r="E143" s="1"/>
    </row>
    <row r="144" spans="1:5">
      <c r="A144" s="227"/>
      <c r="B144" s="227"/>
      <c r="C144" s="227"/>
      <c r="D144" s="1"/>
      <c r="E144" s="1"/>
    </row>
    <row r="145" spans="1:5">
      <c r="A145" s="227"/>
      <c r="B145" s="227"/>
      <c r="C145" s="227"/>
      <c r="D145" s="1"/>
      <c r="E145" s="1"/>
    </row>
    <row r="146" spans="1:5">
      <c r="A146" s="227"/>
      <c r="B146" s="227"/>
      <c r="C146" s="227"/>
      <c r="D146" s="1"/>
      <c r="E146" s="1"/>
    </row>
    <row r="147" spans="1:5">
      <c r="A147" s="227"/>
      <c r="B147" s="227"/>
      <c r="C147" s="227"/>
      <c r="D147" s="1"/>
      <c r="E147" s="1"/>
    </row>
    <row r="148" spans="1:5">
      <c r="A148" s="227"/>
      <c r="B148" s="227"/>
      <c r="C148" s="227"/>
      <c r="D148" s="1"/>
      <c r="E148" s="1"/>
    </row>
    <row r="149" spans="1:5">
      <c r="A149" s="227"/>
      <c r="B149" s="227"/>
      <c r="C149" s="227"/>
      <c r="D149" s="1"/>
      <c r="E149" s="1"/>
    </row>
    <row r="150" spans="1:5">
      <c r="A150" s="227"/>
      <c r="B150" s="227"/>
      <c r="C150" s="227"/>
      <c r="D150" s="1"/>
      <c r="E150" s="1"/>
    </row>
    <row r="151" spans="1:5">
      <c r="A151" s="227"/>
      <c r="B151" s="227"/>
      <c r="C151" s="227"/>
      <c r="D151" s="1"/>
      <c r="E151" s="1"/>
    </row>
    <row r="152" spans="1:5">
      <c r="A152" s="227"/>
      <c r="B152" s="227"/>
      <c r="C152" s="227"/>
      <c r="D152" s="1"/>
      <c r="E152" s="1"/>
    </row>
    <row r="153" spans="1:5">
      <c r="A153" s="227"/>
      <c r="B153" s="227"/>
      <c r="C153" s="227"/>
      <c r="D153" s="1"/>
      <c r="E153" s="1"/>
    </row>
    <row r="154" spans="1:5">
      <c r="A154" s="227"/>
      <c r="B154" s="227"/>
      <c r="C154" s="227"/>
      <c r="D154" s="1"/>
      <c r="E154" s="1"/>
    </row>
    <row r="155" spans="1:5">
      <c r="A155" s="227"/>
      <c r="B155" s="227"/>
      <c r="C155" s="227"/>
      <c r="D155" s="1"/>
      <c r="E155" s="1"/>
    </row>
    <row r="156" spans="1:5">
      <c r="A156" s="227"/>
      <c r="B156" s="227"/>
      <c r="C156" s="227"/>
      <c r="D156" s="1"/>
      <c r="E156" s="1"/>
    </row>
    <row r="157" spans="1:5">
      <c r="A157" s="227"/>
      <c r="B157" s="227"/>
      <c r="C157" s="227"/>
      <c r="D157" s="1"/>
      <c r="E157" s="1"/>
    </row>
    <row r="158" spans="1:5">
      <c r="A158" s="227"/>
      <c r="B158" s="227"/>
      <c r="C158" s="227"/>
      <c r="D158" s="1"/>
      <c r="E158" s="1"/>
    </row>
    <row r="159" spans="1:5">
      <c r="A159" s="227"/>
      <c r="B159" s="227"/>
      <c r="C159" s="227"/>
      <c r="D159" s="1"/>
      <c r="E159" s="1"/>
    </row>
    <row r="160" spans="1:5">
      <c r="A160" s="227"/>
      <c r="B160" s="227"/>
      <c r="C160" s="227"/>
      <c r="D160" s="1"/>
      <c r="E160" s="1"/>
    </row>
    <row r="161" spans="1:5">
      <c r="A161" s="227"/>
      <c r="B161" s="227"/>
      <c r="C161" s="227"/>
      <c r="D161" s="1"/>
      <c r="E161" s="1"/>
    </row>
    <row r="162" spans="1:5">
      <c r="A162" s="227"/>
      <c r="B162" s="227"/>
      <c r="C162" s="227"/>
      <c r="D162" s="1"/>
      <c r="E162" s="1"/>
    </row>
    <row r="163" spans="1:5">
      <c r="A163" s="227"/>
      <c r="B163" s="227"/>
      <c r="C163" s="227"/>
      <c r="D163" s="1"/>
      <c r="E163" s="1"/>
    </row>
    <row r="164" spans="1:5">
      <c r="A164" s="227"/>
      <c r="B164" s="227"/>
      <c r="C164" s="227"/>
      <c r="D164" s="1"/>
      <c r="E164" s="1"/>
    </row>
    <row r="165" spans="1:5">
      <c r="A165" s="227"/>
      <c r="B165" s="227"/>
      <c r="C165" s="227"/>
      <c r="D165" s="1"/>
      <c r="E165" s="1"/>
    </row>
    <row r="166" spans="1:5">
      <c r="A166" s="227"/>
      <c r="B166" s="227"/>
      <c r="C166" s="227"/>
      <c r="D166" s="1"/>
      <c r="E166" s="1"/>
    </row>
    <row r="167" spans="1:5">
      <c r="A167" s="227"/>
      <c r="B167" s="227"/>
      <c r="C167" s="227"/>
      <c r="D167" s="1"/>
      <c r="E167" s="1"/>
    </row>
    <row r="168" spans="1:5">
      <c r="A168" s="227"/>
      <c r="B168" s="227"/>
      <c r="C168" s="227"/>
      <c r="D168" s="1"/>
      <c r="E168" s="1"/>
    </row>
    <row r="169" spans="1:5">
      <c r="A169" s="227"/>
      <c r="B169" s="227"/>
      <c r="C169" s="227"/>
      <c r="D169" s="1"/>
      <c r="E169" s="1"/>
    </row>
    <row r="170" spans="1:5">
      <c r="A170" s="227"/>
      <c r="B170" s="227"/>
      <c r="C170" s="227"/>
      <c r="D170" s="1"/>
      <c r="E170" s="1"/>
    </row>
    <row r="171" spans="1:5">
      <c r="A171" s="227"/>
      <c r="B171" s="227"/>
      <c r="C171" s="227"/>
      <c r="D171" s="1"/>
      <c r="E171" s="1"/>
    </row>
    <row r="172" spans="1:5">
      <c r="A172" s="227"/>
      <c r="B172" s="227"/>
      <c r="C172" s="227"/>
      <c r="D172" s="1"/>
      <c r="E172" s="1"/>
    </row>
    <row r="173" spans="1:5">
      <c r="A173" s="227"/>
      <c r="B173" s="227"/>
      <c r="C173" s="227"/>
      <c r="D173" s="1"/>
      <c r="E173" s="1"/>
    </row>
    <row r="174" spans="1:5">
      <c r="A174" s="227"/>
      <c r="B174" s="227"/>
      <c r="C174" s="227"/>
      <c r="D174" s="1"/>
      <c r="E174" s="1"/>
    </row>
    <row r="175" spans="1:5">
      <c r="A175" s="227"/>
      <c r="B175" s="227"/>
      <c r="C175" s="227"/>
      <c r="D175" s="1"/>
      <c r="E175" s="1"/>
    </row>
    <row r="176" spans="1:5">
      <c r="A176" s="227"/>
      <c r="B176" s="227"/>
      <c r="C176" s="227"/>
      <c r="D176" s="1"/>
      <c r="E176" s="1"/>
    </row>
    <row r="177" spans="1:5">
      <c r="A177" s="227"/>
      <c r="B177" s="227"/>
      <c r="C177" s="227"/>
      <c r="D177" s="1"/>
      <c r="E177" s="1"/>
    </row>
    <row r="178" spans="1:5">
      <c r="A178" s="227"/>
      <c r="B178" s="227"/>
      <c r="C178" s="227"/>
      <c r="D178" s="1"/>
      <c r="E178" s="1"/>
    </row>
    <row r="179" spans="1:5">
      <c r="A179" s="227"/>
      <c r="B179" s="227"/>
      <c r="C179" s="227"/>
      <c r="D179" s="1"/>
      <c r="E179" s="1"/>
    </row>
    <row r="180" spans="1:5">
      <c r="A180" s="227"/>
      <c r="B180" s="227"/>
      <c r="C180" s="227"/>
      <c r="D180" s="1"/>
      <c r="E180" s="1"/>
    </row>
    <row r="181" spans="1:5">
      <c r="A181" s="227"/>
      <c r="B181" s="227"/>
      <c r="C181" s="227"/>
      <c r="D181" s="1"/>
      <c r="E181" s="1"/>
    </row>
    <row r="182" spans="1:5">
      <c r="A182" s="227"/>
      <c r="B182" s="227"/>
      <c r="C182" s="227"/>
      <c r="D182" s="1"/>
      <c r="E182" s="1"/>
    </row>
    <row r="183" spans="1:5">
      <c r="A183" s="227"/>
      <c r="B183" s="227"/>
      <c r="C183" s="227"/>
      <c r="D183" s="1"/>
      <c r="E183" s="1"/>
    </row>
    <row r="184" spans="1:5">
      <c r="A184" s="227"/>
      <c r="B184" s="227"/>
      <c r="C184" s="227"/>
      <c r="D184" s="1"/>
      <c r="E184" s="1"/>
    </row>
    <row r="185" spans="1:5">
      <c r="A185" s="227"/>
      <c r="B185" s="227"/>
      <c r="C185" s="227"/>
      <c r="D185" s="1"/>
      <c r="E185" s="1"/>
    </row>
    <row r="186" spans="1:5">
      <c r="A186" s="227"/>
      <c r="B186" s="227"/>
      <c r="C186" s="227"/>
      <c r="D186" s="1"/>
      <c r="E186" s="1"/>
    </row>
    <row r="187" spans="1:5">
      <c r="A187" s="227"/>
      <c r="B187" s="227"/>
      <c r="C187" s="227"/>
      <c r="D187" s="1"/>
      <c r="E187" s="1"/>
    </row>
    <row r="188" spans="1:5">
      <c r="A188" s="227"/>
      <c r="B188" s="227"/>
      <c r="C188" s="227"/>
      <c r="D188" s="1"/>
      <c r="E188" s="1"/>
    </row>
    <row r="189" spans="1:5">
      <c r="A189" s="227"/>
      <c r="B189" s="227"/>
      <c r="C189" s="227"/>
      <c r="D189" s="1"/>
      <c r="E189" s="1"/>
    </row>
    <row r="190" spans="1:5">
      <c r="A190" s="227"/>
      <c r="B190" s="227"/>
      <c r="C190" s="227"/>
      <c r="D190" s="1"/>
      <c r="E190" s="1"/>
    </row>
    <row r="191" spans="1:5">
      <c r="A191" s="227"/>
      <c r="B191" s="227"/>
      <c r="C191" s="227"/>
      <c r="D191" s="1"/>
      <c r="E191" s="1"/>
    </row>
    <row r="192" spans="1:5">
      <c r="A192" s="227"/>
      <c r="B192" s="227"/>
      <c r="C192" s="227"/>
      <c r="D192" s="1"/>
      <c r="E192" s="1"/>
    </row>
    <row r="193" spans="1:5">
      <c r="A193" s="227"/>
      <c r="B193" s="227"/>
      <c r="C193" s="227"/>
      <c r="D193" s="1"/>
      <c r="E193" s="1"/>
    </row>
    <row r="194" spans="1:5">
      <c r="A194" s="227"/>
      <c r="B194" s="227"/>
      <c r="C194" s="227"/>
      <c r="D194" s="1"/>
      <c r="E194" s="1"/>
    </row>
    <row r="195" spans="1:5">
      <c r="A195" s="227"/>
      <c r="B195" s="227"/>
      <c r="C195" s="227"/>
      <c r="D195" s="1"/>
      <c r="E195" s="1"/>
    </row>
    <row r="196" spans="1:5">
      <c r="A196" s="227"/>
      <c r="B196" s="227"/>
      <c r="C196" s="227"/>
      <c r="D196" s="1"/>
      <c r="E196" s="1"/>
    </row>
    <row r="197" spans="1:5">
      <c r="A197" s="227"/>
      <c r="B197" s="227"/>
      <c r="C197" s="227"/>
      <c r="D197" s="1"/>
      <c r="E197" s="1"/>
    </row>
    <row r="198" spans="1:5">
      <c r="A198" s="227"/>
      <c r="B198" s="227"/>
      <c r="C198" s="227"/>
      <c r="D198" s="1"/>
      <c r="E198" s="1"/>
    </row>
    <row r="199" spans="1:5">
      <c r="A199" s="227"/>
      <c r="B199" s="227"/>
      <c r="C199" s="227"/>
      <c r="D199" s="1"/>
      <c r="E199" s="1"/>
    </row>
    <row r="200" spans="1:5">
      <c r="A200" s="227"/>
      <c r="B200" s="227"/>
      <c r="C200" s="227"/>
      <c r="D200" s="1"/>
      <c r="E2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9"/>
  <dimension ref="A1:E5"/>
  <sheetViews>
    <sheetView showGridLines="0" workbookViewId="0">
      <selection activeCell="E3" sqref="E3"/>
    </sheetView>
  </sheetViews>
  <sheetFormatPr defaultColWidth="9.140625" defaultRowHeight="16.5" customHeight="1"/>
  <cols>
    <col min="1" max="1" width="25" style="115" customWidth="1"/>
    <col min="2" max="4" width="9.140625" style="115"/>
    <col min="5" max="5" width="29" style="115" customWidth="1"/>
    <col min="6" max="16384" width="9.140625" style="115"/>
  </cols>
  <sheetData>
    <row r="1" spans="1:5" ht="12.75" customHeight="1">
      <c r="A1" s="246" t="s">
        <v>290</v>
      </c>
    </row>
    <row r="2" spans="1:5" ht="31.5" customHeight="1">
      <c r="A2" s="232" t="str">
        <f>code128(A4)</f>
        <v>Ì01SÎ</v>
      </c>
      <c r="E2" s="116" t="s">
        <v>128</v>
      </c>
    </row>
    <row r="3" spans="1:5" ht="9" hidden="1" customHeight="1">
      <c r="A3" s="233"/>
    </row>
    <row r="4" spans="1:5" ht="8.25" customHeight="1">
      <c r="A4" s="234" t="s">
        <v>289</v>
      </c>
      <c r="D4" s="231"/>
    </row>
    <row r="5" spans="1:5" ht="12.75" customHeight="1">
      <c r="A5" s="24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0"/>
  <dimension ref="A4:B34"/>
  <sheetViews>
    <sheetView topLeftCell="A3" workbookViewId="0">
      <selection activeCell="E3" sqref="E3"/>
    </sheetView>
  </sheetViews>
  <sheetFormatPr defaultColWidth="29.85546875" defaultRowHeight="78" customHeight="1"/>
  <cols>
    <col min="1" max="3" width="26.5703125" customWidth="1"/>
  </cols>
  <sheetData>
    <row r="4" spans="1:2" s="115" customFormat="1" ht="78" customHeight="1">
      <c r="A4"/>
      <c r="B4"/>
    </row>
    <row r="5" spans="1:2" s="115" customFormat="1" ht="78" customHeight="1">
      <c r="A5"/>
      <c r="B5"/>
    </row>
    <row r="6" spans="1:2" s="115" customFormat="1" ht="78" customHeight="1">
      <c r="A6"/>
      <c r="B6"/>
    </row>
    <row r="7" spans="1:2" s="115" customFormat="1" ht="78" customHeight="1">
      <c r="A7"/>
      <c r="B7"/>
    </row>
    <row r="8" spans="1:2" s="115" customFormat="1" ht="78" customHeight="1">
      <c r="A8"/>
      <c r="B8"/>
    </row>
    <row r="9" spans="1:2" s="115" customFormat="1" ht="78" customHeight="1">
      <c r="A9"/>
      <c r="B9"/>
    </row>
    <row r="10" spans="1:2" s="115" customFormat="1" ht="78" customHeight="1">
      <c r="A10"/>
      <c r="B10"/>
    </row>
    <row r="11" spans="1:2" s="115" customFormat="1" ht="78" customHeight="1">
      <c r="A11"/>
      <c r="B11"/>
    </row>
    <row r="12" spans="1:2" s="115" customFormat="1" ht="78" customHeight="1">
      <c r="A12"/>
      <c r="B12"/>
    </row>
    <row r="13" spans="1:2" s="115" customFormat="1" ht="78" customHeight="1">
      <c r="A13"/>
      <c r="B13"/>
    </row>
    <row r="14" spans="1:2" s="115" customFormat="1" ht="78" customHeight="1">
      <c r="A14"/>
      <c r="B14"/>
    </row>
    <row r="15" spans="1:2" s="115" customFormat="1" ht="78" customHeight="1">
      <c r="A15"/>
      <c r="B15"/>
    </row>
    <row r="16" spans="1:2" s="115" customFormat="1" ht="78" customHeight="1">
      <c r="A16"/>
      <c r="B16"/>
    </row>
    <row r="17" spans="1:2" s="115" customFormat="1" ht="78" customHeight="1">
      <c r="A17"/>
      <c r="B17"/>
    </row>
    <row r="18" spans="1:2" s="115" customFormat="1" ht="78" customHeight="1">
      <c r="A18"/>
      <c r="B18"/>
    </row>
    <row r="19" spans="1:2" s="115" customFormat="1" ht="78" customHeight="1">
      <c r="A19"/>
      <c r="B19"/>
    </row>
    <row r="20" spans="1:2" s="115" customFormat="1" ht="78" customHeight="1">
      <c r="A20"/>
      <c r="B20"/>
    </row>
    <row r="21" spans="1:2" s="115" customFormat="1" ht="78" customHeight="1">
      <c r="A21"/>
      <c r="B21"/>
    </row>
    <row r="22" spans="1:2" s="115" customFormat="1" ht="78" customHeight="1">
      <c r="A22"/>
      <c r="B22"/>
    </row>
    <row r="23" spans="1:2" s="115" customFormat="1" ht="78" customHeight="1">
      <c r="A23"/>
      <c r="B23"/>
    </row>
    <row r="24" spans="1:2" s="115" customFormat="1" ht="78" customHeight="1">
      <c r="A24"/>
      <c r="B24"/>
    </row>
    <row r="25" spans="1:2" s="115" customFormat="1" ht="78" customHeight="1">
      <c r="A25"/>
      <c r="B25"/>
    </row>
    <row r="26" spans="1:2" s="115" customFormat="1" ht="78" customHeight="1">
      <c r="A26"/>
      <c r="B26"/>
    </row>
    <row r="27" spans="1:2" s="115" customFormat="1" ht="78" customHeight="1">
      <c r="A27"/>
      <c r="B27"/>
    </row>
    <row r="28" spans="1:2" s="115" customFormat="1" ht="78" customHeight="1">
      <c r="A28"/>
      <c r="B28"/>
    </row>
    <row r="29" spans="1:2" s="115" customFormat="1" ht="78" customHeight="1">
      <c r="A29"/>
      <c r="B29"/>
    </row>
    <row r="30" spans="1:2" s="115" customFormat="1" ht="78" customHeight="1">
      <c r="A30"/>
      <c r="B30"/>
    </row>
    <row r="31" spans="1:2" s="115" customFormat="1" ht="78" customHeight="1">
      <c r="A31"/>
      <c r="B31"/>
    </row>
    <row r="32" spans="1:2" s="115" customFormat="1" ht="78" customHeight="1">
      <c r="A32"/>
      <c r="B32"/>
    </row>
    <row r="33" spans="1:2" s="115" customFormat="1" ht="78" customHeight="1">
      <c r="A33"/>
      <c r="B33"/>
    </row>
    <row r="34" spans="1:2" s="115" customFormat="1" ht="78" customHeight="1">
      <c r="A34"/>
      <c r="B34"/>
    </row>
  </sheetData>
  <pageMargins left="1.1023622047244095" right="0.51181102362204722" top="0.78740157480314965" bottom="0.78740157480314965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H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6.28515625" style="4" customWidth="1"/>
    <col min="2" max="2" width="13.85546875" style="4" customWidth="1"/>
    <col min="3" max="5" width="14.7109375" style="13" customWidth="1"/>
    <col min="6" max="6" width="11.85546875" style="4" customWidth="1"/>
    <col min="7" max="7" width="13.5703125" style="4" customWidth="1"/>
    <col min="8" max="8" width="46.140625" style="4" customWidth="1"/>
    <col min="9" max="16384" width="9.140625" style="4"/>
  </cols>
  <sheetData>
    <row r="1" spans="1:8">
      <c r="A1" s="89" t="s">
        <v>14</v>
      </c>
      <c r="B1" s="89" t="s">
        <v>6</v>
      </c>
      <c r="C1" s="117" t="s">
        <v>129</v>
      </c>
      <c r="D1" s="117" t="s">
        <v>130</v>
      </c>
      <c r="E1" s="117" t="s">
        <v>131</v>
      </c>
      <c r="F1" s="89" t="s">
        <v>38</v>
      </c>
      <c r="G1" s="89" t="s">
        <v>132</v>
      </c>
      <c r="H1" s="89" t="s">
        <v>292</v>
      </c>
    </row>
    <row r="2" spans="1:8">
      <c r="A2" s="4">
        <f ca="1">IF(ROW()=2,2,INDIRECT(ADDRESS(ROW()-1,COLUMN()))+1)</f>
        <v>2</v>
      </c>
      <c r="B2" s="4" t="s">
        <v>330</v>
      </c>
      <c r="C2" s="13">
        <v>0</v>
      </c>
      <c r="D2" s="13">
        <v>500</v>
      </c>
      <c r="E2" s="13">
        <v>-500</v>
      </c>
      <c r="F2" s="239">
        <v>44081</v>
      </c>
      <c r="G2" s="4" t="s">
        <v>122</v>
      </c>
      <c r="H2" s="4" t="s">
        <v>317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2"/>
  <dimension ref="A1:M1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2"/>
  <cols>
    <col min="1" max="1" width="4.85546875" style="100" customWidth="1"/>
    <col min="2" max="2" width="11.7109375" style="100" customWidth="1"/>
    <col min="3" max="3" width="7.42578125" style="100" customWidth="1"/>
    <col min="4" max="4" width="27.140625" style="100" customWidth="1"/>
    <col min="5" max="5" width="9.140625" style="100"/>
    <col min="6" max="6" width="6.42578125" style="100" customWidth="1"/>
    <col min="7" max="7" width="9.140625" style="100"/>
    <col min="8" max="8" width="33.140625" style="100" customWidth="1"/>
    <col min="9" max="9" width="11" style="102" customWidth="1"/>
    <col min="10" max="10" width="30.42578125" style="100" customWidth="1"/>
    <col min="11" max="13" width="0" style="100" hidden="1" customWidth="1"/>
    <col min="14" max="16384" width="9.140625" style="100"/>
  </cols>
  <sheetData>
    <row r="1" spans="1:13">
      <c r="A1" s="99" t="s">
        <v>14</v>
      </c>
      <c r="B1" s="99" t="s">
        <v>32</v>
      </c>
      <c r="C1" s="99" t="s">
        <v>30</v>
      </c>
      <c r="D1" s="106" t="s">
        <v>15</v>
      </c>
      <c r="E1" s="99" t="s">
        <v>76</v>
      </c>
      <c r="F1" s="99" t="s">
        <v>11</v>
      </c>
      <c r="G1" s="106" t="s">
        <v>34</v>
      </c>
      <c r="H1" s="99" t="s">
        <v>35</v>
      </c>
      <c r="I1" s="101" t="s">
        <v>38</v>
      </c>
      <c r="J1" s="99" t="s">
        <v>133</v>
      </c>
      <c r="L1" s="118" t="s">
        <v>14</v>
      </c>
      <c r="M1" s="99">
        <v>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3">
    <tabColor rgb="FF002060"/>
  </sheetPr>
  <dimension ref="A1:B43"/>
  <sheetViews>
    <sheetView workbookViewId="0">
      <pane ySplit="7" topLeftCell="A8" activePane="bottomLeft" state="frozen"/>
      <selection pane="bottomLeft" activeCell="D29" sqref="D29"/>
    </sheetView>
  </sheetViews>
  <sheetFormatPr defaultRowHeight="13.5"/>
  <cols>
    <col min="1" max="1" width="39.42578125" style="436" customWidth="1"/>
    <col min="2" max="2" width="11.28515625" style="438" bestFit="1" customWidth="1"/>
    <col min="3" max="16384" width="9.140625" style="263"/>
  </cols>
  <sheetData>
    <row r="1" spans="1:2">
      <c r="A1" s="436" t="s">
        <v>158</v>
      </c>
      <c r="B1" s="437"/>
    </row>
    <row r="2" spans="1:2">
      <c r="A2" s="436" t="s">
        <v>144</v>
      </c>
    </row>
    <row r="3" spans="1:2">
      <c r="A3" s="436" t="s">
        <v>142</v>
      </c>
    </row>
    <row r="4" spans="1:2">
      <c r="A4" s="436" t="s">
        <v>143</v>
      </c>
    </row>
    <row r="5" spans="1:2" ht="12.75" customHeight="1">
      <c r="A5" s="436" t="s">
        <v>145</v>
      </c>
    </row>
    <row r="6" spans="1:2" ht="8.25" customHeight="1">
      <c r="A6" s="439" t="s">
        <v>305</v>
      </c>
    </row>
    <row r="7" spans="1:2" ht="15" customHeight="1">
      <c r="A7" s="448" t="s">
        <v>134</v>
      </c>
    </row>
    <row r="8" spans="1:2" ht="8.25" customHeight="1">
      <c r="A8" s="440" t="s">
        <v>305</v>
      </c>
    </row>
    <row r="9" spans="1:2" ht="15" customHeight="1">
      <c r="A9" s="441" t="s">
        <v>135</v>
      </c>
    </row>
    <row r="10" spans="1:2" ht="15" customHeight="1">
      <c r="A10" s="442" t="s">
        <v>109</v>
      </c>
    </row>
    <row r="11" spans="1:2" ht="15" customHeight="1">
      <c r="A11" s="436" t="s">
        <v>305</v>
      </c>
    </row>
    <row r="12" spans="1:2" ht="15" customHeight="1">
      <c r="A12" s="425" t="s">
        <v>137</v>
      </c>
    </row>
    <row r="13" spans="1:2" ht="15" customHeight="1">
      <c r="A13" s="443">
        <v>43253</v>
      </c>
    </row>
    <row r="14" spans="1:2" ht="15" customHeight="1">
      <c r="A14" s="436" t="s">
        <v>305</v>
      </c>
    </row>
    <row r="15" spans="1:2" ht="15" customHeight="1">
      <c r="A15" s="436" t="s">
        <v>136</v>
      </c>
    </row>
    <row r="16" spans="1:2" ht="15" customHeight="1">
      <c r="A16" s="443">
        <v>43223</v>
      </c>
    </row>
    <row r="17" spans="1:1" ht="15" customHeight="1">
      <c r="A17" s="436" t="s">
        <v>305</v>
      </c>
    </row>
    <row r="18" spans="1:1" ht="15" customHeight="1">
      <c r="A18" s="436" t="s">
        <v>138</v>
      </c>
    </row>
    <row r="19" spans="1:1" ht="15" customHeight="1">
      <c r="A19" s="444" t="s">
        <v>12</v>
      </c>
    </row>
    <row r="20" spans="1:1" ht="15" customHeight="1">
      <c r="A20" s="436" t="s">
        <v>305</v>
      </c>
    </row>
    <row r="21" spans="1:1" ht="15" customHeight="1">
      <c r="A21" s="436" t="s">
        <v>139</v>
      </c>
    </row>
    <row r="22" spans="1:1" ht="15" customHeight="1">
      <c r="A22" s="445">
        <v>70</v>
      </c>
    </row>
    <row r="23" spans="1:1" ht="15" customHeight="1">
      <c r="A23" s="436" t="s">
        <v>305</v>
      </c>
    </row>
    <row r="24" spans="1:1" ht="15" customHeight="1">
      <c r="A24" s="446">
        <f ca="1">NOW()</f>
        <v>44114.674698842602</v>
      </c>
    </row>
    <row r="25" spans="1:1" ht="15" customHeight="1">
      <c r="A25" s="446" t="s">
        <v>141</v>
      </c>
    </row>
    <row r="26" spans="1:1" ht="11.25" customHeight="1">
      <c r="A26" s="436" t="s">
        <v>305</v>
      </c>
    </row>
    <row r="27" spans="1:1" ht="15" customHeight="1">
      <c r="A27" s="425" t="s">
        <v>140</v>
      </c>
    </row>
    <row r="28" spans="1:1" ht="15" customHeight="1"/>
    <row r="29" spans="1:1" ht="15" customHeight="1"/>
    <row r="30" spans="1:1" ht="15" customHeight="1"/>
    <row r="31" spans="1:1" ht="15" customHeight="1"/>
    <row r="32" spans="1:1" ht="15" customHeight="1"/>
    <row r="33" spans="1:1" ht="15" customHeight="1"/>
    <row r="34" spans="1:1" ht="15" customHeight="1"/>
    <row r="35" spans="1:1" ht="15" customHeight="1"/>
    <row r="36" spans="1:1" ht="15" customHeight="1">
      <c r="A36" s="447"/>
    </row>
    <row r="37" spans="1:1" ht="15" customHeight="1">
      <c r="A37" s="447"/>
    </row>
    <row r="38" spans="1:1" ht="15" customHeight="1"/>
    <row r="39" spans="1:1" ht="15" customHeight="1"/>
    <row r="40" spans="1:1" ht="15" customHeight="1"/>
    <row r="41" spans="1:1" ht="15" customHeight="1"/>
    <row r="42" spans="1:1" ht="15" customHeight="1"/>
    <row r="43" spans="1:1" ht="15" customHeight="1"/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VOLTAR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466725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4"/>
  <dimension ref="A1:M2"/>
  <sheetViews>
    <sheetView workbookViewId="0">
      <selection activeCell="A2" sqref="A2:K1000000"/>
    </sheetView>
  </sheetViews>
  <sheetFormatPr defaultRowHeight="15" customHeight="1"/>
  <cols>
    <col min="1" max="1" width="5.28515625" style="70" customWidth="1"/>
    <col min="2" max="2" width="5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15.71093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9.140625" style="70"/>
    <col min="13" max="13" width="9.140625" style="122"/>
    <col min="14" max="16384" width="9.140625" style="70"/>
  </cols>
  <sheetData>
    <row r="1" spans="1:13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8</v>
      </c>
      <c r="H1" s="17" t="s">
        <v>35</v>
      </c>
      <c r="I1" s="19" t="s">
        <v>78</v>
      </c>
      <c r="J1" s="20" t="s">
        <v>77</v>
      </c>
      <c r="K1" s="17" t="s">
        <v>79</v>
      </c>
      <c r="M1" s="76"/>
    </row>
    <row r="2" spans="1:13" ht="15" customHeight="1">
      <c r="A2" s="70">
        <f ca="1">IF(ROW()=2,2,INDIRECT(ADDRESS(ROW()-1,COLUMN()))+1)</f>
        <v>2</v>
      </c>
      <c r="B2" s="70">
        <v>1</v>
      </c>
      <c r="C2" s="73">
        <v>43528</v>
      </c>
      <c r="D2" s="71">
        <v>10</v>
      </c>
      <c r="E2" s="71">
        <v>10</v>
      </c>
      <c r="F2" s="73">
        <v>43498</v>
      </c>
      <c r="G2" s="71" t="s">
        <v>146</v>
      </c>
      <c r="H2" s="70" t="s">
        <v>107</v>
      </c>
      <c r="J2" s="71">
        <v>0</v>
      </c>
      <c r="K2" s="70" t="str">
        <f ca="1">IF(E2="","",IF(J2&gt;=E2,"Parcela Quitada",IF(J2&gt;0,"Pag Parcial",IF(C2-TODAY()&lt;0,"Vencida",IF(C2-TODAY()&lt;8,"Próximos dias",IF(C2-TODAY()&gt;0,"Dentro do Prazo",IF(J2="","","")))))))</f>
        <v>Vencida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5"/>
  <dimension ref="A1:L26"/>
  <sheetViews>
    <sheetView showGridLines="0" topLeftCell="B1" workbookViewId="0">
      <selection activeCell="E3" sqref="E3"/>
    </sheetView>
  </sheetViews>
  <sheetFormatPr defaultRowHeight="13.5"/>
  <cols>
    <col min="1" max="1" width="6.140625" style="127" hidden="1" customWidth="1"/>
    <col min="2" max="2" width="4.85546875" style="127" customWidth="1"/>
    <col min="3" max="3" width="14.7109375" style="127" customWidth="1"/>
    <col min="4" max="4" width="10" style="128" customWidth="1"/>
    <col min="5" max="5" width="10.42578125" style="128" customWidth="1"/>
    <col min="6" max="6" width="32.42578125" style="127" customWidth="1"/>
    <col min="7" max="7" width="12.5703125" style="127" customWidth="1"/>
    <col min="8" max="8" width="19" style="134" customWidth="1"/>
    <col min="9" max="9" width="20.140625" style="127" customWidth="1"/>
    <col min="10" max="10" width="14.5703125" style="128" customWidth="1"/>
    <col min="11" max="11" width="18.42578125" style="127" bestFit="1" customWidth="1"/>
    <col min="12" max="12" width="15.5703125" style="127" hidden="1" customWidth="1"/>
    <col min="13" max="16384" width="9.140625" style="127"/>
  </cols>
  <sheetData>
    <row r="1" spans="1:12" ht="15.75">
      <c r="B1" s="497">
        <f ca="1">TODAY()</f>
        <v>44114</v>
      </c>
      <c r="C1" s="497"/>
      <c r="D1" s="497"/>
      <c r="E1" s="497"/>
      <c r="F1" s="497"/>
      <c r="G1" s="149"/>
      <c r="H1" s="154" t="s">
        <v>141</v>
      </c>
      <c r="I1" s="150"/>
      <c r="L1" s="129">
        <f>SUMIF(ATATUS_PARCELAS,H1,VALORR_PAGO)</f>
        <v>0</v>
      </c>
    </row>
    <row r="2" spans="1:12" ht="15.75">
      <c r="B2" s="498">
        <f ca="1">NOW()</f>
        <v>44114.674698842602</v>
      </c>
      <c r="C2" s="498"/>
      <c r="D2" s="498"/>
      <c r="E2" s="498"/>
      <c r="F2" s="498"/>
      <c r="G2" s="149"/>
      <c r="H2" s="153" t="s">
        <v>148</v>
      </c>
      <c r="L2" s="150">
        <f>SUMIF(ATATUS_PARCELAS,H2,PARCELAS)</f>
        <v>0</v>
      </c>
    </row>
    <row r="3" spans="1:12" ht="15">
      <c r="B3" s="136"/>
      <c r="C3" s="136"/>
      <c r="D3" s="137"/>
      <c r="E3" s="137"/>
      <c r="F3" s="136"/>
      <c r="G3" s="151"/>
      <c r="H3" s="154" t="s">
        <v>149</v>
      </c>
      <c r="L3" s="150">
        <f>SUMIF(ATATUS_PARCELAS,H3,PARCELAS)</f>
        <v>0</v>
      </c>
    </row>
    <row r="4" spans="1:12" ht="15">
      <c r="B4" s="136"/>
      <c r="C4" s="136"/>
      <c r="D4" s="137"/>
      <c r="E4" s="137"/>
      <c r="F4" s="136"/>
      <c r="G4" s="151"/>
      <c r="H4" s="154" t="s">
        <v>150</v>
      </c>
      <c r="L4" s="150">
        <f>SUMIF(ATATUS_PARCELAS,H4,VALORR_PAGO)</f>
        <v>0</v>
      </c>
    </row>
    <row r="5" spans="1:12" ht="15">
      <c r="B5" s="151"/>
      <c r="C5" s="151"/>
      <c r="D5" s="152"/>
      <c r="E5" s="152"/>
      <c r="F5" s="151"/>
      <c r="G5" s="151"/>
      <c r="H5" s="154" t="s">
        <v>152</v>
      </c>
      <c r="L5" s="150">
        <f>SUMIF(VALORR_PAGO,H5,PARCELAS)</f>
        <v>0</v>
      </c>
    </row>
    <row r="6" spans="1:12" ht="17.25" customHeight="1">
      <c r="A6" s="147"/>
      <c r="B6" s="148"/>
      <c r="C6" s="148"/>
      <c r="D6" s="148"/>
      <c r="E6" s="148"/>
      <c r="F6" s="148"/>
      <c r="G6" s="148"/>
      <c r="H6" s="165" t="s">
        <v>155</v>
      </c>
      <c r="L6" s="166">
        <f>SUM(E11:E110000)</f>
        <v>0</v>
      </c>
    </row>
    <row r="7" spans="1:12">
      <c r="A7" s="494" t="s">
        <v>151</v>
      </c>
      <c r="B7" s="495"/>
      <c r="C7" s="495"/>
      <c r="D7" s="495"/>
      <c r="E7" s="495"/>
      <c r="F7" s="495"/>
      <c r="G7" s="495"/>
      <c r="H7" s="495"/>
      <c r="I7" s="495"/>
      <c r="K7" s="149"/>
      <c r="L7" s="149"/>
    </row>
    <row r="8" spans="1:12">
      <c r="A8" s="496"/>
      <c r="B8" s="496"/>
      <c r="C8" s="496"/>
      <c r="D8" s="496"/>
      <c r="E8" s="496"/>
      <c r="F8" s="496"/>
      <c r="G8" s="496"/>
      <c r="H8" s="496"/>
      <c r="I8" s="496"/>
    </row>
    <row r="9" spans="1:12">
      <c r="A9" s="130" t="s">
        <v>30</v>
      </c>
      <c r="B9" s="139" t="s">
        <v>84</v>
      </c>
      <c r="C9" s="139" t="s">
        <v>75</v>
      </c>
      <c r="D9" s="140" t="s">
        <v>34</v>
      </c>
      <c r="E9" s="140" t="s">
        <v>63</v>
      </c>
      <c r="F9" s="139" t="s">
        <v>35</v>
      </c>
      <c r="G9" s="139" t="s">
        <v>78</v>
      </c>
      <c r="H9" s="141" t="s">
        <v>77</v>
      </c>
      <c r="I9" s="139" t="s">
        <v>79</v>
      </c>
    </row>
    <row r="10" spans="1:12" hidden="1">
      <c r="A10" s="127" t="s">
        <v>30</v>
      </c>
      <c r="B10" s="130" t="s">
        <v>84</v>
      </c>
      <c r="C10" s="138" t="s">
        <v>75</v>
      </c>
      <c r="D10" s="131" t="s">
        <v>34</v>
      </c>
      <c r="E10" s="131" t="s">
        <v>63</v>
      </c>
      <c r="F10" s="138" t="s">
        <v>35</v>
      </c>
      <c r="G10" s="138" t="s">
        <v>78</v>
      </c>
      <c r="H10" s="135" t="s">
        <v>77</v>
      </c>
      <c r="I10" s="138" t="s">
        <v>79</v>
      </c>
    </row>
    <row r="11" spans="1:12">
      <c r="C11" s="132"/>
      <c r="F11" s="132"/>
      <c r="G11" s="132"/>
      <c r="I11" s="132"/>
    </row>
    <row r="12" spans="1:12">
      <c r="C12" s="132"/>
      <c r="F12" s="132"/>
      <c r="G12" s="132"/>
      <c r="I12" s="132"/>
    </row>
    <row r="13" spans="1:12">
      <c r="C13" s="132"/>
      <c r="F13" s="132"/>
      <c r="G13" s="132"/>
      <c r="I13" s="133"/>
    </row>
    <row r="14" spans="1:12">
      <c r="C14" s="132"/>
      <c r="F14" s="132"/>
      <c r="G14" s="132"/>
    </row>
    <row r="15" spans="1:12">
      <c r="C15" s="132"/>
      <c r="F15" s="132"/>
    </row>
    <row r="16" spans="1:12">
      <c r="C16" s="132"/>
      <c r="F16" s="132"/>
      <c r="I16" s="133"/>
    </row>
    <row r="17" spans="3:9">
      <c r="C17" s="132"/>
      <c r="F17" s="132"/>
    </row>
    <row r="18" spans="3:9">
      <c r="C18" s="132"/>
      <c r="F18" s="132"/>
      <c r="G18" s="132"/>
      <c r="I18" s="132"/>
    </row>
    <row r="19" spans="3:9">
      <c r="C19" s="132"/>
      <c r="F19" s="132"/>
      <c r="G19" s="132"/>
    </row>
    <row r="20" spans="3:9">
      <c r="C20" s="132"/>
      <c r="F20" s="132"/>
    </row>
    <row r="21" spans="3:9">
      <c r="C21" s="132"/>
      <c r="F21" s="132"/>
    </row>
    <row r="22" spans="3:9">
      <c r="C22" s="132"/>
      <c r="F22" s="132"/>
    </row>
    <row r="23" spans="3:9">
      <c r="C23" s="132"/>
      <c r="F23" s="132"/>
    </row>
    <row r="24" spans="3:9">
      <c r="C24" s="132"/>
      <c r="F24" s="132"/>
    </row>
    <row r="25" spans="3:9">
      <c r="C25" s="132"/>
      <c r="F25" s="132"/>
    </row>
    <row r="26" spans="3:9">
      <c r="C26" s="132"/>
    </row>
  </sheetData>
  <mergeCells count="3">
    <mergeCell ref="A7:I8"/>
    <mergeCell ref="B1:F1"/>
    <mergeCell ref="B2:F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30"/>
  <dimension ref="A1:P15"/>
  <sheetViews>
    <sheetView workbookViewId="0">
      <selection activeCell="D1" sqref="D1:G1"/>
    </sheetView>
  </sheetViews>
  <sheetFormatPr defaultRowHeight="12.75"/>
  <cols>
    <col min="1" max="1" width="2.28515625" style="167" customWidth="1"/>
    <col min="2" max="2" width="8.7109375" style="167" customWidth="1"/>
    <col min="3" max="3" width="15.5703125" style="167" customWidth="1"/>
    <col min="4" max="4" width="17" style="167" customWidth="1"/>
    <col min="5" max="5" width="14" style="167" customWidth="1"/>
    <col min="6" max="6" width="13.42578125" style="167" customWidth="1"/>
    <col min="7" max="7" width="12.85546875" style="167" customWidth="1"/>
    <col min="8" max="8" width="7.42578125" style="167" customWidth="1"/>
    <col min="9" max="9" width="17.42578125" style="235" customWidth="1"/>
    <col min="10" max="10" width="12.140625" style="235" customWidth="1"/>
    <col min="11" max="11" width="17.42578125" style="235" customWidth="1"/>
    <col min="12" max="12" width="4" style="167" customWidth="1"/>
    <col min="13" max="13" width="25.140625" style="167" customWidth="1"/>
    <col min="14" max="14" width="12.28515625" style="167" bestFit="1" customWidth="1"/>
    <col min="15" max="15" width="9.140625" style="167"/>
    <col min="16" max="16" width="19.7109375" style="167" customWidth="1"/>
    <col min="17" max="16384" width="9.140625" style="167"/>
  </cols>
  <sheetData>
    <row r="1" spans="1:16" ht="24.75" customHeight="1" thickBot="1">
      <c r="A1" s="167">
        <v>0</v>
      </c>
      <c r="B1" s="176" t="s">
        <v>41</v>
      </c>
      <c r="C1" s="188">
        <v>2019</v>
      </c>
      <c r="D1" s="504"/>
      <c r="E1" s="505"/>
      <c r="F1" s="505"/>
      <c r="G1" s="506"/>
      <c r="H1" s="167">
        <v>0</v>
      </c>
      <c r="I1" s="368"/>
      <c r="J1" s="369"/>
      <c r="K1" s="370">
        <v>43438</v>
      </c>
      <c r="M1" s="286" t="s">
        <v>259</v>
      </c>
      <c r="N1" s="287" t="s">
        <v>260</v>
      </c>
      <c r="O1" s="287" t="s">
        <v>42</v>
      </c>
      <c r="P1" s="288" t="s">
        <v>228</v>
      </c>
    </row>
    <row r="2" spans="1:16" ht="15.75" customHeight="1" thickBot="1">
      <c r="A2" s="167">
        <v>0</v>
      </c>
      <c r="B2" s="182" t="s">
        <v>174</v>
      </c>
      <c r="C2" s="183" t="s">
        <v>42</v>
      </c>
      <c r="D2" s="183" t="s">
        <v>34</v>
      </c>
      <c r="E2" s="183" t="s">
        <v>9</v>
      </c>
      <c r="F2" s="183" t="s">
        <v>175</v>
      </c>
      <c r="G2" s="184" t="s">
        <v>40</v>
      </c>
      <c r="H2" s="167">
        <v>0</v>
      </c>
      <c r="I2" s="371" t="s">
        <v>177</v>
      </c>
      <c r="J2" s="372" t="s">
        <v>9</v>
      </c>
      <c r="K2" s="373" t="s">
        <v>40</v>
      </c>
      <c r="M2" s="285" t="s">
        <v>122</v>
      </c>
      <c r="N2" s="509">
        <v>0.05</v>
      </c>
      <c r="O2" s="512">
        <v>5</v>
      </c>
      <c r="P2" s="499" t="s">
        <v>4</v>
      </c>
    </row>
    <row r="3" spans="1:16" ht="12.75" customHeight="1">
      <c r="A3" s="167">
        <v>0</v>
      </c>
      <c r="B3" s="177">
        <v>1</v>
      </c>
      <c r="C3" s="178" t="s">
        <v>162</v>
      </c>
      <c r="D3" s="179">
        <f>SUMIFS(TOTAL_RESUMO,CONDIÇÃO_MES,B3,CONDIÇÃO_ANO,C$1)</f>
        <v>0</v>
      </c>
      <c r="E3" s="180">
        <f t="shared" ref="E3:E14" si="0">SUMIFS(TOTAL_DESCONTO,CONDIÇÃO_MES,B3,CONDIÇÃO_ANO,C$1)</f>
        <v>0</v>
      </c>
      <c r="F3" s="179">
        <f t="shared" ref="F3:F14" si="1">SUMIFS(CONDIÇÃO_TOTAL,CONDIÇÃO_MES,B3,CONDIÇÃO_ANO,C$1)</f>
        <v>0</v>
      </c>
      <c r="G3" s="181">
        <f t="shared" ref="G3:G13" si="2">SUMIFS(TOTAL_LUCRO,TOTAL_MES,B3,TOTAL_ANO,C$1)-E3</f>
        <v>0</v>
      </c>
      <c r="H3" s="167">
        <v>0</v>
      </c>
      <c r="I3" s="375">
        <f t="shared" ref="I3:I14" si="3">SUMIFS(CONDIÇÃO_TOTAL,CONDIÇÃO_MES,B3,CONDIÇÃO_ANO,C$1,CONDIÇÃO_DATA,K$1)</f>
        <v>0</v>
      </c>
      <c r="J3" s="376">
        <f t="shared" ref="J3" si="4">SUMIFS(TOTAL_DESCONTO,TOTAL_MES,B3,TOTAL_ANO,C$1,DATA,K$1)</f>
        <v>0</v>
      </c>
      <c r="K3" s="374">
        <f>SUMIFS(TOTAL_LUCRO,TOTAL_MES,B3,TOTAL_ANO,C$1,DATA,K$1)</f>
        <v>0</v>
      </c>
      <c r="M3" s="507">
        <f>SUMIFS(CONDIÇÃO_TOTAL,CONDIÇÃO_MES,O2,AT,M2,CODIÇÃO_PAGAMENTO,P2)</f>
        <v>0</v>
      </c>
      <c r="N3" s="510"/>
      <c r="O3" s="513"/>
      <c r="P3" s="500"/>
    </row>
    <row r="4" spans="1:16" ht="13.5" customHeight="1" thickBot="1">
      <c r="A4" s="167">
        <v>0</v>
      </c>
      <c r="B4" s="174">
        <v>2</v>
      </c>
      <c r="C4" s="169" t="s">
        <v>163</v>
      </c>
      <c r="D4" s="179">
        <f t="shared" ref="D4:D14" si="5">SUMIFS(TOTAL_RESUMO,CONDIÇÃO_MES,B4,CONDIÇÃO_ANO,C$1)</f>
        <v>0</v>
      </c>
      <c r="E4" s="180">
        <f t="shared" si="0"/>
        <v>0</v>
      </c>
      <c r="F4" s="179">
        <f t="shared" si="1"/>
        <v>0</v>
      </c>
      <c r="G4" s="181">
        <f t="shared" si="2"/>
        <v>0</v>
      </c>
      <c r="H4" s="167">
        <v>1</v>
      </c>
      <c r="I4" s="375">
        <f t="shared" si="3"/>
        <v>0</v>
      </c>
      <c r="J4" s="376">
        <f t="shared" ref="J4:J14" si="6">SUMIFS(TOTAL_DESCONTO,TOTAL_MES,B4,TOTAL_ANO,C$1,DATA,K$1)</f>
        <v>0</v>
      </c>
      <c r="K4" s="374">
        <f t="shared" ref="K4:K14" si="7">SUMIFS(TOTAL_LUCRO,TOTAL_MES,B4,TOTAL_ANO,C$1,DATA,K$1)-J4</f>
        <v>0</v>
      </c>
      <c r="M4" s="508"/>
      <c r="N4" s="511"/>
      <c r="O4" s="514"/>
      <c r="P4" s="501"/>
    </row>
    <row r="5" spans="1:16" ht="13.5" thickBot="1">
      <c r="A5" s="167">
        <v>0</v>
      </c>
      <c r="B5" s="174">
        <v>3</v>
      </c>
      <c r="C5" s="169" t="s">
        <v>164</v>
      </c>
      <c r="D5" s="179">
        <f t="shared" si="5"/>
        <v>0</v>
      </c>
      <c r="E5" s="180">
        <f t="shared" si="0"/>
        <v>0</v>
      </c>
      <c r="F5" s="179">
        <f t="shared" si="1"/>
        <v>0</v>
      </c>
      <c r="G5" s="181">
        <f t="shared" si="2"/>
        <v>0</v>
      </c>
      <c r="H5" s="167">
        <v>2</v>
      </c>
      <c r="I5" s="375">
        <f t="shared" si="3"/>
        <v>0</v>
      </c>
      <c r="J5" s="376">
        <f t="shared" si="6"/>
        <v>0</v>
      </c>
      <c r="K5" s="374">
        <f t="shared" si="7"/>
        <v>0</v>
      </c>
    </row>
    <row r="6" spans="1:16">
      <c r="A6" s="167">
        <v>0</v>
      </c>
      <c r="B6" s="174">
        <v>4</v>
      </c>
      <c r="C6" s="169" t="s">
        <v>165</v>
      </c>
      <c r="D6" s="179">
        <f t="shared" si="5"/>
        <v>0</v>
      </c>
      <c r="E6" s="180">
        <f t="shared" si="0"/>
        <v>0</v>
      </c>
      <c r="F6" s="179">
        <f t="shared" si="1"/>
        <v>0</v>
      </c>
      <c r="G6" s="181">
        <f t="shared" si="2"/>
        <v>0</v>
      </c>
      <c r="H6" s="167">
        <v>3</v>
      </c>
      <c r="I6" s="375">
        <f t="shared" si="3"/>
        <v>0</v>
      </c>
      <c r="J6" s="376">
        <f t="shared" si="6"/>
        <v>0</v>
      </c>
      <c r="K6" s="374">
        <f t="shared" si="7"/>
        <v>0</v>
      </c>
      <c r="M6" s="515">
        <f>M3-N2*M3</f>
        <v>0</v>
      </c>
    </row>
    <row r="7" spans="1:16" ht="13.5" thickBot="1">
      <c r="A7" s="167">
        <v>0</v>
      </c>
      <c r="B7" s="174">
        <v>5</v>
      </c>
      <c r="C7" s="169" t="s">
        <v>166</v>
      </c>
      <c r="D7" s="179">
        <f t="shared" si="5"/>
        <v>0</v>
      </c>
      <c r="E7" s="180">
        <f t="shared" si="0"/>
        <v>0</v>
      </c>
      <c r="F7" s="179">
        <f t="shared" si="1"/>
        <v>0</v>
      </c>
      <c r="G7" s="181">
        <f t="shared" si="2"/>
        <v>0</v>
      </c>
      <c r="H7" s="167">
        <v>4</v>
      </c>
      <c r="I7" s="375">
        <f t="shared" si="3"/>
        <v>0</v>
      </c>
      <c r="J7" s="376">
        <f t="shared" si="6"/>
        <v>0</v>
      </c>
      <c r="K7" s="374">
        <f t="shared" si="7"/>
        <v>0</v>
      </c>
      <c r="M7" s="516"/>
    </row>
    <row r="8" spans="1:16" ht="13.5" thickBot="1">
      <c r="A8" s="167">
        <v>0</v>
      </c>
      <c r="B8" s="174">
        <v>6</v>
      </c>
      <c r="C8" s="169" t="s">
        <v>167</v>
      </c>
      <c r="D8" s="179">
        <f t="shared" si="5"/>
        <v>0</v>
      </c>
      <c r="E8" s="180">
        <f t="shared" si="0"/>
        <v>0</v>
      </c>
      <c r="F8" s="179">
        <f t="shared" si="1"/>
        <v>0</v>
      </c>
      <c r="G8" s="181">
        <f t="shared" si="2"/>
        <v>0</v>
      </c>
      <c r="H8" s="167">
        <v>5</v>
      </c>
      <c r="I8" s="375">
        <f t="shared" si="3"/>
        <v>0</v>
      </c>
      <c r="J8" s="376">
        <f t="shared" si="6"/>
        <v>0</v>
      </c>
      <c r="K8" s="374">
        <f t="shared" si="7"/>
        <v>0</v>
      </c>
    </row>
    <row r="9" spans="1:16">
      <c r="A9" s="167">
        <v>0</v>
      </c>
      <c r="B9" s="174">
        <v>7</v>
      </c>
      <c r="C9" s="169" t="s">
        <v>168</v>
      </c>
      <c r="D9" s="179">
        <f t="shared" si="5"/>
        <v>0</v>
      </c>
      <c r="E9" s="180">
        <f t="shared" si="0"/>
        <v>0</v>
      </c>
      <c r="F9" s="179">
        <f t="shared" si="1"/>
        <v>0</v>
      </c>
      <c r="G9" s="181">
        <f t="shared" si="2"/>
        <v>0</v>
      </c>
      <c r="H9" s="167">
        <v>6</v>
      </c>
      <c r="I9" s="375">
        <f t="shared" si="3"/>
        <v>0</v>
      </c>
      <c r="J9" s="376">
        <f t="shared" si="6"/>
        <v>0</v>
      </c>
      <c r="K9" s="374">
        <f t="shared" si="7"/>
        <v>0</v>
      </c>
      <c r="M9" s="517">
        <f>M3-M6</f>
        <v>0</v>
      </c>
    </row>
    <row r="10" spans="1:16" ht="13.5" thickBot="1">
      <c r="A10" s="167">
        <v>0</v>
      </c>
      <c r="B10" s="174">
        <v>8</v>
      </c>
      <c r="C10" s="169" t="s">
        <v>169</v>
      </c>
      <c r="D10" s="179">
        <f t="shared" si="5"/>
        <v>0</v>
      </c>
      <c r="E10" s="180">
        <f t="shared" si="0"/>
        <v>0</v>
      </c>
      <c r="F10" s="179">
        <f t="shared" si="1"/>
        <v>0</v>
      </c>
      <c r="G10" s="181">
        <f t="shared" si="2"/>
        <v>0</v>
      </c>
      <c r="H10" s="167">
        <v>7</v>
      </c>
      <c r="I10" s="375">
        <f t="shared" si="3"/>
        <v>0</v>
      </c>
      <c r="J10" s="376">
        <f t="shared" si="6"/>
        <v>0</v>
      </c>
      <c r="K10" s="374">
        <f t="shared" si="7"/>
        <v>0</v>
      </c>
      <c r="M10" s="518"/>
    </row>
    <row r="11" spans="1:16">
      <c r="A11" s="167">
        <v>0</v>
      </c>
      <c r="B11" s="174">
        <v>9</v>
      </c>
      <c r="C11" s="169" t="s">
        <v>170</v>
      </c>
      <c r="D11" s="179">
        <f t="shared" si="5"/>
        <v>0</v>
      </c>
      <c r="E11" s="180">
        <f t="shared" si="0"/>
        <v>0</v>
      </c>
      <c r="F11" s="179">
        <f t="shared" si="1"/>
        <v>0</v>
      </c>
      <c r="G11" s="181">
        <f t="shared" si="2"/>
        <v>0</v>
      </c>
      <c r="H11" s="167">
        <v>8</v>
      </c>
      <c r="I11" s="375">
        <f t="shared" si="3"/>
        <v>0</v>
      </c>
      <c r="J11" s="376">
        <f t="shared" si="6"/>
        <v>0</v>
      </c>
      <c r="K11" s="374">
        <f t="shared" si="7"/>
        <v>0</v>
      </c>
    </row>
    <row r="12" spans="1:16">
      <c r="A12" s="167">
        <v>0</v>
      </c>
      <c r="B12" s="174">
        <v>10</v>
      </c>
      <c r="C12" s="169" t="s">
        <v>171</v>
      </c>
      <c r="D12" s="179">
        <f t="shared" si="5"/>
        <v>0</v>
      </c>
      <c r="E12" s="180">
        <f t="shared" si="0"/>
        <v>0</v>
      </c>
      <c r="F12" s="179">
        <f t="shared" si="1"/>
        <v>0</v>
      </c>
      <c r="G12" s="181">
        <f t="shared" si="2"/>
        <v>0</v>
      </c>
      <c r="H12" s="167">
        <v>9</v>
      </c>
      <c r="I12" s="375">
        <f t="shared" si="3"/>
        <v>0</v>
      </c>
      <c r="J12" s="376">
        <f t="shared" si="6"/>
        <v>0</v>
      </c>
      <c r="K12" s="374">
        <f t="shared" si="7"/>
        <v>0</v>
      </c>
    </row>
    <row r="13" spans="1:16">
      <c r="A13" s="167">
        <v>0</v>
      </c>
      <c r="B13" s="174">
        <v>11</v>
      </c>
      <c r="C13" s="169" t="s">
        <v>172</v>
      </c>
      <c r="D13" s="179">
        <f t="shared" si="5"/>
        <v>0</v>
      </c>
      <c r="E13" s="180">
        <f t="shared" si="0"/>
        <v>0</v>
      </c>
      <c r="F13" s="179">
        <f t="shared" si="1"/>
        <v>0</v>
      </c>
      <c r="G13" s="181">
        <f t="shared" si="2"/>
        <v>0</v>
      </c>
      <c r="H13" s="167">
        <v>10</v>
      </c>
      <c r="I13" s="375">
        <f t="shared" si="3"/>
        <v>0</v>
      </c>
      <c r="J13" s="376">
        <f t="shared" si="6"/>
        <v>0</v>
      </c>
      <c r="K13" s="374">
        <f t="shared" si="7"/>
        <v>0</v>
      </c>
      <c r="L13" s="168"/>
    </row>
    <row r="14" spans="1:16" ht="13.5" thickBot="1">
      <c r="A14" s="167">
        <v>0</v>
      </c>
      <c r="B14" s="175">
        <v>12</v>
      </c>
      <c r="C14" s="171" t="s">
        <v>173</v>
      </c>
      <c r="D14" s="179">
        <f t="shared" si="5"/>
        <v>0</v>
      </c>
      <c r="E14" s="180">
        <f t="shared" si="0"/>
        <v>0</v>
      </c>
      <c r="F14" s="179">
        <f t="shared" si="1"/>
        <v>0</v>
      </c>
      <c r="G14" s="181">
        <f>SUMIFS(TOTAL_LUCRO,TOTAL_MES,B14,TOTAL_ANO,C$1)-E14</f>
        <v>0</v>
      </c>
      <c r="H14" s="167">
        <v>11</v>
      </c>
      <c r="I14" s="375">
        <f t="shared" si="3"/>
        <v>0</v>
      </c>
      <c r="J14" s="376">
        <f t="shared" si="6"/>
        <v>0</v>
      </c>
      <c r="K14" s="374">
        <f t="shared" si="7"/>
        <v>0</v>
      </c>
    </row>
    <row r="15" spans="1:16" s="170" customFormat="1" ht="24.75" customHeight="1" thickBot="1">
      <c r="A15" s="167"/>
      <c r="B15" s="502" t="s">
        <v>176</v>
      </c>
      <c r="C15" s="503"/>
      <c r="D15" s="172">
        <f>SUM(D3:D14)</f>
        <v>0</v>
      </c>
      <c r="E15" s="172">
        <f>SUM(E3:E14)</f>
        <v>0</v>
      </c>
      <c r="F15" s="172">
        <f>SUM(F3:F14)</f>
        <v>0</v>
      </c>
      <c r="G15" s="173">
        <f>SUM(G3:G14)</f>
        <v>0</v>
      </c>
      <c r="H15" s="167">
        <v>0</v>
      </c>
      <c r="I15" s="377">
        <f>SUM(I3:I14)</f>
        <v>0</v>
      </c>
      <c r="J15" s="378">
        <f>SUM(J3:J14)</f>
        <v>0</v>
      </c>
      <c r="K15" s="379">
        <f>SUM(K3:K14)</f>
        <v>0</v>
      </c>
    </row>
  </sheetData>
  <mergeCells count="8">
    <mergeCell ref="P2:P4"/>
    <mergeCell ref="B15:C15"/>
    <mergeCell ref="D1:G1"/>
    <mergeCell ref="M3:M4"/>
    <mergeCell ref="N2:N4"/>
    <mergeCell ref="O2:O4"/>
    <mergeCell ref="M6:M7"/>
    <mergeCell ref="M9:M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6"/>
  <dimension ref="A1:I62"/>
  <sheetViews>
    <sheetView workbookViewId="0">
      <selection activeCell="A3" sqref="A3:I3"/>
    </sheetView>
  </sheetViews>
  <sheetFormatPr defaultRowHeight="13.5"/>
  <cols>
    <col min="1" max="1" width="7.28515625" style="127" customWidth="1"/>
    <col min="2" max="2" width="31.7109375" style="127" customWidth="1"/>
    <col min="3" max="3" width="19.5703125" style="127" customWidth="1"/>
    <col min="4" max="4" width="16.140625" style="127" customWidth="1"/>
    <col min="5" max="5" width="12.5703125" style="128" customWidth="1"/>
    <col min="6" max="6" width="12.42578125" style="128" customWidth="1"/>
    <col min="7" max="7" width="13.42578125" style="128" customWidth="1"/>
    <col min="8" max="8" width="12.7109375" style="127" customWidth="1"/>
    <col min="9" max="9" width="7.28515625" style="127" customWidth="1"/>
    <col min="10" max="16384" width="9.140625" style="127"/>
  </cols>
  <sheetData>
    <row r="1" spans="1:9">
      <c r="A1" s="521">
        <f ca="1">TODAY()</f>
        <v>44114</v>
      </c>
      <c r="B1" s="521"/>
      <c r="C1" s="521"/>
      <c r="D1" s="142"/>
      <c r="E1" s="143"/>
      <c r="F1" s="143"/>
      <c r="G1" s="143"/>
      <c r="H1" s="142"/>
      <c r="I1" s="142"/>
    </row>
    <row r="2" spans="1:9" ht="18" customHeight="1">
      <c r="A2" s="522">
        <f ca="1">NOW()</f>
        <v>44114.674698842602</v>
      </c>
      <c r="B2" s="522"/>
      <c r="C2" s="130"/>
      <c r="F2" s="146" t="s">
        <v>34</v>
      </c>
      <c r="G2" s="520">
        <f>SUM(G5:G999998)</f>
        <v>0</v>
      </c>
      <c r="H2" s="520"/>
      <c r="I2" s="520"/>
    </row>
    <row r="3" spans="1:9" ht="24.75" customHeight="1">
      <c r="A3" s="519" t="s">
        <v>154</v>
      </c>
      <c r="B3" s="519"/>
      <c r="C3" s="519"/>
      <c r="D3" s="519"/>
      <c r="E3" s="519"/>
      <c r="F3" s="519"/>
      <c r="G3" s="519"/>
      <c r="H3" s="519"/>
      <c r="I3" s="519"/>
    </row>
    <row r="4" spans="1:9">
      <c r="A4" s="144" t="s">
        <v>14</v>
      </c>
      <c r="B4" s="144" t="s">
        <v>35</v>
      </c>
      <c r="C4" s="144" t="s">
        <v>36</v>
      </c>
      <c r="D4" s="144" t="s">
        <v>37</v>
      </c>
      <c r="E4" s="145" t="s">
        <v>34</v>
      </c>
      <c r="F4" s="145" t="s">
        <v>8</v>
      </c>
      <c r="G4" s="145" t="s">
        <v>68</v>
      </c>
      <c r="H4" s="144" t="s">
        <v>38</v>
      </c>
      <c r="I4" s="144" t="s">
        <v>42</v>
      </c>
    </row>
    <row r="5" spans="1:9">
      <c r="H5" s="132"/>
    </row>
    <row r="6" spans="1:9">
      <c r="H6" s="132"/>
    </row>
    <row r="7" spans="1:9">
      <c r="H7" s="132"/>
    </row>
    <row r="8" spans="1:9">
      <c r="H8" s="132"/>
    </row>
    <row r="9" spans="1:9">
      <c r="H9" s="132"/>
    </row>
    <row r="10" spans="1:9">
      <c r="H10" s="132"/>
    </row>
    <row r="11" spans="1:9">
      <c r="H11" s="132"/>
    </row>
    <row r="12" spans="1:9">
      <c r="H12" s="132"/>
    </row>
    <row r="13" spans="1:9">
      <c r="H13" s="132"/>
    </row>
    <row r="14" spans="1:9">
      <c r="H14" s="132"/>
    </row>
    <row r="15" spans="1:9">
      <c r="H15" s="132"/>
    </row>
    <row r="16" spans="1:9">
      <c r="H16" s="132"/>
    </row>
    <row r="17" spans="8:8">
      <c r="H17" s="132"/>
    </row>
    <row r="18" spans="8:8">
      <c r="H18" s="132"/>
    </row>
    <row r="19" spans="8:8">
      <c r="H19" s="132"/>
    </row>
    <row r="20" spans="8:8">
      <c r="H20" s="132"/>
    </row>
    <row r="21" spans="8:8">
      <c r="H21" s="132"/>
    </row>
    <row r="22" spans="8:8">
      <c r="H22" s="132"/>
    </row>
    <row r="23" spans="8:8">
      <c r="H23" s="132"/>
    </row>
    <row r="24" spans="8:8">
      <c r="H24" s="132"/>
    </row>
    <row r="25" spans="8:8">
      <c r="H25" s="132"/>
    </row>
    <row r="26" spans="8:8">
      <c r="H26" s="132"/>
    </row>
    <row r="27" spans="8:8">
      <c r="H27" s="132"/>
    </row>
    <row r="28" spans="8:8">
      <c r="H28" s="132"/>
    </row>
    <row r="29" spans="8:8">
      <c r="H29" s="132"/>
    </row>
    <row r="30" spans="8:8">
      <c r="H30" s="132"/>
    </row>
    <row r="31" spans="8:8">
      <c r="H31" s="132"/>
    </row>
    <row r="32" spans="8:8">
      <c r="H32" s="132"/>
    </row>
    <row r="33" spans="8:8">
      <c r="H33" s="132"/>
    </row>
    <row r="34" spans="8:8">
      <c r="H34" s="132"/>
    </row>
    <row r="35" spans="8:8">
      <c r="H35" s="132"/>
    </row>
    <row r="36" spans="8:8">
      <c r="H36" s="132"/>
    </row>
    <row r="37" spans="8:8">
      <c r="H37" s="132"/>
    </row>
    <row r="38" spans="8:8">
      <c r="H38" s="132"/>
    </row>
    <row r="39" spans="8:8">
      <c r="H39" s="132"/>
    </row>
    <row r="40" spans="8:8">
      <c r="H40" s="132"/>
    </row>
    <row r="41" spans="8:8">
      <c r="H41" s="132"/>
    </row>
    <row r="42" spans="8:8">
      <c r="H42" s="132"/>
    </row>
    <row r="43" spans="8:8">
      <c r="H43" s="132"/>
    </row>
    <row r="44" spans="8:8">
      <c r="H44" s="132"/>
    </row>
    <row r="45" spans="8:8">
      <c r="H45" s="132"/>
    </row>
    <row r="46" spans="8:8">
      <c r="H46" s="132"/>
    </row>
    <row r="47" spans="8:8">
      <c r="H47" s="132"/>
    </row>
    <row r="48" spans="8:8">
      <c r="H48" s="132"/>
    </row>
    <row r="49" spans="8:8">
      <c r="H49" s="132"/>
    </row>
    <row r="50" spans="8:8">
      <c r="H50" s="132"/>
    </row>
    <row r="51" spans="8:8">
      <c r="H51" s="132"/>
    </row>
    <row r="52" spans="8:8">
      <c r="H52" s="132"/>
    </row>
    <row r="53" spans="8:8">
      <c r="H53" s="132"/>
    </row>
    <row r="54" spans="8:8">
      <c r="H54" s="132"/>
    </row>
    <row r="55" spans="8:8">
      <c r="H55" s="132"/>
    </row>
    <row r="56" spans="8:8">
      <c r="H56" s="132"/>
    </row>
    <row r="57" spans="8:8">
      <c r="H57" s="132"/>
    </row>
    <row r="58" spans="8:8">
      <c r="H58" s="132"/>
    </row>
    <row r="59" spans="8:8">
      <c r="H59" s="132"/>
    </row>
    <row r="60" spans="8:8">
      <c r="H60" s="132"/>
    </row>
    <row r="61" spans="8:8">
      <c r="H61" s="132"/>
    </row>
    <row r="62" spans="8:8">
      <c r="H62" s="132"/>
    </row>
  </sheetData>
  <mergeCells count="4">
    <mergeCell ref="A3:I3"/>
    <mergeCell ref="G2:I2"/>
    <mergeCell ref="A1:C1"/>
    <mergeCell ref="A2:B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7"/>
  <dimension ref="A1:J23"/>
  <sheetViews>
    <sheetView workbookViewId="0">
      <selection activeCell="E3" sqref="E3"/>
    </sheetView>
  </sheetViews>
  <sheetFormatPr defaultRowHeight="13.5"/>
  <cols>
    <col min="1" max="1" width="10.42578125" style="127" customWidth="1"/>
    <col min="2" max="2" width="15" style="127" customWidth="1"/>
    <col min="3" max="3" width="14.28515625" style="128" customWidth="1"/>
    <col min="4" max="4" width="19.42578125" style="127" customWidth="1"/>
    <col min="5" max="5" width="16.5703125" style="127" customWidth="1"/>
    <col min="6" max="6" width="15.28515625" style="127" customWidth="1"/>
    <col min="7" max="7" width="18.42578125" style="128" customWidth="1"/>
    <col min="8" max="8" width="20.7109375" style="127" customWidth="1"/>
    <col min="9" max="9" width="19.42578125" style="127" customWidth="1"/>
    <col min="10" max="10" width="23.85546875" style="155" hidden="1" customWidth="1"/>
    <col min="11" max="16384" width="9.140625" style="155"/>
  </cols>
  <sheetData>
    <row r="1" spans="1:10" ht="20.25" customHeight="1">
      <c r="A1" s="158"/>
      <c r="B1" s="158"/>
      <c r="C1" s="159"/>
      <c r="D1" s="158"/>
      <c r="E1" s="158"/>
      <c r="F1" s="158"/>
      <c r="G1" s="159" t="s">
        <v>149</v>
      </c>
      <c r="H1" s="158"/>
      <c r="J1" s="156">
        <f>SUMIF(CONTA_ESTATUS,G2,CONTA_PAGA)</f>
        <v>0</v>
      </c>
    </row>
    <row r="2" spans="1:10">
      <c r="A2" s="524">
        <f ca="1">TODAY()</f>
        <v>44114</v>
      </c>
      <c r="B2" s="524"/>
      <c r="C2" s="524"/>
      <c r="D2" s="524"/>
      <c r="G2" s="127" t="s">
        <v>156</v>
      </c>
      <c r="J2" s="156">
        <f>SUMIF(CONTA_ESTATUS,G3,CONTA_TOTALL)</f>
        <v>0</v>
      </c>
    </row>
    <row r="3" spans="1:10">
      <c r="A3" s="157">
        <f ca="1">NOW()</f>
        <v>44114.674698842602</v>
      </c>
      <c r="B3" s="157"/>
      <c r="C3" s="157"/>
      <c r="D3" s="157"/>
      <c r="G3" s="127" t="s">
        <v>153</v>
      </c>
      <c r="J3" s="156">
        <f>SUMIF(CONTA_ESTATUS,G4,CONTA_TOTALL)</f>
        <v>0</v>
      </c>
    </row>
    <row r="4" spans="1:10">
      <c r="G4" s="133" t="s">
        <v>148</v>
      </c>
      <c r="J4" s="156">
        <f>SUM(C11:C1000000)</f>
        <v>0</v>
      </c>
    </row>
    <row r="5" spans="1:10" ht="17.25" customHeight="1">
      <c r="G5" s="131" t="s">
        <v>155</v>
      </c>
      <c r="J5" s="156">
        <f>SUMIF(CONTA_ESTATUS,"Próximos dias",CONTA_TOTALL)</f>
        <v>0</v>
      </c>
    </row>
    <row r="6" spans="1:10" ht="6.75" customHeight="1">
      <c r="J6" s="156"/>
    </row>
    <row r="7" spans="1:10" hidden="1"/>
    <row r="8" spans="1:10" ht="23.25" customHeight="1">
      <c r="A8" s="523" t="s">
        <v>157</v>
      </c>
      <c r="B8" s="523"/>
      <c r="C8" s="523"/>
      <c r="D8" s="523"/>
      <c r="E8" s="523"/>
      <c r="F8" s="523"/>
      <c r="G8" s="523"/>
      <c r="H8" s="523"/>
    </row>
    <row r="9" spans="1:10" ht="3" customHeight="1"/>
    <row r="10" spans="1:10">
      <c r="A10" s="139" t="s">
        <v>62</v>
      </c>
      <c r="B10" s="139" t="s">
        <v>75</v>
      </c>
      <c r="C10" s="140" t="s">
        <v>76</v>
      </c>
      <c r="D10" s="139" t="s">
        <v>118</v>
      </c>
      <c r="E10" s="139" t="s">
        <v>119</v>
      </c>
      <c r="F10" s="139" t="s">
        <v>121</v>
      </c>
      <c r="G10" s="140" t="s">
        <v>82</v>
      </c>
      <c r="H10" s="139" t="s">
        <v>79</v>
      </c>
    </row>
    <row r="11" spans="1:10">
      <c r="B11" s="132"/>
      <c r="F11" s="132"/>
      <c r="H11" s="155"/>
    </row>
    <row r="12" spans="1:10">
      <c r="B12" s="132"/>
      <c r="F12" s="132"/>
    </row>
    <row r="13" spans="1:10">
      <c r="B13" s="132"/>
      <c r="F13" s="132"/>
    </row>
    <row r="14" spans="1:10">
      <c r="B14" s="132"/>
      <c r="F14" s="132"/>
    </row>
    <row r="15" spans="1:10">
      <c r="B15" s="132"/>
      <c r="H15" s="155"/>
    </row>
    <row r="16" spans="1:10">
      <c r="B16" s="132"/>
    </row>
    <row r="17" spans="2:8">
      <c r="B17" s="132"/>
    </row>
    <row r="18" spans="2:8">
      <c r="B18" s="132"/>
    </row>
    <row r="19" spans="2:8">
      <c r="B19" s="132"/>
    </row>
    <row r="20" spans="2:8">
      <c r="B20" s="132"/>
    </row>
    <row r="21" spans="2:8">
      <c r="B21" s="132"/>
    </row>
    <row r="22" spans="2:8">
      <c r="B22" s="132"/>
    </row>
    <row r="23" spans="2:8">
      <c r="B23" s="132"/>
      <c r="H23" s="155"/>
    </row>
  </sheetData>
  <mergeCells count="2">
    <mergeCell ref="A8:H8"/>
    <mergeCell ref="A2:D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8"/>
  <dimension ref="A1:J6"/>
  <sheetViews>
    <sheetView workbookViewId="0">
      <selection activeCell="A3" sqref="A3:E3"/>
    </sheetView>
  </sheetViews>
  <sheetFormatPr defaultColWidth="20.7109375" defaultRowHeight="13.5"/>
  <cols>
    <col min="1" max="1" width="5.140625" style="127" customWidth="1"/>
    <col min="2" max="2" width="14.85546875" style="161" customWidth="1"/>
    <col min="3" max="3" width="4.5703125" style="127" hidden="1" customWidth="1"/>
    <col min="4" max="4" width="29.140625" style="127" customWidth="1"/>
    <col min="5" max="5" width="11.7109375" style="127" customWidth="1"/>
    <col min="6" max="6" width="9.85546875" style="128" customWidth="1"/>
    <col min="7" max="7" width="14.42578125" style="127" customWidth="1"/>
    <col min="8" max="8" width="20.28515625" style="128" customWidth="1"/>
    <col min="9" max="9" width="0" style="127" hidden="1" customWidth="1"/>
    <col min="10" max="10" width="16.140625" style="127" customWidth="1"/>
    <col min="11" max="16384" width="20.7109375" style="127"/>
  </cols>
  <sheetData>
    <row r="1" spans="1:10" ht="6.75" customHeight="1">
      <c r="A1" s="525"/>
      <c r="B1" s="525"/>
      <c r="C1" s="525"/>
      <c r="D1" s="525"/>
      <c r="E1" s="525"/>
      <c r="F1" s="525"/>
      <c r="G1" s="525"/>
      <c r="H1" s="525"/>
    </row>
    <row r="2" spans="1:10" ht="30.75" customHeight="1">
      <c r="A2" s="526" t="s">
        <v>159</v>
      </c>
      <c r="B2" s="526"/>
      <c r="C2" s="526"/>
      <c r="D2" s="526"/>
      <c r="E2" s="526"/>
      <c r="F2" s="526"/>
      <c r="G2" s="526"/>
      <c r="H2" s="526"/>
      <c r="J2" s="164"/>
    </row>
    <row r="3" spans="1:10" ht="21" customHeight="1">
      <c r="A3" s="524">
        <f ca="1">TODAY()</f>
        <v>44114</v>
      </c>
      <c r="B3" s="524"/>
      <c r="C3" s="524"/>
      <c r="D3" s="524"/>
      <c r="E3" s="524"/>
      <c r="F3" s="236" t="s">
        <v>160</v>
      </c>
      <c r="G3" s="129">
        <f>SUM(F6:F1000000)</f>
        <v>15</v>
      </c>
      <c r="H3" s="262" t="s">
        <v>226</v>
      </c>
      <c r="I3" s="237"/>
      <c r="J3" s="237">
        <f>SUM(G6:G1000000)</f>
        <v>10</v>
      </c>
    </row>
    <row r="4" spans="1:10" ht="14.25" customHeight="1">
      <c r="A4" s="527">
        <f ca="1">NOW()</f>
        <v>44114.674698842602</v>
      </c>
      <c r="B4" s="527"/>
      <c r="C4" s="162"/>
      <c r="D4" s="162"/>
      <c r="E4" s="162"/>
    </row>
    <row r="5" spans="1:10">
      <c r="A5" s="144" t="s">
        <v>30</v>
      </c>
      <c r="B5" s="163" t="s">
        <v>1</v>
      </c>
      <c r="C5" s="144" t="s">
        <v>14</v>
      </c>
      <c r="D5" s="144" t="s">
        <v>0</v>
      </c>
      <c r="E5" s="144" t="s">
        <v>2</v>
      </c>
      <c r="F5" s="145" t="s">
        <v>108</v>
      </c>
      <c r="G5" s="144" t="s">
        <v>26</v>
      </c>
      <c r="H5" s="145" t="s">
        <v>27</v>
      </c>
      <c r="I5" s="127" t="s">
        <v>28</v>
      </c>
      <c r="J5" s="164" t="s">
        <v>29</v>
      </c>
    </row>
    <row r="6" spans="1:10">
      <c r="A6" s="127">
        <v>17</v>
      </c>
      <c r="B6" s="161" t="s">
        <v>69</v>
      </c>
      <c r="C6" s="127">
        <v>1</v>
      </c>
      <c r="D6" s="127" t="s">
        <v>223</v>
      </c>
      <c r="E6" s="127" t="s">
        <v>25</v>
      </c>
      <c r="F6" s="128">
        <v>15</v>
      </c>
      <c r="G6" s="127">
        <v>10</v>
      </c>
      <c r="H6" s="128">
        <v>150</v>
      </c>
      <c r="J6" s="132">
        <v>43154</v>
      </c>
    </row>
  </sheetData>
  <mergeCells count="4">
    <mergeCell ref="A1:H1"/>
    <mergeCell ref="A2:H2"/>
    <mergeCell ref="A3:E3"/>
    <mergeCell ref="A4:B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9"/>
  <dimension ref="A1:K9"/>
  <sheetViews>
    <sheetView showGridLines="0" workbookViewId="0">
      <selection activeCell="E3" sqref="E3"/>
    </sheetView>
  </sheetViews>
  <sheetFormatPr defaultColWidth="27.42578125" defaultRowHeight="12"/>
  <cols>
    <col min="1" max="1" width="12" style="403" customWidth="1"/>
    <col min="2" max="2" width="3.28515625" style="400" hidden="1" customWidth="1"/>
    <col min="3" max="3" width="33.28515625" style="400" customWidth="1"/>
    <col min="4" max="4" width="10" style="400" customWidth="1"/>
    <col min="5" max="5" width="9.140625" style="401" customWidth="1"/>
    <col min="6" max="6" width="9" style="401" customWidth="1"/>
    <col min="7" max="7" width="8.5703125" style="401" customWidth="1"/>
    <col min="8" max="8" width="9.28515625" style="400" customWidth="1"/>
    <col min="9" max="9" width="13" style="401" customWidth="1"/>
    <col min="10" max="10" width="14" style="401" customWidth="1"/>
    <col min="11" max="11" width="16" style="401" customWidth="1"/>
    <col min="12" max="16384" width="27.42578125" style="400"/>
  </cols>
  <sheetData>
    <row r="1" spans="1:11" ht="28.5" customHeight="1">
      <c r="A1" s="529" t="s">
        <v>161</v>
      </c>
      <c r="B1" s="529"/>
      <c r="C1" s="529"/>
      <c r="D1" s="529"/>
      <c r="E1" s="529"/>
      <c r="F1" s="529"/>
      <c r="G1" s="529"/>
      <c r="H1" s="529"/>
      <c r="I1" s="529"/>
      <c r="J1" s="529"/>
      <c r="K1" s="408"/>
    </row>
    <row r="2" spans="1:11" ht="13.5" customHeight="1">
      <c r="A2" s="530">
        <f ca="1">TODAY()</f>
        <v>44114</v>
      </c>
      <c r="B2" s="530"/>
      <c r="C2" s="530"/>
      <c r="I2" s="532" t="s">
        <v>283</v>
      </c>
      <c r="J2" s="532"/>
      <c r="K2" s="402">
        <f>SUM(I8:I999999)</f>
        <v>1160</v>
      </c>
    </row>
    <row r="3" spans="1:11" ht="13.5" customHeight="1">
      <c r="A3" s="531">
        <f ca="1">NOW()</f>
        <v>44114.674698842602</v>
      </c>
      <c r="B3" s="531"/>
      <c r="C3" s="531"/>
      <c r="I3" s="528" t="s">
        <v>302</v>
      </c>
      <c r="J3" s="528"/>
      <c r="K3" s="402">
        <f>SUM(J8:J1000000)</f>
        <v>1935</v>
      </c>
    </row>
    <row r="4" spans="1:11" ht="13.5" customHeight="1">
      <c r="I4" s="528" t="s">
        <v>303</v>
      </c>
      <c r="J4" s="528"/>
      <c r="K4" s="402">
        <f>SUM(K8:K1000000)</f>
        <v>2320</v>
      </c>
    </row>
    <row r="5" spans="1:11" ht="12.75" hidden="1">
      <c r="I5" s="402"/>
      <c r="J5" s="402"/>
    </row>
    <row r="6" spans="1:11" ht="6.75" customHeight="1">
      <c r="I6" s="404"/>
    </row>
    <row r="7" spans="1:11" s="409" customFormat="1" ht="12.75">
      <c r="A7" s="405" t="s">
        <v>1</v>
      </c>
      <c r="B7" s="406" t="s">
        <v>14</v>
      </c>
      <c r="C7" s="406" t="s">
        <v>0</v>
      </c>
      <c r="D7" s="406" t="s">
        <v>2</v>
      </c>
      <c r="E7" s="407" t="s">
        <v>19</v>
      </c>
      <c r="F7" s="407" t="s">
        <v>300</v>
      </c>
      <c r="G7" s="407" t="s">
        <v>299</v>
      </c>
      <c r="H7" s="406">
        <v>1</v>
      </c>
      <c r="I7" s="407" t="s">
        <v>301</v>
      </c>
      <c r="J7" s="407" t="s">
        <v>302</v>
      </c>
      <c r="K7" s="407" t="s">
        <v>303</v>
      </c>
    </row>
    <row r="8" spans="1:11">
      <c r="A8" s="403" t="s">
        <v>12</v>
      </c>
      <c r="B8" s="400">
        <v>1</v>
      </c>
      <c r="C8" s="400" t="s">
        <v>304</v>
      </c>
      <c r="D8" s="400" t="s">
        <v>25</v>
      </c>
      <c r="E8" s="401">
        <v>30</v>
      </c>
      <c r="F8" s="401">
        <v>60</v>
      </c>
      <c r="G8" s="401">
        <v>50</v>
      </c>
      <c r="H8" s="400">
        <v>38</v>
      </c>
      <c r="I8" s="401">
        <v>1140</v>
      </c>
      <c r="J8" s="401">
        <v>1900</v>
      </c>
      <c r="K8" s="401">
        <v>2280</v>
      </c>
    </row>
    <row r="9" spans="1:11">
      <c r="A9" s="403" t="s">
        <v>297</v>
      </c>
      <c r="B9" s="400">
        <v>2</v>
      </c>
      <c r="C9" s="400" t="s">
        <v>290</v>
      </c>
      <c r="D9" s="400" t="s">
        <v>25</v>
      </c>
      <c r="E9" s="401">
        <v>2</v>
      </c>
      <c r="F9" s="401">
        <v>4</v>
      </c>
      <c r="G9" s="401">
        <v>3.5</v>
      </c>
      <c r="H9" s="400">
        <v>10</v>
      </c>
      <c r="I9" s="401">
        <v>20</v>
      </c>
      <c r="J9" s="401">
        <v>35</v>
      </c>
      <c r="K9" s="401">
        <v>40</v>
      </c>
    </row>
  </sheetData>
  <mergeCells count="6">
    <mergeCell ref="I4:J4"/>
    <mergeCell ref="A1:J1"/>
    <mergeCell ref="A2:C2"/>
    <mergeCell ref="A3:C3"/>
    <mergeCell ref="I2:J2"/>
    <mergeCell ref="I3:J3"/>
  </mergeCells>
  <pageMargins left="0.25" right="0.25" top="0.75" bottom="0.75" header="0.3" footer="0.3"/>
  <pageSetup paperSize="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1"/>
  <dimension ref="A1:J5"/>
  <sheetViews>
    <sheetView topLeftCell="B1" workbookViewId="0">
      <selection activeCell="E3" sqref="E3"/>
    </sheetView>
  </sheetViews>
  <sheetFormatPr defaultRowHeight="13.5"/>
  <cols>
    <col min="1" max="1" width="5.7109375" style="127" hidden="1" customWidth="1"/>
    <col min="2" max="2" width="14.140625" style="161" customWidth="1"/>
    <col min="3" max="3" width="2.140625" style="127" hidden="1" customWidth="1"/>
    <col min="4" max="4" width="35.28515625" style="127" customWidth="1"/>
    <col min="5" max="5" width="6.85546875" style="127" customWidth="1"/>
    <col min="6" max="6" width="6.28515625" style="127" customWidth="1"/>
    <col min="7" max="7" width="8.7109375" style="127" customWidth="1"/>
    <col min="8" max="8" width="29.5703125" style="127" customWidth="1"/>
    <col min="9" max="9" width="13.140625" style="127" customWidth="1"/>
    <col min="10" max="10" width="23.5703125" style="127" customWidth="1"/>
    <col min="11" max="16384" width="9.140625" style="127"/>
  </cols>
  <sheetData>
    <row r="1" spans="2:10" ht="26.25" customHeight="1">
      <c r="B1" s="533" t="s">
        <v>181</v>
      </c>
      <c r="C1" s="533"/>
      <c r="D1" s="533"/>
      <c r="E1" s="533"/>
      <c r="F1" s="533"/>
      <c r="G1" s="533"/>
      <c r="H1" s="533"/>
      <c r="I1" s="533"/>
      <c r="J1" s="533"/>
    </row>
    <row r="2" spans="2:10">
      <c r="B2" s="534">
        <f ca="1">TODAY()</f>
        <v>44114</v>
      </c>
      <c r="C2" s="535"/>
      <c r="D2" s="535"/>
      <c r="I2" s="130" t="s">
        <v>182</v>
      </c>
      <c r="J2" s="129">
        <f>SUM(G5:G1000000)</f>
        <v>0</v>
      </c>
    </row>
    <row r="3" spans="2:10">
      <c r="B3" s="536">
        <f ca="1">NOW()</f>
        <v>44114.674698842602</v>
      </c>
      <c r="C3" s="527"/>
      <c r="D3" s="527"/>
      <c r="E3" s="142"/>
      <c r="F3" s="142"/>
      <c r="G3" s="142"/>
      <c r="H3" s="142"/>
      <c r="I3" s="142"/>
      <c r="J3" s="142"/>
    </row>
    <row r="4" spans="2:10">
      <c r="B4" s="185" t="s">
        <v>1</v>
      </c>
      <c r="C4" s="139"/>
      <c r="D4" s="139" t="s">
        <v>0</v>
      </c>
      <c r="E4" s="139" t="s">
        <v>178</v>
      </c>
      <c r="F4" s="139" t="s">
        <v>26</v>
      </c>
      <c r="G4" s="139" t="s">
        <v>27</v>
      </c>
      <c r="H4" s="139" t="s">
        <v>179</v>
      </c>
      <c r="I4" s="139" t="s">
        <v>29</v>
      </c>
      <c r="J4" s="139" t="s">
        <v>180</v>
      </c>
    </row>
    <row r="5" spans="2:10">
      <c r="J5" s="133"/>
    </row>
  </sheetData>
  <mergeCells count="3">
    <mergeCell ref="B1:J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2"/>
  <dimension ref="A1:L1"/>
  <sheetViews>
    <sheetView workbookViewId="0">
      <pane ySplit="1" topLeftCell="A2" activePane="bottomLeft" state="frozen"/>
      <selection activeCell="E3" sqref="E3"/>
      <selection pane="bottomLeft" activeCell="A2" sqref="A2:L1000000"/>
    </sheetView>
  </sheetViews>
  <sheetFormatPr defaultRowHeight="12.75"/>
  <cols>
    <col min="1" max="3" width="9.140625" style="4"/>
    <col min="4" max="4" width="7.28515625" style="4" customWidth="1"/>
    <col min="5" max="5" width="32.7109375" style="4" customWidth="1"/>
    <col min="6" max="6" width="9.140625" style="13"/>
    <col min="7" max="7" width="7.5703125" style="4" customWidth="1"/>
    <col min="8" max="8" width="11" style="13" customWidth="1"/>
    <col min="9" max="9" width="31.28515625" style="4" customWidth="1"/>
    <col min="10" max="10" width="13.42578125" style="4" customWidth="1"/>
    <col min="11" max="11" width="12.5703125" style="4" customWidth="1"/>
    <col min="12" max="12" width="16" style="4" customWidth="1"/>
    <col min="13" max="16384" width="9.140625" style="4"/>
  </cols>
  <sheetData>
    <row r="1" spans="1:12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20" t="s">
        <v>34</v>
      </c>
      <c r="I1" s="19" t="s">
        <v>35</v>
      </c>
      <c r="J1" s="17" t="s">
        <v>36</v>
      </c>
      <c r="K1" s="17" t="s">
        <v>37</v>
      </c>
      <c r="L1" s="17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3"/>
  <dimension ref="A1:K1"/>
  <sheetViews>
    <sheetView workbookViewId="0">
      <selection activeCell="A2" sqref="A2:K1000000"/>
    </sheetView>
  </sheetViews>
  <sheetFormatPr defaultRowHeight="12.75"/>
  <cols>
    <col min="1" max="1" width="9.140625" style="4"/>
    <col min="2" max="2" width="33.42578125" style="4" customWidth="1"/>
    <col min="3" max="3" width="12.7109375" style="4" customWidth="1"/>
    <col min="4" max="4" width="12.5703125" style="4" customWidth="1"/>
    <col min="5" max="5" width="10.5703125" style="4" customWidth="1"/>
    <col min="6" max="6" width="9.140625" style="4"/>
    <col min="7" max="7" width="8.5703125" style="4" hidden="1" customWidth="1"/>
    <col min="8" max="8" width="7.85546875" style="4" hidden="1" customWidth="1"/>
    <col min="9" max="9" width="10.28515625" style="4" customWidth="1"/>
    <col min="10" max="10" width="12.28515625" style="4" customWidth="1"/>
    <col min="11" max="16384" width="9.140625" style="4"/>
  </cols>
  <sheetData>
    <row r="1" spans="1:11">
      <c r="A1" s="25" t="s">
        <v>14</v>
      </c>
      <c r="B1" s="25" t="s">
        <v>35</v>
      </c>
      <c r="C1" s="25" t="s">
        <v>36</v>
      </c>
      <c r="D1" s="25" t="s">
        <v>37</v>
      </c>
      <c r="E1" s="32" t="s">
        <v>34</v>
      </c>
      <c r="F1" s="26" t="s">
        <v>9</v>
      </c>
      <c r="G1" s="26" t="s">
        <v>6</v>
      </c>
      <c r="H1" s="26" t="s">
        <v>8</v>
      </c>
      <c r="I1" s="27" t="s">
        <v>175</v>
      </c>
      <c r="J1" s="25" t="s">
        <v>38</v>
      </c>
      <c r="K1" s="2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34"/>
  <dimension ref="A1:F2"/>
  <sheetViews>
    <sheetView workbookViewId="0">
      <selection activeCell="B17" sqref="B17"/>
    </sheetView>
  </sheetViews>
  <sheetFormatPr defaultRowHeight="12.75"/>
  <cols>
    <col min="2" max="2" width="50.42578125" customWidth="1"/>
    <col min="3" max="3" width="29.42578125" style="12" customWidth="1"/>
    <col min="4" max="4" width="8.85546875" style="356" customWidth="1"/>
    <col min="5" max="5" width="36.7109375" style="12" customWidth="1"/>
  </cols>
  <sheetData>
    <row r="1" spans="1:6">
      <c r="A1">
        <v>1</v>
      </c>
      <c r="B1" t="s">
        <v>238</v>
      </c>
      <c r="C1" s="355" t="s">
        <v>298</v>
      </c>
      <c r="D1" s="354" t="s">
        <v>281</v>
      </c>
      <c r="E1" s="355" t="s">
        <v>280</v>
      </c>
      <c r="F1" t="s">
        <v>282</v>
      </c>
    </row>
    <row r="2" spans="1:6">
      <c r="D2" s="354" t="s">
        <v>282</v>
      </c>
      <c r="E2" s="355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35"/>
  <dimension ref="A1:J159"/>
  <sheetViews>
    <sheetView workbookViewId="0">
      <selection sqref="A1:J31"/>
    </sheetView>
  </sheetViews>
  <sheetFormatPr defaultRowHeight="12"/>
  <cols>
    <col min="1" max="1" width="9.85546875" style="190" customWidth="1"/>
    <col min="2" max="2" width="7.28515625" style="190" customWidth="1"/>
    <col min="3" max="3" width="13.28515625" style="190" customWidth="1"/>
    <col min="4" max="4" width="11.85546875" style="201" customWidth="1"/>
    <col min="5" max="5" width="9" style="201" customWidth="1"/>
    <col min="6" max="6" width="11.140625" style="201" customWidth="1"/>
    <col min="7" max="7" width="7.85546875" style="190" customWidth="1"/>
    <col min="8" max="8" width="9.7109375" style="202" customWidth="1"/>
    <col min="9" max="9" width="9.140625" style="190" customWidth="1"/>
    <col min="10" max="10" width="11.42578125" style="203" customWidth="1"/>
    <col min="11" max="16384" width="9.140625" style="190"/>
  </cols>
  <sheetData>
    <row r="1" spans="1:10">
      <c r="A1" s="215" t="s">
        <v>197</v>
      </c>
      <c r="B1" s="216">
        <f>PARCELAR!B8</f>
        <v>1</v>
      </c>
      <c r="C1" s="217" t="s">
        <v>196</v>
      </c>
      <c r="D1" s="218">
        <f ca="1">PARCELAR!C3</f>
        <v>44114</v>
      </c>
      <c r="E1" s="222" t="s">
        <v>214</v>
      </c>
      <c r="F1" s="218">
        <f ca="1">PARCELAR!G8</f>
        <v>44144</v>
      </c>
      <c r="G1" s="204" t="s">
        <v>27</v>
      </c>
      <c r="H1" s="219">
        <f>PARCELAR!C4</f>
        <v>10</v>
      </c>
      <c r="I1" s="204" t="s">
        <v>197</v>
      </c>
      <c r="J1" s="220">
        <f>PARCELAR!D8</f>
        <v>10</v>
      </c>
    </row>
    <row r="2" spans="1:10">
      <c r="A2" s="207" t="s">
        <v>198</v>
      </c>
      <c r="B2" s="191">
        <f>PARCELAR!G1</f>
        <v>30</v>
      </c>
      <c r="C2" s="192" t="s">
        <v>199</v>
      </c>
      <c r="D2" s="193">
        <f ca="1">MONTH(F1)</f>
        <v>11</v>
      </c>
      <c r="E2" s="192" t="s">
        <v>200</v>
      </c>
      <c r="F2" s="193">
        <f ca="1">YEAR(D1)</f>
        <v>2020</v>
      </c>
      <c r="G2" s="548" t="s">
        <v>213</v>
      </c>
      <c r="H2" s="549"/>
      <c r="I2" s="549"/>
      <c r="J2" s="550"/>
    </row>
    <row r="3" spans="1:10">
      <c r="A3" s="551" t="s">
        <v>201</v>
      </c>
      <c r="B3" s="544"/>
      <c r="C3" s="544"/>
      <c r="D3" s="544"/>
      <c r="E3" s="192" t="s">
        <v>202</v>
      </c>
      <c r="F3" s="552" t="s">
        <v>203</v>
      </c>
      <c r="G3" s="553"/>
      <c r="H3" s="194" t="s">
        <v>204</v>
      </c>
      <c r="I3" s="540"/>
      <c r="J3" s="541"/>
    </row>
    <row r="4" spans="1:10">
      <c r="A4" s="542" t="s">
        <v>205</v>
      </c>
      <c r="B4" s="543"/>
      <c r="C4" s="543"/>
      <c r="D4" s="540"/>
      <c r="E4" s="540"/>
      <c r="F4" s="540"/>
      <c r="G4" s="540"/>
      <c r="H4" s="540"/>
      <c r="I4" s="540"/>
      <c r="J4" s="541"/>
    </row>
    <row r="5" spans="1:10">
      <c r="A5" s="205" t="s">
        <v>206</v>
      </c>
      <c r="B5" s="544" t="s">
        <v>105</v>
      </c>
      <c r="C5" s="544"/>
      <c r="D5" s="192"/>
      <c r="E5" s="192"/>
      <c r="F5" s="192"/>
      <c r="G5" s="196"/>
      <c r="H5" s="194"/>
      <c r="I5" s="196"/>
      <c r="J5" s="206"/>
    </row>
    <row r="6" spans="1:10" ht="9.75" customHeight="1">
      <c r="A6" s="545"/>
      <c r="B6" s="546"/>
      <c r="C6" s="546"/>
      <c r="D6" s="546"/>
      <c r="E6" s="546"/>
      <c r="F6" s="546"/>
      <c r="G6" s="546"/>
      <c r="H6" s="546"/>
      <c r="I6" s="546"/>
      <c r="J6" s="547"/>
    </row>
    <row r="7" spans="1:10">
      <c r="A7" s="207" t="s">
        <v>207</v>
      </c>
      <c r="B7" s="538">
        <f>PEDIDOS!E2</f>
        <v>0</v>
      </c>
      <c r="C7" s="538"/>
      <c r="D7" s="538"/>
      <c r="E7" s="192" t="s">
        <v>208</v>
      </c>
      <c r="F7" s="555" t="str">
        <f>IFERROR(VLOOKUP(B7,TABELA_CLIENTES,17,0),"-")</f>
        <v>-</v>
      </c>
      <c r="G7" s="538"/>
      <c r="H7" s="194" t="s">
        <v>101</v>
      </c>
      <c r="I7" s="538" t="str">
        <f>IFERROR(VLOOKUP(B7,TABELA_CLIENTES,18,0),"-")</f>
        <v>-</v>
      </c>
      <c r="J7" s="539"/>
    </row>
    <row r="8" spans="1:10">
      <c r="A8" s="207" t="s">
        <v>94</v>
      </c>
      <c r="B8" s="538" t="str">
        <f>IFERROR(VLOOKUP(B7,TABELA_CLIENTES,10,0),"-")</f>
        <v>-</v>
      </c>
      <c r="C8" s="538"/>
      <c r="D8" s="538"/>
      <c r="E8" s="192" t="s">
        <v>98</v>
      </c>
      <c r="F8" s="538" t="str">
        <f>IFERROR(VLOOKUP(B7,TABELA_CLIENTES,14,0),"-")</f>
        <v>-</v>
      </c>
      <c r="G8" s="538"/>
      <c r="H8" s="538"/>
      <c r="I8" s="538"/>
      <c r="J8" s="539"/>
    </row>
    <row r="9" spans="1:10" ht="12" customHeight="1">
      <c r="A9" s="207" t="s">
        <v>209</v>
      </c>
      <c r="B9" s="538" t="str">
        <f>IFERROR(VLOOKUP(B7,TABELA_CLIENTES,8,0),"-")</f>
        <v>-</v>
      </c>
      <c r="C9" s="538"/>
      <c r="D9" s="192"/>
      <c r="E9" s="192" t="s">
        <v>93</v>
      </c>
      <c r="F9" s="197" t="str">
        <f>IFERROR(VLOOKUP(B7,TABELA_CLIENTES,9,0),"-")</f>
        <v>-</v>
      </c>
      <c r="G9" s="196"/>
      <c r="H9" s="194" t="s">
        <v>99</v>
      </c>
      <c r="I9" s="538" t="str">
        <f>IFERROR(VLOOKUP(B7,TABELA_CLIENTES,15,0),"-")</f>
        <v>-</v>
      </c>
      <c r="J9" s="539"/>
    </row>
    <row r="10" spans="1:10" ht="6.75" customHeight="1">
      <c r="A10" s="208"/>
      <c r="B10" s="198"/>
      <c r="C10" s="198"/>
      <c r="D10" s="199"/>
      <c r="E10" s="199"/>
      <c r="F10" s="199"/>
      <c r="G10" s="198"/>
      <c r="H10" s="200"/>
      <c r="I10" s="198"/>
      <c r="J10" s="209"/>
    </row>
    <row r="11" spans="1:10">
      <c r="A11" s="207" t="s">
        <v>210</v>
      </c>
      <c r="B11" s="538" t="str">
        <f>PEDIDOS!E3</f>
        <v>ADMIN</v>
      </c>
      <c r="C11" s="538"/>
      <c r="D11" s="192"/>
      <c r="E11" s="192"/>
      <c r="F11" s="192"/>
      <c r="G11" s="196"/>
      <c r="H11" s="194"/>
      <c r="I11" s="196"/>
      <c r="J11" s="206"/>
    </row>
    <row r="12" spans="1:10">
      <c r="A12" s="537" t="s">
        <v>211</v>
      </c>
      <c r="B12" s="538"/>
      <c r="C12" s="538"/>
      <c r="D12" s="538"/>
      <c r="E12" s="538"/>
      <c r="F12" s="538"/>
      <c r="G12" s="538"/>
      <c r="H12" s="538"/>
      <c r="I12" s="538"/>
      <c r="J12" s="539"/>
    </row>
    <row r="13" spans="1:10" ht="8.25" customHeight="1">
      <c r="A13" s="207"/>
      <c r="B13" s="196"/>
      <c r="C13" s="196"/>
      <c r="D13" s="192"/>
      <c r="E13" s="192"/>
      <c r="F13" s="192"/>
      <c r="G13" s="196"/>
      <c r="H13" s="194"/>
      <c r="I13" s="196"/>
      <c r="J13" s="206"/>
    </row>
    <row r="14" spans="1:10">
      <c r="A14" s="207" t="s">
        <v>212</v>
      </c>
      <c r="B14" s="540"/>
      <c r="C14" s="540"/>
      <c r="D14" s="540"/>
      <c r="E14" s="540"/>
      <c r="F14" s="540"/>
      <c r="G14" s="540"/>
      <c r="H14" s="540"/>
      <c r="I14" s="540"/>
      <c r="J14" s="541"/>
    </row>
    <row r="15" spans="1:10" ht="7.5" customHeight="1" thickBot="1">
      <c r="A15" s="210"/>
      <c r="B15" s="211"/>
      <c r="C15" s="211"/>
      <c r="D15" s="212"/>
      <c r="E15" s="212"/>
      <c r="F15" s="212"/>
      <c r="G15" s="211"/>
      <c r="H15" s="213"/>
      <c r="I15" s="211"/>
      <c r="J15" s="214"/>
    </row>
    <row r="16" spans="1:10" ht="16.5" customHeight="1" thickBot="1"/>
    <row r="17" spans="1:10">
      <c r="A17" s="215" t="s">
        <v>197</v>
      </c>
      <c r="B17" s="216">
        <f>PARCELAR!B9</f>
        <v>0</v>
      </c>
      <c r="C17" s="217" t="s">
        <v>196</v>
      </c>
      <c r="D17" s="218">
        <f ca="1">D1</f>
        <v>44114</v>
      </c>
      <c r="E17" s="204" t="s">
        <v>214</v>
      </c>
      <c r="F17" s="218" t="str">
        <f>PARCELAR!G9</f>
        <v/>
      </c>
      <c r="G17" s="204" t="s">
        <v>27</v>
      </c>
      <c r="H17" s="219">
        <f>H1</f>
        <v>10</v>
      </c>
      <c r="I17" s="204" t="s">
        <v>197</v>
      </c>
      <c r="J17" s="220">
        <f>J1</f>
        <v>10</v>
      </c>
    </row>
    <row r="18" spans="1:10">
      <c r="A18" s="207" t="s">
        <v>198</v>
      </c>
      <c r="B18" s="193">
        <f>B2</f>
        <v>30</v>
      </c>
      <c r="C18" s="192" t="s">
        <v>199</v>
      </c>
      <c r="D18" s="193" t="e">
        <f>MONTH(F17)</f>
        <v>#VALUE!</v>
      </c>
      <c r="E18" s="192" t="s">
        <v>200</v>
      </c>
      <c r="F18" s="193">
        <f ca="1">F2</f>
        <v>2020</v>
      </c>
      <c r="G18" s="548" t="s">
        <v>213</v>
      </c>
      <c r="H18" s="549"/>
      <c r="I18" s="549"/>
      <c r="J18" s="550"/>
    </row>
    <row r="19" spans="1:10">
      <c r="A19" s="551" t="s">
        <v>201</v>
      </c>
      <c r="B19" s="544"/>
      <c r="C19" s="544"/>
      <c r="D19" s="544"/>
      <c r="E19" s="192" t="s">
        <v>202</v>
      </c>
      <c r="F19" s="552" t="s">
        <v>203</v>
      </c>
      <c r="G19" s="553"/>
      <c r="H19" s="194" t="s">
        <v>204</v>
      </c>
      <c r="I19" s="540"/>
      <c r="J19" s="541"/>
    </row>
    <row r="20" spans="1:10">
      <c r="A20" s="542" t="s">
        <v>205</v>
      </c>
      <c r="B20" s="543"/>
      <c r="C20" s="543"/>
      <c r="D20" s="540"/>
      <c r="E20" s="540"/>
      <c r="F20" s="540"/>
      <c r="G20" s="540"/>
      <c r="H20" s="540"/>
      <c r="I20" s="540"/>
      <c r="J20" s="541"/>
    </row>
    <row r="21" spans="1:10">
      <c r="A21" s="205" t="s">
        <v>206</v>
      </c>
      <c r="B21" s="544" t="s">
        <v>105</v>
      </c>
      <c r="C21" s="544"/>
      <c r="D21" s="192"/>
      <c r="E21" s="192"/>
      <c r="F21" s="192"/>
      <c r="G21" s="196"/>
      <c r="H21" s="194"/>
      <c r="I21" s="196"/>
      <c r="J21" s="206"/>
    </row>
    <row r="22" spans="1:10">
      <c r="A22" s="545"/>
      <c r="B22" s="546"/>
      <c r="C22" s="546"/>
      <c r="D22" s="546"/>
      <c r="E22" s="546"/>
      <c r="F22" s="546"/>
      <c r="G22" s="546"/>
      <c r="H22" s="546"/>
      <c r="I22" s="546"/>
      <c r="J22" s="547"/>
    </row>
    <row r="23" spans="1:10">
      <c r="A23" s="207" t="s">
        <v>207</v>
      </c>
      <c r="B23" s="538">
        <f>B7</f>
        <v>0</v>
      </c>
      <c r="C23" s="538"/>
      <c r="D23" s="538"/>
      <c r="E23" s="192" t="s">
        <v>208</v>
      </c>
      <c r="F23" s="538" t="str">
        <f>F39</f>
        <v>-</v>
      </c>
      <c r="G23" s="538"/>
      <c r="H23" s="194" t="s">
        <v>101</v>
      </c>
      <c r="I23" s="538" t="str">
        <f>I7</f>
        <v>-</v>
      </c>
      <c r="J23" s="539"/>
    </row>
    <row r="24" spans="1:10">
      <c r="A24" s="207" t="s">
        <v>94</v>
      </c>
      <c r="B24" s="538" t="str">
        <f>B8</f>
        <v>-</v>
      </c>
      <c r="C24" s="538"/>
      <c r="D24" s="538"/>
      <c r="E24" s="192" t="s">
        <v>98</v>
      </c>
      <c r="F24" s="538" t="str">
        <f>F8</f>
        <v>-</v>
      </c>
      <c r="G24" s="538"/>
      <c r="H24" s="538"/>
      <c r="I24" s="538"/>
      <c r="J24" s="539"/>
    </row>
    <row r="25" spans="1:10">
      <c r="A25" s="207" t="s">
        <v>209</v>
      </c>
      <c r="B25" s="538" t="str">
        <f>B9</f>
        <v>-</v>
      </c>
      <c r="C25" s="538"/>
      <c r="D25" s="192"/>
      <c r="E25" s="192" t="s">
        <v>93</v>
      </c>
      <c r="F25" s="197" t="str">
        <f>F9</f>
        <v>-</v>
      </c>
      <c r="G25" s="196"/>
      <c r="H25" s="194" t="s">
        <v>99</v>
      </c>
      <c r="I25" s="538" t="str">
        <f>I9</f>
        <v>-</v>
      </c>
      <c r="J25" s="539"/>
    </row>
    <row r="26" spans="1:10">
      <c r="A26" s="208"/>
      <c r="B26" s="198"/>
      <c r="C26" s="198"/>
      <c r="D26" s="199"/>
      <c r="E26" s="199"/>
      <c r="F26" s="199"/>
      <c r="G26" s="198"/>
      <c r="H26" s="200"/>
      <c r="I26" s="198"/>
      <c r="J26" s="209"/>
    </row>
    <row r="27" spans="1:10">
      <c r="A27" s="207" t="s">
        <v>210</v>
      </c>
      <c r="B27" s="538" t="str">
        <f>PEDIDOS!E3</f>
        <v>ADMIN</v>
      </c>
      <c r="C27" s="538"/>
      <c r="D27" s="192"/>
      <c r="E27" s="192"/>
      <c r="F27" s="192"/>
      <c r="G27" s="196"/>
      <c r="H27" s="194"/>
      <c r="I27" s="196"/>
      <c r="J27" s="206"/>
    </row>
    <row r="28" spans="1:10">
      <c r="A28" s="537" t="s">
        <v>211</v>
      </c>
      <c r="B28" s="538"/>
      <c r="C28" s="538"/>
      <c r="D28" s="538"/>
      <c r="E28" s="538"/>
      <c r="F28" s="538"/>
      <c r="G28" s="538"/>
      <c r="H28" s="538"/>
      <c r="I28" s="538"/>
      <c r="J28" s="539"/>
    </row>
    <row r="29" spans="1:10">
      <c r="A29" s="207"/>
      <c r="B29" s="196"/>
      <c r="C29" s="196"/>
      <c r="D29" s="192"/>
      <c r="E29" s="192"/>
      <c r="F29" s="192"/>
      <c r="G29" s="196"/>
      <c r="H29" s="194"/>
      <c r="I29" s="196"/>
      <c r="J29" s="206"/>
    </row>
    <row r="30" spans="1:10">
      <c r="A30" s="207" t="s">
        <v>212</v>
      </c>
      <c r="B30" s="540"/>
      <c r="C30" s="540"/>
      <c r="D30" s="540"/>
      <c r="E30" s="540"/>
      <c r="F30" s="540"/>
      <c r="G30" s="540"/>
      <c r="H30" s="540"/>
      <c r="I30" s="540"/>
      <c r="J30" s="541"/>
    </row>
    <row r="31" spans="1:10" ht="12.75" thickBot="1">
      <c r="A31" s="210"/>
      <c r="B31" s="211"/>
      <c r="C31" s="211"/>
      <c r="D31" s="212"/>
      <c r="E31" s="212"/>
      <c r="F31" s="212"/>
      <c r="G31" s="211"/>
      <c r="H31" s="213"/>
      <c r="I31" s="211"/>
      <c r="J31" s="214"/>
    </row>
    <row r="32" spans="1:10" ht="16.5" customHeight="1" thickBot="1"/>
    <row r="33" spans="1:10">
      <c r="A33" s="215" t="s">
        <v>197</v>
      </c>
      <c r="B33" s="216">
        <f>PARCELAR!B10</f>
        <v>0</v>
      </c>
      <c r="C33" s="217" t="s">
        <v>196</v>
      </c>
      <c r="D33" s="218">
        <f ca="1">D17</f>
        <v>44114</v>
      </c>
      <c r="E33" s="204" t="s">
        <v>214</v>
      </c>
      <c r="F33" s="218" t="str">
        <f>PARCELAR!G10</f>
        <v/>
      </c>
      <c r="G33" s="204" t="s">
        <v>27</v>
      </c>
      <c r="H33" s="219">
        <f>H17</f>
        <v>10</v>
      </c>
      <c r="I33" s="204" t="s">
        <v>197</v>
      </c>
      <c r="J33" s="220">
        <f>J17</f>
        <v>10</v>
      </c>
    </row>
    <row r="34" spans="1:10">
      <c r="A34" s="207" t="s">
        <v>198</v>
      </c>
      <c r="B34" s="193">
        <f>B18</f>
        <v>30</v>
      </c>
      <c r="C34" s="192" t="s">
        <v>199</v>
      </c>
      <c r="D34" s="193" t="e">
        <f>MONTH(F33)</f>
        <v>#VALUE!</v>
      </c>
      <c r="E34" s="192" t="s">
        <v>200</v>
      </c>
      <c r="F34" s="193">
        <f ca="1">F18</f>
        <v>2020</v>
      </c>
      <c r="G34" s="548" t="s">
        <v>213</v>
      </c>
      <c r="H34" s="549"/>
      <c r="I34" s="549"/>
      <c r="J34" s="550"/>
    </row>
    <row r="35" spans="1:10">
      <c r="A35" s="551" t="s">
        <v>201</v>
      </c>
      <c r="B35" s="544"/>
      <c r="C35" s="544"/>
      <c r="D35" s="544"/>
      <c r="E35" s="192" t="s">
        <v>202</v>
      </c>
      <c r="F35" s="552" t="s">
        <v>203</v>
      </c>
      <c r="G35" s="553"/>
      <c r="H35" s="194" t="s">
        <v>204</v>
      </c>
      <c r="I35" s="540"/>
      <c r="J35" s="541"/>
    </row>
    <row r="36" spans="1:10">
      <c r="A36" s="542" t="s">
        <v>205</v>
      </c>
      <c r="B36" s="543"/>
      <c r="C36" s="543"/>
      <c r="D36" s="540"/>
      <c r="E36" s="540"/>
      <c r="F36" s="540"/>
      <c r="G36" s="540"/>
      <c r="H36" s="540"/>
      <c r="I36" s="540"/>
      <c r="J36" s="541"/>
    </row>
    <row r="37" spans="1:10">
      <c r="A37" s="205" t="s">
        <v>206</v>
      </c>
      <c r="B37" s="544" t="s">
        <v>105</v>
      </c>
      <c r="C37" s="544"/>
      <c r="D37" s="192"/>
      <c r="E37" s="192"/>
      <c r="F37" s="192"/>
      <c r="G37" s="196"/>
      <c r="H37" s="194"/>
      <c r="I37" s="196"/>
      <c r="J37" s="206"/>
    </row>
    <row r="38" spans="1:10">
      <c r="A38" s="545"/>
      <c r="B38" s="546"/>
      <c r="C38" s="546"/>
      <c r="D38" s="546"/>
      <c r="E38" s="546"/>
      <c r="F38" s="546"/>
      <c r="G38" s="546"/>
      <c r="H38" s="546"/>
      <c r="I38" s="546"/>
      <c r="J38" s="547"/>
    </row>
    <row r="39" spans="1:10">
      <c r="A39" s="207" t="s">
        <v>207</v>
      </c>
      <c r="B39" s="538">
        <f>B23</f>
        <v>0</v>
      </c>
      <c r="C39" s="538"/>
      <c r="D39" s="538"/>
      <c r="E39" s="192" t="s">
        <v>208</v>
      </c>
      <c r="F39" s="538" t="str">
        <f>F7</f>
        <v>-</v>
      </c>
      <c r="G39" s="538"/>
      <c r="H39" s="194" t="s">
        <v>101</v>
      </c>
      <c r="I39" s="538" t="str">
        <f>I23</f>
        <v>-</v>
      </c>
      <c r="J39" s="539"/>
    </row>
    <row r="40" spans="1:10">
      <c r="A40" s="207" t="s">
        <v>94</v>
      </c>
      <c r="B40" s="538" t="str">
        <f>B24</f>
        <v>-</v>
      </c>
      <c r="C40" s="538"/>
      <c r="D40" s="538"/>
      <c r="E40" s="192" t="s">
        <v>98</v>
      </c>
      <c r="F40" s="538" t="str">
        <f>F24</f>
        <v>-</v>
      </c>
      <c r="G40" s="538"/>
      <c r="H40" s="538"/>
      <c r="I40" s="538"/>
      <c r="J40" s="539"/>
    </row>
    <row r="41" spans="1:10">
      <c r="A41" s="207" t="s">
        <v>209</v>
      </c>
      <c r="B41" s="538" t="str">
        <f>B25</f>
        <v>-</v>
      </c>
      <c r="C41" s="538"/>
      <c r="D41" s="192"/>
      <c r="E41" s="192" t="s">
        <v>93</v>
      </c>
      <c r="F41" s="197" t="str">
        <f>F25</f>
        <v>-</v>
      </c>
      <c r="G41" s="196"/>
      <c r="H41" s="194" t="s">
        <v>99</v>
      </c>
      <c r="I41" s="538" t="str">
        <f>I25</f>
        <v>-</v>
      </c>
      <c r="J41" s="539"/>
    </row>
    <row r="42" spans="1:10">
      <c r="A42" s="208"/>
      <c r="B42" s="198"/>
      <c r="C42" s="198"/>
      <c r="D42" s="199"/>
      <c r="E42" s="199"/>
      <c r="F42" s="199"/>
      <c r="G42" s="198"/>
      <c r="H42" s="200"/>
      <c r="I42" s="198"/>
      <c r="J42" s="209"/>
    </row>
    <row r="43" spans="1:10">
      <c r="A43" s="207" t="s">
        <v>210</v>
      </c>
      <c r="B43" s="538" t="str">
        <f>PEDIDOS!E3</f>
        <v>ADMIN</v>
      </c>
      <c r="C43" s="538"/>
      <c r="D43" s="192"/>
      <c r="E43" s="192"/>
      <c r="F43" s="192"/>
      <c r="G43" s="196"/>
      <c r="H43" s="194"/>
      <c r="I43" s="196"/>
      <c r="J43" s="206"/>
    </row>
    <row r="44" spans="1:10">
      <c r="A44" s="537" t="s">
        <v>211</v>
      </c>
      <c r="B44" s="538"/>
      <c r="C44" s="538"/>
      <c r="D44" s="538"/>
      <c r="E44" s="538"/>
      <c r="F44" s="538"/>
      <c r="G44" s="538"/>
      <c r="H44" s="538"/>
      <c r="I44" s="538"/>
      <c r="J44" s="539"/>
    </row>
    <row r="45" spans="1:10">
      <c r="A45" s="207"/>
      <c r="B45" s="196"/>
      <c r="C45" s="196"/>
      <c r="D45" s="192"/>
      <c r="E45" s="192"/>
      <c r="F45" s="192"/>
      <c r="G45" s="196"/>
      <c r="H45" s="194"/>
      <c r="I45" s="196"/>
      <c r="J45" s="206"/>
    </row>
    <row r="46" spans="1:10">
      <c r="A46" s="207" t="s">
        <v>212</v>
      </c>
      <c r="B46" s="540"/>
      <c r="C46" s="540"/>
      <c r="D46" s="540"/>
      <c r="E46" s="540"/>
      <c r="F46" s="540"/>
      <c r="G46" s="540"/>
      <c r="H46" s="540"/>
      <c r="I46" s="540"/>
      <c r="J46" s="541"/>
    </row>
    <row r="47" spans="1:10" ht="12.75" thickBot="1">
      <c r="A47" s="210"/>
      <c r="B47" s="211"/>
      <c r="C47" s="211"/>
      <c r="D47" s="212"/>
      <c r="E47" s="212"/>
      <c r="F47" s="212"/>
      <c r="G47" s="211"/>
      <c r="H47" s="213"/>
      <c r="I47" s="211"/>
      <c r="J47" s="214"/>
    </row>
    <row r="48" spans="1:10" ht="16.5" customHeight="1" thickBot="1"/>
    <row r="49" spans="1:10">
      <c r="A49" s="215" t="s">
        <v>197</v>
      </c>
      <c r="B49" s="216">
        <f>PARCELAR!B11</f>
        <v>0</v>
      </c>
      <c r="C49" s="217" t="s">
        <v>196</v>
      </c>
      <c r="D49" s="218">
        <f ca="1">D33</f>
        <v>44114</v>
      </c>
      <c r="E49" s="204" t="s">
        <v>214</v>
      </c>
      <c r="F49" s="218" t="str">
        <f>PARCELAR!G11</f>
        <v/>
      </c>
      <c r="G49" s="204" t="s">
        <v>27</v>
      </c>
      <c r="H49" s="219">
        <f>H33</f>
        <v>10</v>
      </c>
      <c r="I49" s="204" t="s">
        <v>197</v>
      </c>
      <c r="J49" s="220">
        <f>J33</f>
        <v>10</v>
      </c>
    </row>
    <row r="50" spans="1:10">
      <c r="A50" s="207" t="s">
        <v>198</v>
      </c>
      <c r="B50" s="193">
        <f>B34</f>
        <v>30</v>
      </c>
      <c r="C50" s="192" t="s">
        <v>199</v>
      </c>
      <c r="D50" s="193" t="e">
        <f>MONTH(F49)</f>
        <v>#VALUE!</v>
      </c>
      <c r="E50" s="192" t="s">
        <v>200</v>
      </c>
      <c r="F50" s="193">
        <f ca="1">F34</f>
        <v>2020</v>
      </c>
      <c r="G50" s="548" t="s">
        <v>213</v>
      </c>
      <c r="H50" s="549"/>
      <c r="I50" s="549"/>
      <c r="J50" s="550"/>
    </row>
    <row r="51" spans="1:10">
      <c r="A51" s="551" t="s">
        <v>201</v>
      </c>
      <c r="B51" s="544"/>
      <c r="C51" s="544"/>
      <c r="D51" s="544"/>
      <c r="E51" s="192" t="s">
        <v>202</v>
      </c>
      <c r="F51" s="552" t="s">
        <v>203</v>
      </c>
      <c r="G51" s="553"/>
      <c r="H51" s="194" t="s">
        <v>204</v>
      </c>
      <c r="I51" s="540"/>
      <c r="J51" s="541"/>
    </row>
    <row r="52" spans="1:10">
      <c r="A52" s="542" t="s">
        <v>205</v>
      </c>
      <c r="B52" s="543"/>
      <c r="C52" s="543"/>
      <c r="D52" s="540"/>
      <c r="E52" s="540"/>
      <c r="F52" s="540"/>
      <c r="G52" s="540"/>
      <c r="H52" s="540"/>
      <c r="I52" s="540"/>
      <c r="J52" s="541"/>
    </row>
    <row r="53" spans="1:10">
      <c r="A53" s="205" t="s">
        <v>206</v>
      </c>
      <c r="B53" s="544" t="s">
        <v>105</v>
      </c>
      <c r="C53" s="544"/>
      <c r="D53" s="192"/>
      <c r="E53" s="192"/>
      <c r="F53" s="192"/>
      <c r="G53" s="196"/>
      <c r="H53" s="194"/>
      <c r="I53" s="196"/>
      <c r="J53" s="206"/>
    </row>
    <row r="54" spans="1:10">
      <c r="A54" s="545"/>
      <c r="B54" s="546"/>
      <c r="C54" s="546"/>
      <c r="D54" s="546"/>
      <c r="E54" s="546"/>
      <c r="F54" s="546"/>
      <c r="G54" s="546"/>
      <c r="H54" s="546"/>
      <c r="I54" s="546"/>
      <c r="J54" s="547"/>
    </row>
    <row r="55" spans="1:10">
      <c r="A55" s="207" t="s">
        <v>207</v>
      </c>
      <c r="B55" s="538">
        <f>B39</f>
        <v>0</v>
      </c>
      <c r="C55" s="538"/>
      <c r="D55" s="538"/>
      <c r="E55" s="192" t="s">
        <v>208</v>
      </c>
      <c r="F55" s="538" t="str">
        <f>F39</f>
        <v>-</v>
      </c>
      <c r="G55" s="538"/>
      <c r="H55" s="194" t="s">
        <v>101</v>
      </c>
      <c r="I55" s="538" t="str">
        <f>I39</f>
        <v>-</v>
      </c>
      <c r="J55" s="539"/>
    </row>
    <row r="56" spans="1:10">
      <c r="A56" s="207" t="s">
        <v>94</v>
      </c>
      <c r="B56" s="538" t="str">
        <f>B40</f>
        <v>-</v>
      </c>
      <c r="C56" s="538"/>
      <c r="D56" s="538"/>
      <c r="E56" s="192" t="s">
        <v>98</v>
      </c>
      <c r="F56" s="538" t="str">
        <f>F40</f>
        <v>-</v>
      </c>
      <c r="G56" s="538"/>
      <c r="H56" s="538"/>
      <c r="I56" s="538"/>
      <c r="J56" s="539"/>
    </row>
    <row r="57" spans="1:10">
      <c r="A57" s="207" t="s">
        <v>209</v>
      </c>
      <c r="B57" s="538" t="str">
        <f>B41</f>
        <v>-</v>
      </c>
      <c r="C57" s="538"/>
      <c r="D57" s="192"/>
      <c r="E57" s="192" t="s">
        <v>93</v>
      </c>
      <c r="F57" s="197" t="str">
        <f>F41</f>
        <v>-</v>
      </c>
      <c r="G57" s="196"/>
      <c r="H57" s="194" t="s">
        <v>99</v>
      </c>
      <c r="I57" s="538" t="str">
        <f>I41</f>
        <v>-</v>
      </c>
      <c r="J57" s="539"/>
    </row>
    <row r="58" spans="1:10">
      <c r="A58" s="208"/>
      <c r="B58" s="198"/>
      <c r="C58" s="198"/>
      <c r="D58" s="199"/>
      <c r="E58" s="199"/>
      <c r="F58" s="199"/>
      <c r="G58" s="198"/>
      <c r="H58" s="200"/>
      <c r="I58" s="198"/>
      <c r="J58" s="209"/>
    </row>
    <row r="59" spans="1:10">
      <c r="A59" s="207" t="s">
        <v>210</v>
      </c>
      <c r="B59" s="538" t="str">
        <f>PEDIDOS!E3</f>
        <v>ADMIN</v>
      </c>
      <c r="C59" s="538"/>
      <c r="D59" s="192"/>
      <c r="E59" s="192"/>
      <c r="F59" s="192"/>
      <c r="G59" s="196"/>
      <c r="H59" s="194"/>
      <c r="I59" s="196"/>
      <c r="J59" s="206"/>
    </row>
    <row r="60" spans="1:10">
      <c r="A60" s="537" t="s">
        <v>211</v>
      </c>
      <c r="B60" s="538"/>
      <c r="C60" s="538"/>
      <c r="D60" s="538"/>
      <c r="E60" s="538"/>
      <c r="F60" s="538"/>
      <c r="G60" s="538"/>
      <c r="H60" s="538"/>
      <c r="I60" s="538"/>
      <c r="J60" s="539"/>
    </row>
    <row r="61" spans="1:10">
      <c r="A61" s="207"/>
      <c r="B61" s="196"/>
      <c r="C61" s="196"/>
      <c r="D61" s="192"/>
      <c r="E61" s="192"/>
      <c r="F61" s="192"/>
      <c r="G61" s="196"/>
      <c r="H61" s="194"/>
      <c r="I61" s="196"/>
      <c r="J61" s="206"/>
    </row>
    <row r="62" spans="1:10">
      <c r="A62" s="207" t="s">
        <v>212</v>
      </c>
      <c r="B62" s="540"/>
      <c r="C62" s="540"/>
      <c r="D62" s="540"/>
      <c r="E62" s="540"/>
      <c r="F62" s="540"/>
      <c r="G62" s="540"/>
      <c r="H62" s="540"/>
      <c r="I62" s="540"/>
      <c r="J62" s="541"/>
    </row>
    <row r="63" spans="1:10" ht="12.75" thickBot="1">
      <c r="A63" s="210"/>
      <c r="B63" s="211"/>
      <c r="C63" s="211"/>
      <c r="D63" s="212"/>
      <c r="E63" s="212"/>
      <c r="F63" s="212"/>
      <c r="G63" s="211"/>
      <c r="H63" s="213"/>
      <c r="I63" s="211"/>
      <c r="J63" s="214"/>
    </row>
    <row r="64" spans="1:10" ht="16.5" customHeight="1" thickBot="1"/>
    <row r="65" spans="1:10">
      <c r="A65" s="215" t="s">
        <v>197</v>
      </c>
      <c r="B65" s="216">
        <f>PARCELAR!B12</f>
        <v>0</v>
      </c>
      <c r="C65" s="217" t="s">
        <v>196</v>
      </c>
      <c r="D65" s="218">
        <f ca="1">D49</f>
        <v>44114</v>
      </c>
      <c r="E65" s="204" t="s">
        <v>214</v>
      </c>
      <c r="F65" s="218" t="str">
        <f>PARCELAR!G12</f>
        <v/>
      </c>
      <c r="G65" s="204" t="s">
        <v>27</v>
      </c>
      <c r="H65" s="219">
        <f>H49</f>
        <v>10</v>
      </c>
      <c r="I65" s="204" t="s">
        <v>197</v>
      </c>
      <c r="J65" s="220">
        <f>J49</f>
        <v>10</v>
      </c>
    </row>
    <row r="66" spans="1:10">
      <c r="A66" s="207" t="s">
        <v>198</v>
      </c>
      <c r="B66" s="193">
        <f>B50</f>
        <v>30</v>
      </c>
      <c r="C66" s="192" t="s">
        <v>199</v>
      </c>
      <c r="D66" s="193" t="e">
        <f>MONTH(F65)</f>
        <v>#VALUE!</v>
      </c>
      <c r="E66" s="192" t="s">
        <v>200</v>
      </c>
      <c r="F66" s="193">
        <f ca="1">F50</f>
        <v>2020</v>
      </c>
      <c r="G66" s="548" t="s">
        <v>213</v>
      </c>
      <c r="H66" s="549"/>
      <c r="I66" s="549"/>
      <c r="J66" s="550"/>
    </row>
    <row r="67" spans="1:10">
      <c r="A67" s="551" t="s">
        <v>201</v>
      </c>
      <c r="B67" s="544"/>
      <c r="C67" s="544"/>
      <c r="D67" s="544"/>
      <c r="E67" s="192" t="s">
        <v>202</v>
      </c>
      <c r="F67" s="552" t="s">
        <v>203</v>
      </c>
      <c r="G67" s="553"/>
      <c r="H67" s="194" t="s">
        <v>204</v>
      </c>
      <c r="I67" s="540"/>
      <c r="J67" s="541"/>
    </row>
    <row r="68" spans="1:10">
      <c r="A68" s="542" t="s">
        <v>205</v>
      </c>
      <c r="B68" s="543"/>
      <c r="C68" s="543"/>
      <c r="D68" s="540"/>
      <c r="E68" s="540"/>
      <c r="F68" s="540"/>
      <c r="G68" s="540"/>
      <c r="H68" s="540"/>
      <c r="I68" s="540"/>
      <c r="J68" s="541"/>
    </row>
    <row r="69" spans="1:10">
      <c r="A69" s="205" t="s">
        <v>206</v>
      </c>
      <c r="B69" s="544" t="s">
        <v>105</v>
      </c>
      <c r="C69" s="544"/>
      <c r="D69" s="192"/>
      <c r="E69" s="192"/>
      <c r="F69" s="192"/>
      <c r="G69" s="196"/>
      <c r="H69" s="194"/>
      <c r="I69" s="196"/>
      <c r="J69" s="206"/>
    </row>
    <row r="70" spans="1:10">
      <c r="A70" s="545"/>
      <c r="B70" s="546"/>
      <c r="C70" s="546"/>
      <c r="D70" s="546"/>
      <c r="E70" s="546"/>
      <c r="F70" s="546"/>
      <c r="G70" s="546"/>
      <c r="H70" s="546"/>
      <c r="I70" s="546"/>
      <c r="J70" s="547"/>
    </row>
    <row r="71" spans="1:10">
      <c r="A71" s="207" t="s">
        <v>207</v>
      </c>
      <c r="B71" s="538">
        <f>B55</f>
        <v>0</v>
      </c>
      <c r="C71" s="538"/>
      <c r="D71" s="538"/>
      <c r="E71" s="192" t="s">
        <v>208</v>
      </c>
      <c r="F71" s="538" t="str">
        <f>F55</f>
        <v>-</v>
      </c>
      <c r="G71" s="538"/>
      <c r="H71" s="194" t="s">
        <v>101</v>
      </c>
      <c r="I71" s="538" t="str">
        <f>I55</f>
        <v>-</v>
      </c>
      <c r="J71" s="539"/>
    </row>
    <row r="72" spans="1:10">
      <c r="A72" s="207" t="s">
        <v>94</v>
      </c>
      <c r="B72" s="538" t="str">
        <f>B56</f>
        <v>-</v>
      </c>
      <c r="C72" s="538"/>
      <c r="D72" s="538"/>
      <c r="E72" s="192" t="s">
        <v>98</v>
      </c>
      <c r="F72" s="538" t="str">
        <f>F56</f>
        <v>-</v>
      </c>
      <c r="G72" s="538"/>
      <c r="H72" s="538"/>
      <c r="I72" s="538"/>
      <c r="J72" s="539"/>
    </row>
    <row r="73" spans="1:10">
      <c r="A73" s="207" t="s">
        <v>209</v>
      </c>
      <c r="B73" s="538" t="str">
        <f>B57</f>
        <v>-</v>
      </c>
      <c r="C73" s="538"/>
      <c r="D73" s="192"/>
      <c r="E73" s="192" t="s">
        <v>93</v>
      </c>
      <c r="F73" s="197" t="str">
        <f>F57</f>
        <v>-</v>
      </c>
      <c r="G73" s="196"/>
      <c r="H73" s="194" t="s">
        <v>99</v>
      </c>
      <c r="I73" s="538" t="str">
        <f>I57</f>
        <v>-</v>
      </c>
      <c r="J73" s="539"/>
    </row>
    <row r="74" spans="1:10">
      <c r="A74" s="208"/>
      <c r="B74" s="198"/>
      <c r="C74" s="198"/>
      <c r="D74" s="199"/>
      <c r="E74" s="199"/>
      <c r="F74" s="199"/>
      <c r="G74" s="198"/>
      <c r="H74" s="200"/>
      <c r="I74" s="198"/>
      <c r="J74" s="209"/>
    </row>
    <row r="75" spans="1:10">
      <c r="A75" s="207" t="s">
        <v>210</v>
      </c>
      <c r="B75" s="538" t="str">
        <f>PEDIDOS!E3</f>
        <v>ADMIN</v>
      </c>
      <c r="C75" s="538"/>
      <c r="D75" s="192"/>
      <c r="E75" s="192"/>
      <c r="F75" s="192"/>
      <c r="G75" s="196"/>
      <c r="H75" s="194"/>
      <c r="I75" s="196"/>
      <c r="J75" s="206"/>
    </row>
    <row r="76" spans="1:10">
      <c r="A76" s="537" t="s">
        <v>211</v>
      </c>
      <c r="B76" s="538"/>
      <c r="C76" s="538"/>
      <c r="D76" s="538"/>
      <c r="E76" s="538"/>
      <c r="F76" s="538"/>
      <c r="G76" s="538"/>
      <c r="H76" s="538"/>
      <c r="I76" s="538"/>
      <c r="J76" s="539"/>
    </row>
    <row r="77" spans="1:10">
      <c r="A77" s="207"/>
      <c r="B77" s="196"/>
      <c r="C77" s="196"/>
      <c r="D77" s="192"/>
      <c r="E77" s="192"/>
      <c r="F77" s="192"/>
      <c r="G77" s="196"/>
      <c r="H77" s="194"/>
      <c r="I77" s="196"/>
      <c r="J77" s="206"/>
    </row>
    <row r="78" spans="1:10">
      <c r="A78" s="207" t="s">
        <v>212</v>
      </c>
      <c r="B78" s="540"/>
      <c r="C78" s="540"/>
      <c r="D78" s="540"/>
      <c r="E78" s="540"/>
      <c r="F78" s="540"/>
      <c r="G78" s="540"/>
      <c r="H78" s="540"/>
      <c r="I78" s="540"/>
      <c r="J78" s="541"/>
    </row>
    <row r="79" spans="1:10" ht="12.75" thickBot="1">
      <c r="A79" s="210"/>
      <c r="B79" s="211"/>
      <c r="C79" s="211"/>
      <c r="D79" s="212"/>
      <c r="E79" s="212"/>
      <c r="F79" s="212"/>
      <c r="G79" s="211"/>
      <c r="H79" s="213"/>
      <c r="I79" s="211"/>
      <c r="J79" s="214"/>
    </row>
    <row r="80" spans="1:10" ht="16.5" customHeight="1" thickBot="1"/>
    <row r="81" spans="1:10">
      <c r="A81" s="215" t="s">
        <v>197</v>
      </c>
      <c r="B81" s="216">
        <f>PARCELAR!B13</f>
        <v>0</v>
      </c>
      <c r="C81" s="217" t="s">
        <v>196</v>
      </c>
      <c r="D81" s="218">
        <f ca="1">D65</f>
        <v>44114</v>
      </c>
      <c r="E81" s="204" t="s">
        <v>214</v>
      </c>
      <c r="F81" s="218" t="str">
        <f>PARCELAR!G13</f>
        <v/>
      </c>
      <c r="G81" s="204" t="s">
        <v>27</v>
      </c>
      <c r="H81" s="219">
        <f>H65</f>
        <v>10</v>
      </c>
      <c r="I81" s="204" t="s">
        <v>197</v>
      </c>
      <c r="J81" s="221">
        <f>J65</f>
        <v>10</v>
      </c>
    </row>
    <row r="82" spans="1:10">
      <c r="A82" s="207" t="s">
        <v>198</v>
      </c>
      <c r="B82" s="193">
        <f>B66</f>
        <v>30</v>
      </c>
      <c r="C82" s="192" t="s">
        <v>199</v>
      </c>
      <c r="D82" s="195" t="e">
        <f>MONTH(F81)</f>
        <v>#VALUE!</v>
      </c>
      <c r="E82" s="192" t="s">
        <v>200</v>
      </c>
      <c r="F82" s="195">
        <f ca="1">F66</f>
        <v>2020</v>
      </c>
      <c r="G82" s="554" t="s">
        <v>213</v>
      </c>
      <c r="H82" s="540"/>
      <c r="I82" s="540"/>
      <c r="J82" s="541"/>
    </row>
    <row r="83" spans="1:10">
      <c r="A83" s="551" t="s">
        <v>201</v>
      </c>
      <c r="B83" s="544"/>
      <c r="C83" s="544"/>
      <c r="D83" s="544"/>
      <c r="E83" s="192" t="s">
        <v>202</v>
      </c>
      <c r="F83" s="552" t="s">
        <v>203</v>
      </c>
      <c r="G83" s="553"/>
      <c r="H83" s="194" t="s">
        <v>204</v>
      </c>
      <c r="I83" s="540"/>
      <c r="J83" s="541"/>
    </row>
    <row r="84" spans="1:10">
      <c r="A84" s="542" t="s">
        <v>205</v>
      </c>
      <c r="B84" s="543"/>
      <c r="C84" s="543"/>
      <c r="D84" s="540"/>
      <c r="E84" s="540"/>
      <c r="F84" s="540"/>
      <c r="G84" s="540"/>
      <c r="H84" s="540"/>
      <c r="I84" s="540"/>
      <c r="J84" s="541"/>
    </row>
    <row r="85" spans="1:10">
      <c r="A85" s="205" t="s">
        <v>206</v>
      </c>
      <c r="B85" s="544" t="s">
        <v>105</v>
      </c>
      <c r="C85" s="544"/>
      <c r="D85" s="192"/>
      <c r="E85" s="192"/>
      <c r="F85" s="192"/>
      <c r="G85" s="196"/>
      <c r="H85" s="194"/>
      <c r="I85" s="196"/>
      <c r="J85" s="206"/>
    </row>
    <row r="86" spans="1:10">
      <c r="A86" s="545"/>
      <c r="B86" s="546"/>
      <c r="C86" s="546"/>
      <c r="D86" s="546"/>
      <c r="E86" s="546"/>
      <c r="F86" s="546"/>
      <c r="G86" s="546"/>
      <c r="H86" s="546"/>
      <c r="I86" s="546"/>
      <c r="J86" s="547"/>
    </row>
    <row r="87" spans="1:10">
      <c r="A87" s="207" t="s">
        <v>207</v>
      </c>
      <c r="B87" s="538">
        <f>B71</f>
        <v>0</v>
      </c>
      <c r="C87" s="538"/>
      <c r="D87" s="538"/>
      <c r="E87" s="192" t="s">
        <v>208</v>
      </c>
      <c r="F87" s="538" t="str">
        <f>F71</f>
        <v>-</v>
      </c>
      <c r="G87" s="538"/>
      <c r="H87" s="194" t="s">
        <v>101</v>
      </c>
      <c r="I87" s="538" t="str">
        <f>I71</f>
        <v>-</v>
      </c>
      <c r="J87" s="539"/>
    </row>
    <row r="88" spans="1:10">
      <c r="A88" s="207" t="s">
        <v>94</v>
      </c>
      <c r="B88" s="538" t="str">
        <f>B72</f>
        <v>-</v>
      </c>
      <c r="C88" s="538"/>
      <c r="D88" s="538"/>
      <c r="E88" s="192" t="s">
        <v>98</v>
      </c>
      <c r="F88" s="538" t="str">
        <f>F72</f>
        <v>-</v>
      </c>
      <c r="G88" s="538"/>
      <c r="H88" s="538"/>
      <c r="I88" s="538"/>
      <c r="J88" s="539"/>
    </row>
    <row r="89" spans="1:10">
      <c r="A89" s="207" t="s">
        <v>209</v>
      </c>
      <c r="B89" s="538" t="str">
        <f>B73</f>
        <v>-</v>
      </c>
      <c r="C89" s="538"/>
      <c r="D89" s="192"/>
      <c r="E89" s="192" t="s">
        <v>93</v>
      </c>
      <c r="F89" s="197" t="str">
        <f>F73</f>
        <v>-</v>
      </c>
      <c r="G89" s="196"/>
      <c r="H89" s="194" t="s">
        <v>99</v>
      </c>
      <c r="I89" s="538" t="str">
        <f>I73</f>
        <v>-</v>
      </c>
      <c r="J89" s="539"/>
    </row>
    <row r="90" spans="1:10">
      <c r="A90" s="208"/>
      <c r="B90" s="198"/>
      <c r="C90" s="198"/>
      <c r="D90" s="199"/>
      <c r="E90" s="199"/>
      <c r="F90" s="199"/>
      <c r="G90" s="198"/>
      <c r="H90" s="200"/>
      <c r="I90" s="198"/>
      <c r="J90" s="209"/>
    </row>
    <row r="91" spans="1:10">
      <c r="A91" s="207" t="s">
        <v>210</v>
      </c>
      <c r="B91" s="538" t="str">
        <f>PEDIDOS!E3</f>
        <v>ADMIN</v>
      </c>
      <c r="C91" s="538"/>
      <c r="D91" s="192"/>
      <c r="E91" s="192"/>
      <c r="F91" s="192"/>
      <c r="G91" s="196"/>
      <c r="H91" s="194"/>
      <c r="I91" s="196"/>
      <c r="J91" s="206"/>
    </row>
    <row r="92" spans="1:10">
      <c r="A92" s="537" t="s">
        <v>211</v>
      </c>
      <c r="B92" s="538"/>
      <c r="C92" s="538"/>
      <c r="D92" s="538"/>
      <c r="E92" s="538"/>
      <c r="F92" s="538"/>
      <c r="G92" s="538"/>
      <c r="H92" s="538"/>
      <c r="I92" s="538"/>
      <c r="J92" s="539"/>
    </row>
    <row r="93" spans="1:10">
      <c r="A93" s="207"/>
      <c r="B93" s="196"/>
      <c r="C93" s="196"/>
      <c r="D93" s="192"/>
      <c r="E93" s="192"/>
      <c r="F93" s="192"/>
      <c r="G93" s="196"/>
      <c r="H93" s="194"/>
      <c r="I93" s="196"/>
      <c r="J93" s="206"/>
    </row>
    <row r="94" spans="1:10">
      <c r="A94" s="207" t="s">
        <v>212</v>
      </c>
      <c r="B94" s="540"/>
      <c r="C94" s="540"/>
      <c r="D94" s="540"/>
      <c r="E94" s="540"/>
      <c r="F94" s="540"/>
      <c r="G94" s="540"/>
      <c r="H94" s="540"/>
      <c r="I94" s="540"/>
      <c r="J94" s="541"/>
    </row>
    <row r="95" spans="1:10" ht="12.75" thickBot="1">
      <c r="A95" s="210"/>
      <c r="B95" s="211"/>
      <c r="C95" s="211"/>
      <c r="D95" s="212"/>
      <c r="E95" s="212"/>
      <c r="F95" s="212"/>
      <c r="G95" s="211"/>
      <c r="H95" s="213"/>
      <c r="I95" s="211"/>
      <c r="J95" s="214"/>
    </row>
    <row r="96" spans="1:10" ht="16.5" customHeight="1" thickBot="1"/>
    <row r="97" spans="1:10">
      <c r="A97" s="215" t="s">
        <v>197</v>
      </c>
      <c r="B97" s="216">
        <f>PARCELAR!B14</f>
        <v>0</v>
      </c>
      <c r="C97" s="217" t="s">
        <v>196</v>
      </c>
      <c r="D97" s="218">
        <f ca="1">D81</f>
        <v>44114</v>
      </c>
      <c r="E97" s="204" t="s">
        <v>214</v>
      </c>
      <c r="F97" s="218" t="str">
        <f>PARCELAR!G14</f>
        <v/>
      </c>
      <c r="G97" s="204" t="s">
        <v>27</v>
      </c>
      <c r="H97" s="219">
        <f>H81</f>
        <v>10</v>
      </c>
      <c r="I97" s="204" t="s">
        <v>197</v>
      </c>
      <c r="J97" s="220">
        <f>J81</f>
        <v>10</v>
      </c>
    </row>
    <row r="98" spans="1:10">
      <c r="A98" s="207" t="s">
        <v>198</v>
      </c>
      <c r="B98" s="193">
        <f>B82</f>
        <v>30</v>
      </c>
      <c r="C98" s="192" t="s">
        <v>199</v>
      </c>
      <c r="D98" s="193" t="e">
        <f>MONTH(F97)</f>
        <v>#VALUE!</v>
      </c>
      <c r="E98" s="192" t="s">
        <v>200</v>
      </c>
      <c r="F98" s="193">
        <f ca="1">F82</f>
        <v>2020</v>
      </c>
      <c r="G98" s="548" t="s">
        <v>213</v>
      </c>
      <c r="H98" s="549"/>
      <c r="I98" s="549"/>
      <c r="J98" s="550"/>
    </row>
    <row r="99" spans="1:10">
      <c r="A99" s="551" t="s">
        <v>201</v>
      </c>
      <c r="B99" s="544"/>
      <c r="C99" s="544"/>
      <c r="D99" s="544"/>
      <c r="E99" s="192" t="s">
        <v>202</v>
      </c>
      <c r="F99" s="552" t="s">
        <v>203</v>
      </c>
      <c r="G99" s="553"/>
      <c r="H99" s="194" t="s">
        <v>204</v>
      </c>
      <c r="I99" s="540"/>
      <c r="J99" s="541"/>
    </row>
    <row r="100" spans="1:10">
      <c r="A100" s="542" t="s">
        <v>205</v>
      </c>
      <c r="B100" s="543"/>
      <c r="C100" s="543"/>
      <c r="D100" s="540"/>
      <c r="E100" s="540"/>
      <c r="F100" s="540"/>
      <c r="G100" s="540"/>
      <c r="H100" s="540"/>
      <c r="I100" s="540"/>
      <c r="J100" s="541"/>
    </row>
    <row r="101" spans="1:10">
      <c r="A101" s="205" t="s">
        <v>206</v>
      </c>
      <c r="B101" s="544" t="s">
        <v>105</v>
      </c>
      <c r="C101" s="544"/>
      <c r="D101" s="192"/>
      <c r="E101" s="192"/>
      <c r="F101" s="192"/>
      <c r="G101" s="196"/>
      <c r="H101" s="194"/>
      <c r="I101" s="196"/>
      <c r="J101" s="206"/>
    </row>
    <row r="102" spans="1:10">
      <c r="A102" s="545"/>
      <c r="B102" s="546"/>
      <c r="C102" s="546"/>
      <c r="D102" s="546"/>
      <c r="E102" s="546"/>
      <c r="F102" s="546"/>
      <c r="G102" s="546"/>
      <c r="H102" s="546"/>
      <c r="I102" s="546"/>
      <c r="J102" s="547"/>
    </row>
    <row r="103" spans="1:10">
      <c r="A103" s="207" t="s">
        <v>207</v>
      </c>
      <c r="B103" s="538">
        <f>B87</f>
        <v>0</v>
      </c>
      <c r="C103" s="538"/>
      <c r="D103" s="538"/>
      <c r="E103" s="192" t="s">
        <v>208</v>
      </c>
      <c r="F103" s="538" t="str">
        <f>F87</f>
        <v>-</v>
      </c>
      <c r="G103" s="538"/>
      <c r="H103" s="194" t="s">
        <v>101</v>
      </c>
      <c r="I103" s="538" t="str">
        <f>I87</f>
        <v>-</v>
      </c>
      <c r="J103" s="539"/>
    </row>
    <row r="104" spans="1:10">
      <c r="A104" s="207" t="s">
        <v>94</v>
      </c>
      <c r="B104" s="538" t="str">
        <f>B88</f>
        <v>-</v>
      </c>
      <c r="C104" s="538"/>
      <c r="D104" s="538"/>
      <c r="E104" s="192" t="s">
        <v>98</v>
      </c>
      <c r="F104" s="538" t="str">
        <f>F88</f>
        <v>-</v>
      </c>
      <c r="G104" s="538"/>
      <c r="H104" s="538"/>
      <c r="I104" s="538"/>
      <c r="J104" s="539"/>
    </row>
    <row r="105" spans="1:10">
      <c r="A105" s="207" t="s">
        <v>209</v>
      </c>
      <c r="B105" s="538" t="str">
        <f>B89</f>
        <v>-</v>
      </c>
      <c r="C105" s="538"/>
      <c r="D105" s="192"/>
      <c r="E105" s="192" t="s">
        <v>93</v>
      </c>
      <c r="F105" s="197" t="str">
        <f>F89</f>
        <v>-</v>
      </c>
      <c r="G105" s="196"/>
      <c r="H105" s="194" t="s">
        <v>99</v>
      </c>
      <c r="I105" s="538" t="str">
        <f>I89</f>
        <v>-</v>
      </c>
      <c r="J105" s="539"/>
    </row>
    <row r="106" spans="1:10">
      <c r="A106" s="208"/>
      <c r="B106" s="198"/>
      <c r="C106" s="198"/>
      <c r="D106" s="199"/>
      <c r="E106" s="199"/>
      <c r="F106" s="199"/>
      <c r="G106" s="198"/>
      <c r="H106" s="200"/>
      <c r="I106" s="198"/>
      <c r="J106" s="209"/>
    </row>
    <row r="107" spans="1:10">
      <c r="A107" s="207" t="s">
        <v>210</v>
      </c>
      <c r="B107" s="538" t="str">
        <f>PEDIDOS!E3</f>
        <v>ADMIN</v>
      </c>
      <c r="C107" s="538"/>
      <c r="D107" s="192"/>
      <c r="E107" s="192"/>
      <c r="F107" s="192"/>
      <c r="G107" s="196"/>
      <c r="H107" s="194"/>
      <c r="I107" s="196"/>
      <c r="J107" s="206"/>
    </row>
    <row r="108" spans="1:10">
      <c r="A108" s="537" t="s">
        <v>211</v>
      </c>
      <c r="B108" s="538"/>
      <c r="C108" s="538"/>
      <c r="D108" s="538"/>
      <c r="E108" s="538"/>
      <c r="F108" s="538"/>
      <c r="G108" s="538"/>
      <c r="H108" s="538"/>
      <c r="I108" s="538"/>
      <c r="J108" s="539"/>
    </row>
    <row r="109" spans="1:10">
      <c r="A109" s="207"/>
      <c r="B109" s="196"/>
      <c r="C109" s="196"/>
      <c r="D109" s="192"/>
      <c r="E109" s="192"/>
      <c r="F109" s="192"/>
      <c r="G109" s="196"/>
      <c r="H109" s="194"/>
      <c r="I109" s="196"/>
      <c r="J109" s="206"/>
    </row>
    <row r="110" spans="1:10">
      <c r="A110" s="207" t="s">
        <v>212</v>
      </c>
      <c r="B110" s="540"/>
      <c r="C110" s="540"/>
      <c r="D110" s="540"/>
      <c r="E110" s="540"/>
      <c r="F110" s="540"/>
      <c r="G110" s="540"/>
      <c r="H110" s="540"/>
      <c r="I110" s="540"/>
      <c r="J110" s="541"/>
    </row>
    <row r="111" spans="1:10" ht="12.75" thickBot="1">
      <c r="A111" s="210"/>
      <c r="B111" s="211"/>
      <c r="C111" s="211"/>
      <c r="D111" s="212"/>
      <c r="E111" s="212"/>
      <c r="F111" s="212"/>
      <c r="G111" s="211"/>
      <c r="H111" s="213"/>
      <c r="I111" s="211"/>
      <c r="J111" s="214"/>
    </row>
    <row r="112" spans="1:10" ht="16.5" customHeight="1" thickBot="1"/>
    <row r="113" spans="1:10">
      <c r="A113" s="215" t="s">
        <v>197</v>
      </c>
      <c r="B113" s="216">
        <f>PARCELAR!B15</f>
        <v>0</v>
      </c>
      <c r="C113" s="217" t="s">
        <v>196</v>
      </c>
      <c r="D113" s="218">
        <f ca="1">D97</f>
        <v>44114</v>
      </c>
      <c r="E113" s="204" t="s">
        <v>214</v>
      </c>
      <c r="F113" s="218" t="str">
        <f>PARCELAR!G15</f>
        <v/>
      </c>
      <c r="G113" s="204" t="s">
        <v>27</v>
      </c>
      <c r="H113" s="219">
        <f>H97</f>
        <v>10</v>
      </c>
      <c r="I113" s="204" t="s">
        <v>197</v>
      </c>
      <c r="J113" s="220">
        <f>J97</f>
        <v>10</v>
      </c>
    </row>
    <row r="114" spans="1:10">
      <c r="A114" s="207" t="s">
        <v>198</v>
      </c>
      <c r="B114" s="193">
        <f>B98</f>
        <v>30</v>
      </c>
      <c r="C114" s="192" t="s">
        <v>199</v>
      </c>
      <c r="D114" s="193" t="e">
        <f>MONTH(F113)</f>
        <v>#VALUE!</v>
      </c>
      <c r="E114" s="192" t="s">
        <v>200</v>
      </c>
      <c r="F114" s="193">
        <f ca="1">F98</f>
        <v>2020</v>
      </c>
      <c r="G114" s="548" t="s">
        <v>213</v>
      </c>
      <c r="H114" s="549"/>
      <c r="I114" s="549"/>
      <c r="J114" s="550"/>
    </row>
    <row r="115" spans="1:10">
      <c r="A115" s="551" t="s">
        <v>201</v>
      </c>
      <c r="B115" s="544"/>
      <c r="C115" s="544"/>
      <c r="D115" s="544"/>
      <c r="E115" s="192" t="s">
        <v>202</v>
      </c>
      <c r="F115" s="552" t="s">
        <v>203</v>
      </c>
      <c r="G115" s="553"/>
      <c r="H115" s="194" t="s">
        <v>204</v>
      </c>
      <c r="I115" s="540"/>
      <c r="J115" s="541"/>
    </row>
    <row r="116" spans="1:10">
      <c r="A116" s="542" t="s">
        <v>205</v>
      </c>
      <c r="B116" s="543"/>
      <c r="C116" s="543"/>
      <c r="D116" s="540"/>
      <c r="E116" s="540"/>
      <c r="F116" s="540"/>
      <c r="G116" s="540"/>
      <c r="H116" s="540"/>
      <c r="I116" s="540"/>
      <c r="J116" s="541"/>
    </row>
    <row r="117" spans="1:10">
      <c r="A117" s="205" t="s">
        <v>206</v>
      </c>
      <c r="B117" s="544" t="s">
        <v>105</v>
      </c>
      <c r="C117" s="544"/>
      <c r="D117" s="192"/>
      <c r="E117" s="192"/>
      <c r="F117" s="192"/>
      <c r="G117" s="196"/>
      <c r="H117" s="194"/>
      <c r="I117" s="196"/>
      <c r="J117" s="206"/>
    </row>
    <row r="118" spans="1:10">
      <c r="A118" s="545"/>
      <c r="B118" s="546"/>
      <c r="C118" s="546"/>
      <c r="D118" s="546"/>
      <c r="E118" s="546"/>
      <c r="F118" s="546"/>
      <c r="G118" s="546"/>
      <c r="H118" s="546"/>
      <c r="I118" s="546"/>
      <c r="J118" s="547"/>
    </row>
    <row r="119" spans="1:10">
      <c r="A119" s="207" t="s">
        <v>207</v>
      </c>
      <c r="B119" s="538">
        <f>B103</f>
        <v>0</v>
      </c>
      <c r="C119" s="538"/>
      <c r="D119" s="538"/>
      <c r="E119" s="192" t="s">
        <v>208</v>
      </c>
      <c r="F119" s="538" t="str">
        <f>F103</f>
        <v>-</v>
      </c>
      <c r="G119" s="538"/>
      <c r="H119" s="194" t="s">
        <v>101</v>
      </c>
      <c r="I119" s="538" t="str">
        <f>I103</f>
        <v>-</v>
      </c>
      <c r="J119" s="539"/>
    </row>
    <row r="120" spans="1:10">
      <c r="A120" s="207" t="s">
        <v>94</v>
      </c>
      <c r="B120" s="538" t="str">
        <f>B104</f>
        <v>-</v>
      </c>
      <c r="C120" s="538"/>
      <c r="D120" s="538"/>
      <c r="E120" s="192" t="s">
        <v>98</v>
      </c>
      <c r="F120" s="538" t="str">
        <f>F104</f>
        <v>-</v>
      </c>
      <c r="G120" s="538"/>
      <c r="H120" s="538"/>
      <c r="I120" s="538"/>
      <c r="J120" s="539"/>
    </row>
    <row r="121" spans="1:10">
      <c r="A121" s="207" t="s">
        <v>209</v>
      </c>
      <c r="B121" s="538" t="str">
        <f>B105</f>
        <v>-</v>
      </c>
      <c r="C121" s="538"/>
      <c r="D121" s="192"/>
      <c r="E121" s="192" t="s">
        <v>93</v>
      </c>
      <c r="F121" s="197" t="str">
        <f>F105</f>
        <v>-</v>
      </c>
      <c r="G121" s="196"/>
      <c r="H121" s="194" t="s">
        <v>99</v>
      </c>
      <c r="I121" s="538" t="str">
        <f>I105</f>
        <v>-</v>
      </c>
      <c r="J121" s="539"/>
    </row>
    <row r="122" spans="1:10">
      <c r="A122" s="208"/>
      <c r="B122" s="198"/>
      <c r="C122" s="198"/>
      <c r="D122" s="199"/>
      <c r="E122" s="199"/>
      <c r="F122" s="199"/>
      <c r="G122" s="198"/>
      <c r="H122" s="200"/>
      <c r="I122" s="198"/>
      <c r="J122" s="209"/>
    </row>
    <row r="123" spans="1:10">
      <c r="A123" s="207" t="s">
        <v>210</v>
      </c>
      <c r="B123" s="538" t="str">
        <f>PEDIDOS!E3</f>
        <v>ADMIN</v>
      </c>
      <c r="C123" s="538"/>
      <c r="D123" s="192"/>
      <c r="E123" s="192"/>
      <c r="F123" s="192"/>
      <c r="G123" s="196"/>
      <c r="H123" s="194"/>
      <c r="I123" s="196"/>
      <c r="J123" s="206"/>
    </row>
    <row r="124" spans="1:10">
      <c r="A124" s="537" t="s">
        <v>211</v>
      </c>
      <c r="B124" s="538"/>
      <c r="C124" s="538"/>
      <c r="D124" s="538"/>
      <c r="E124" s="538"/>
      <c r="F124" s="538"/>
      <c r="G124" s="538"/>
      <c r="H124" s="538"/>
      <c r="I124" s="538"/>
      <c r="J124" s="539"/>
    </row>
    <row r="125" spans="1:10">
      <c r="A125" s="207"/>
      <c r="B125" s="196"/>
      <c r="C125" s="196"/>
      <c r="D125" s="192"/>
      <c r="E125" s="192"/>
      <c r="F125" s="192"/>
      <c r="G125" s="196"/>
      <c r="H125" s="194"/>
      <c r="I125" s="196"/>
      <c r="J125" s="206"/>
    </row>
    <row r="126" spans="1:10">
      <c r="A126" s="207" t="s">
        <v>212</v>
      </c>
      <c r="B126" s="540"/>
      <c r="C126" s="540"/>
      <c r="D126" s="540"/>
      <c r="E126" s="540"/>
      <c r="F126" s="540"/>
      <c r="G126" s="540"/>
      <c r="H126" s="540"/>
      <c r="I126" s="540"/>
      <c r="J126" s="541"/>
    </row>
    <row r="127" spans="1:10" ht="12.75" thickBot="1">
      <c r="A127" s="210"/>
      <c r="B127" s="211"/>
      <c r="C127" s="211"/>
      <c r="D127" s="212"/>
      <c r="E127" s="212"/>
      <c r="F127" s="212"/>
      <c r="G127" s="211"/>
      <c r="H127" s="213"/>
      <c r="I127" s="211"/>
      <c r="J127" s="214"/>
    </row>
    <row r="128" spans="1:10" ht="16.5" customHeight="1" thickBot="1"/>
    <row r="129" spans="1:10">
      <c r="A129" s="215" t="s">
        <v>197</v>
      </c>
      <c r="B129" s="216">
        <f>PARCELAR!B16</f>
        <v>0</v>
      </c>
      <c r="C129" s="217" t="s">
        <v>196</v>
      </c>
      <c r="D129" s="218">
        <f ca="1">D113</f>
        <v>44114</v>
      </c>
      <c r="E129" s="204" t="s">
        <v>214</v>
      </c>
      <c r="F129" s="218" t="str">
        <f>PARCELAR!G16</f>
        <v/>
      </c>
      <c r="G129" s="204" t="s">
        <v>27</v>
      </c>
      <c r="H129" s="219">
        <f>H113</f>
        <v>10</v>
      </c>
      <c r="I129" s="204" t="s">
        <v>197</v>
      </c>
      <c r="J129" s="220">
        <f>J113</f>
        <v>10</v>
      </c>
    </row>
    <row r="130" spans="1:10">
      <c r="A130" s="207" t="s">
        <v>198</v>
      </c>
      <c r="B130" s="193">
        <f>B114</f>
        <v>30</v>
      </c>
      <c r="C130" s="192" t="s">
        <v>199</v>
      </c>
      <c r="D130" s="193" t="e">
        <f>MONTH(F129)</f>
        <v>#VALUE!</v>
      </c>
      <c r="E130" s="192" t="s">
        <v>200</v>
      </c>
      <c r="F130" s="193">
        <f ca="1">F114</f>
        <v>2020</v>
      </c>
      <c r="G130" s="548" t="s">
        <v>213</v>
      </c>
      <c r="H130" s="549"/>
      <c r="I130" s="549"/>
      <c r="J130" s="550"/>
    </row>
    <row r="131" spans="1:10">
      <c r="A131" s="551" t="s">
        <v>201</v>
      </c>
      <c r="B131" s="544"/>
      <c r="C131" s="544"/>
      <c r="D131" s="544"/>
      <c r="E131" s="192" t="s">
        <v>202</v>
      </c>
      <c r="F131" s="552" t="s">
        <v>203</v>
      </c>
      <c r="G131" s="553"/>
      <c r="H131" s="194" t="s">
        <v>204</v>
      </c>
      <c r="I131" s="540"/>
      <c r="J131" s="541"/>
    </row>
    <row r="132" spans="1:10">
      <c r="A132" s="542" t="s">
        <v>205</v>
      </c>
      <c r="B132" s="543"/>
      <c r="C132" s="543"/>
      <c r="D132" s="540"/>
      <c r="E132" s="540"/>
      <c r="F132" s="540"/>
      <c r="G132" s="540"/>
      <c r="H132" s="540"/>
      <c r="I132" s="540"/>
      <c r="J132" s="541"/>
    </row>
    <row r="133" spans="1:10">
      <c r="A133" s="205" t="s">
        <v>206</v>
      </c>
      <c r="B133" s="544" t="s">
        <v>105</v>
      </c>
      <c r="C133" s="544"/>
      <c r="D133" s="192"/>
      <c r="E133" s="192"/>
      <c r="F133" s="192"/>
      <c r="G133" s="196"/>
      <c r="H133" s="194"/>
      <c r="I133" s="196"/>
      <c r="J133" s="206"/>
    </row>
    <row r="134" spans="1:10">
      <c r="A134" s="545"/>
      <c r="B134" s="546"/>
      <c r="C134" s="546"/>
      <c r="D134" s="546"/>
      <c r="E134" s="546"/>
      <c r="F134" s="546"/>
      <c r="G134" s="546"/>
      <c r="H134" s="546"/>
      <c r="I134" s="546"/>
      <c r="J134" s="547"/>
    </row>
    <row r="135" spans="1:10">
      <c r="A135" s="207" t="s">
        <v>207</v>
      </c>
      <c r="B135" s="538">
        <f>B119</f>
        <v>0</v>
      </c>
      <c r="C135" s="538"/>
      <c r="D135" s="538"/>
      <c r="E135" s="192" t="s">
        <v>208</v>
      </c>
      <c r="F135" s="538" t="str">
        <f>F119</f>
        <v>-</v>
      </c>
      <c r="G135" s="538"/>
      <c r="H135" s="194" t="s">
        <v>101</v>
      </c>
      <c r="I135" s="538" t="str">
        <f>I119</f>
        <v>-</v>
      </c>
      <c r="J135" s="539"/>
    </row>
    <row r="136" spans="1:10">
      <c r="A136" s="207" t="s">
        <v>94</v>
      </c>
      <c r="B136" s="538" t="str">
        <f>B120</f>
        <v>-</v>
      </c>
      <c r="C136" s="538"/>
      <c r="D136" s="538"/>
      <c r="E136" s="192" t="s">
        <v>98</v>
      </c>
      <c r="F136" s="538" t="str">
        <f>F120</f>
        <v>-</v>
      </c>
      <c r="G136" s="538"/>
      <c r="H136" s="538"/>
      <c r="I136" s="538"/>
      <c r="J136" s="539"/>
    </row>
    <row r="137" spans="1:10">
      <c r="A137" s="207" t="s">
        <v>209</v>
      </c>
      <c r="B137" s="538" t="str">
        <f>B121</f>
        <v>-</v>
      </c>
      <c r="C137" s="538"/>
      <c r="D137" s="192"/>
      <c r="E137" s="192" t="s">
        <v>93</v>
      </c>
      <c r="F137" s="197" t="str">
        <f>F121</f>
        <v>-</v>
      </c>
      <c r="G137" s="196"/>
      <c r="H137" s="194" t="s">
        <v>99</v>
      </c>
      <c r="I137" s="538" t="str">
        <f>I121</f>
        <v>-</v>
      </c>
      <c r="J137" s="539"/>
    </row>
    <row r="138" spans="1:10">
      <c r="A138" s="208"/>
      <c r="B138" s="198"/>
      <c r="C138" s="198"/>
      <c r="D138" s="199"/>
      <c r="E138" s="199"/>
      <c r="F138" s="199"/>
      <c r="G138" s="198"/>
      <c r="H138" s="200"/>
      <c r="I138" s="198"/>
      <c r="J138" s="209"/>
    </row>
    <row r="139" spans="1:10">
      <c r="A139" s="207" t="s">
        <v>210</v>
      </c>
      <c r="B139" s="538" t="str">
        <f>PEDIDOS!E3</f>
        <v>ADMIN</v>
      </c>
      <c r="C139" s="538"/>
      <c r="D139" s="192"/>
      <c r="E139" s="192"/>
      <c r="F139" s="192"/>
      <c r="G139" s="196"/>
      <c r="H139" s="194"/>
      <c r="I139" s="196"/>
      <c r="J139" s="206"/>
    </row>
    <row r="140" spans="1:10">
      <c r="A140" s="537" t="s">
        <v>211</v>
      </c>
      <c r="B140" s="538"/>
      <c r="C140" s="538"/>
      <c r="D140" s="538"/>
      <c r="E140" s="538"/>
      <c r="F140" s="538"/>
      <c r="G140" s="538"/>
      <c r="H140" s="538"/>
      <c r="I140" s="538"/>
      <c r="J140" s="539"/>
    </row>
    <row r="141" spans="1:10">
      <c r="A141" s="207"/>
      <c r="B141" s="196"/>
      <c r="C141" s="196"/>
      <c r="D141" s="192"/>
      <c r="E141" s="192"/>
      <c r="F141" s="192"/>
      <c r="G141" s="196"/>
      <c r="H141" s="194"/>
      <c r="I141" s="196"/>
      <c r="J141" s="206"/>
    </row>
    <row r="142" spans="1:10">
      <c r="A142" s="207" t="s">
        <v>212</v>
      </c>
      <c r="B142" s="540"/>
      <c r="C142" s="540"/>
      <c r="D142" s="540"/>
      <c r="E142" s="540"/>
      <c r="F142" s="540"/>
      <c r="G142" s="540"/>
      <c r="H142" s="540"/>
      <c r="I142" s="540"/>
      <c r="J142" s="541"/>
    </row>
    <row r="143" spans="1:10" ht="12.75" thickBot="1">
      <c r="A143" s="210"/>
      <c r="B143" s="211"/>
      <c r="C143" s="211"/>
      <c r="D143" s="212"/>
      <c r="E143" s="212"/>
      <c r="F143" s="212"/>
      <c r="G143" s="211"/>
      <c r="H143" s="213"/>
      <c r="I143" s="211"/>
      <c r="J143" s="214"/>
    </row>
    <row r="144" spans="1:10" ht="16.5" customHeight="1" thickBot="1"/>
    <row r="145" spans="1:10">
      <c r="A145" s="215" t="s">
        <v>197</v>
      </c>
      <c r="B145" s="216">
        <f>PARCELAR!B17</f>
        <v>0</v>
      </c>
      <c r="C145" s="217" t="s">
        <v>196</v>
      </c>
      <c r="D145" s="218">
        <f ca="1">D129</f>
        <v>44114</v>
      </c>
      <c r="E145" s="204" t="s">
        <v>214</v>
      </c>
      <c r="F145" s="218" t="str">
        <f>PARCELAR!G17</f>
        <v/>
      </c>
      <c r="G145" s="204" t="s">
        <v>27</v>
      </c>
      <c r="H145" s="219">
        <f>H129</f>
        <v>10</v>
      </c>
      <c r="I145" s="204" t="s">
        <v>197</v>
      </c>
      <c r="J145" s="220">
        <f>J129</f>
        <v>10</v>
      </c>
    </row>
    <row r="146" spans="1:10">
      <c r="A146" s="207" t="s">
        <v>198</v>
      </c>
      <c r="B146" s="193">
        <f>B130</f>
        <v>30</v>
      </c>
      <c r="C146" s="192" t="s">
        <v>199</v>
      </c>
      <c r="D146" s="193" t="e">
        <f>MONTH(F145)</f>
        <v>#VALUE!</v>
      </c>
      <c r="E146" s="192" t="s">
        <v>200</v>
      </c>
      <c r="F146" s="193">
        <f ca="1">F130</f>
        <v>2020</v>
      </c>
      <c r="G146" s="548" t="s">
        <v>213</v>
      </c>
      <c r="H146" s="549"/>
      <c r="I146" s="549"/>
      <c r="J146" s="550"/>
    </row>
    <row r="147" spans="1:10">
      <c r="A147" s="551" t="s">
        <v>201</v>
      </c>
      <c r="B147" s="544"/>
      <c r="C147" s="544"/>
      <c r="D147" s="544"/>
      <c r="E147" s="192" t="s">
        <v>202</v>
      </c>
      <c r="F147" s="552" t="s">
        <v>203</v>
      </c>
      <c r="G147" s="553"/>
      <c r="H147" s="194" t="s">
        <v>204</v>
      </c>
      <c r="I147" s="540"/>
      <c r="J147" s="541"/>
    </row>
    <row r="148" spans="1:10">
      <c r="A148" s="542" t="s">
        <v>205</v>
      </c>
      <c r="B148" s="543"/>
      <c r="C148" s="543"/>
      <c r="D148" s="540"/>
      <c r="E148" s="540"/>
      <c r="F148" s="540"/>
      <c r="G148" s="540"/>
      <c r="H148" s="540"/>
      <c r="I148" s="540"/>
      <c r="J148" s="541"/>
    </row>
    <row r="149" spans="1:10">
      <c r="A149" s="205" t="s">
        <v>206</v>
      </c>
      <c r="B149" s="544" t="s">
        <v>105</v>
      </c>
      <c r="C149" s="544"/>
      <c r="D149" s="192"/>
      <c r="E149" s="192"/>
      <c r="F149" s="192"/>
      <c r="G149" s="196"/>
      <c r="H149" s="194"/>
      <c r="I149" s="196"/>
      <c r="J149" s="206"/>
    </row>
    <row r="150" spans="1:10">
      <c r="A150" s="545"/>
      <c r="B150" s="546"/>
      <c r="C150" s="546"/>
      <c r="D150" s="546"/>
      <c r="E150" s="546"/>
      <c r="F150" s="546"/>
      <c r="G150" s="546"/>
      <c r="H150" s="546"/>
      <c r="I150" s="546"/>
      <c r="J150" s="547"/>
    </row>
    <row r="151" spans="1:10">
      <c r="A151" s="207" t="s">
        <v>207</v>
      </c>
      <c r="B151" s="538">
        <f>B135</f>
        <v>0</v>
      </c>
      <c r="C151" s="538"/>
      <c r="D151" s="538"/>
      <c r="E151" s="192" t="s">
        <v>208</v>
      </c>
      <c r="F151" s="538" t="str">
        <f>F135</f>
        <v>-</v>
      </c>
      <c r="G151" s="538"/>
      <c r="H151" s="194" t="s">
        <v>101</v>
      </c>
      <c r="I151" s="538" t="str">
        <f>I135</f>
        <v>-</v>
      </c>
      <c r="J151" s="539"/>
    </row>
    <row r="152" spans="1:10">
      <c r="A152" s="207" t="s">
        <v>94</v>
      </c>
      <c r="B152" s="538" t="str">
        <f>B136</f>
        <v>-</v>
      </c>
      <c r="C152" s="538"/>
      <c r="D152" s="538"/>
      <c r="E152" s="192" t="s">
        <v>98</v>
      </c>
      <c r="F152" s="538" t="str">
        <f>F136</f>
        <v>-</v>
      </c>
      <c r="G152" s="538"/>
      <c r="H152" s="538"/>
      <c r="I152" s="538"/>
      <c r="J152" s="539"/>
    </row>
    <row r="153" spans="1:10">
      <c r="A153" s="207" t="s">
        <v>209</v>
      </c>
      <c r="B153" s="538" t="str">
        <f>B137</f>
        <v>-</v>
      </c>
      <c r="C153" s="538"/>
      <c r="D153" s="192"/>
      <c r="E153" s="192" t="s">
        <v>93</v>
      </c>
      <c r="F153" s="197" t="str">
        <f>F137</f>
        <v>-</v>
      </c>
      <c r="G153" s="196"/>
      <c r="H153" s="194" t="s">
        <v>99</v>
      </c>
      <c r="I153" s="538" t="str">
        <f>I137</f>
        <v>-</v>
      </c>
      <c r="J153" s="539"/>
    </row>
    <row r="154" spans="1:10">
      <c r="A154" s="208"/>
      <c r="B154" s="198"/>
      <c r="C154" s="198"/>
      <c r="D154" s="199"/>
      <c r="E154" s="199"/>
      <c r="F154" s="199"/>
      <c r="G154" s="198"/>
      <c r="H154" s="200"/>
      <c r="I154" s="198"/>
      <c r="J154" s="209"/>
    </row>
    <row r="155" spans="1:10">
      <c r="A155" s="207" t="s">
        <v>210</v>
      </c>
      <c r="B155" s="538" t="str">
        <f>PEDIDOS!E3</f>
        <v>ADMIN</v>
      </c>
      <c r="C155" s="538"/>
      <c r="D155" s="192"/>
      <c r="E155" s="192"/>
      <c r="F155" s="192"/>
      <c r="G155" s="196"/>
      <c r="H155" s="194"/>
      <c r="I155" s="196"/>
      <c r="J155" s="206"/>
    </row>
    <row r="156" spans="1:10">
      <c r="A156" s="537" t="s">
        <v>211</v>
      </c>
      <c r="B156" s="538"/>
      <c r="C156" s="538"/>
      <c r="D156" s="538"/>
      <c r="E156" s="538"/>
      <c r="F156" s="538"/>
      <c r="G156" s="538"/>
      <c r="H156" s="538"/>
      <c r="I156" s="538"/>
      <c r="J156" s="539"/>
    </row>
    <row r="157" spans="1:10">
      <c r="A157" s="207"/>
      <c r="B157" s="196"/>
      <c r="C157" s="196"/>
      <c r="D157" s="192"/>
      <c r="E157" s="192"/>
      <c r="F157" s="192"/>
      <c r="G157" s="196"/>
      <c r="H157" s="194"/>
      <c r="I157" s="196"/>
      <c r="J157" s="206"/>
    </row>
    <row r="158" spans="1:10">
      <c r="A158" s="207" t="s">
        <v>212</v>
      </c>
      <c r="B158" s="540"/>
      <c r="C158" s="540"/>
      <c r="D158" s="540"/>
      <c r="E158" s="540"/>
      <c r="F158" s="540"/>
      <c r="G158" s="540"/>
      <c r="H158" s="540"/>
      <c r="I158" s="540"/>
      <c r="J158" s="541"/>
    </row>
    <row r="159" spans="1:10" ht="12.75" thickBot="1">
      <c r="A159" s="210"/>
      <c r="B159" s="211"/>
      <c r="C159" s="211"/>
      <c r="D159" s="212"/>
      <c r="E159" s="212"/>
      <c r="F159" s="212"/>
      <c r="G159" s="211"/>
      <c r="H159" s="213"/>
      <c r="I159" s="211"/>
      <c r="J159" s="214"/>
    </row>
  </sheetData>
  <mergeCells count="180">
    <mergeCell ref="G18:J18"/>
    <mergeCell ref="A19:D19"/>
    <mergeCell ref="F19:G19"/>
    <mergeCell ref="I19:J19"/>
    <mergeCell ref="A20:C20"/>
    <mergeCell ref="D20:J20"/>
    <mergeCell ref="B5:C5"/>
    <mergeCell ref="F7:G7"/>
    <mergeCell ref="G2:J2"/>
    <mergeCell ref="A3:D3"/>
    <mergeCell ref="F3:G3"/>
    <mergeCell ref="I3:J3"/>
    <mergeCell ref="A4:C4"/>
    <mergeCell ref="D4:J4"/>
    <mergeCell ref="B11:C11"/>
    <mergeCell ref="A6:J6"/>
    <mergeCell ref="A12:J12"/>
    <mergeCell ref="B14:J14"/>
    <mergeCell ref="I7:J7"/>
    <mergeCell ref="B7:D7"/>
    <mergeCell ref="B8:D8"/>
    <mergeCell ref="F8:J8"/>
    <mergeCell ref="B9:C9"/>
    <mergeCell ref="I9:J9"/>
    <mergeCell ref="B24:D24"/>
    <mergeCell ref="F24:J24"/>
    <mergeCell ref="B25:C25"/>
    <mergeCell ref="I25:J25"/>
    <mergeCell ref="B27:C27"/>
    <mergeCell ref="B21:C21"/>
    <mergeCell ref="A22:J22"/>
    <mergeCell ref="B23:D23"/>
    <mergeCell ref="F23:G23"/>
    <mergeCell ref="I23:J23"/>
    <mergeCell ref="A36:C36"/>
    <mergeCell ref="D36:J36"/>
    <mergeCell ref="B37:C37"/>
    <mergeCell ref="A38:J38"/>
    <mergeCell ref="B39:D39"/>
    <mergeCell ref="F39:G39"/>
    <mergeCell ref="I39:J39"/>
    <mergeCell ref="A28:J28"/>
    <mergeCell ref="B30:J30"/>
    <mergeCell ref="G34:J34"/>
    <mergeCell ref="A35:D35"/>
    <mergeCell ref="F35:G35"/>
    <mergeCell ref="I35:J35"/>
    <mergeCell ref="A44:J44"/>
    <mergeCell ref="B46:J46"/>
    <mergeCell ref="G50:J50"/>
    <mergeCell ref="A51:D51"/>
    <mergeCell ref="F51:G51"/>
    <mergeCell ref="I51:J51"/>
    <mergeCell ref="B40:D40"/>
    <mergeCell ref="F40:J40"/>
    <mergeCell ref="B41:C41"/>
    <mergeCell ref="I41:J41"/>
    <mergeCell ref="B43:C43"/>
    <mergeCell ref="B56:D56"/>
    <mergeCell ref="F56:J56"/>
    <mergeCell ref="B57:C57"/>
    <mergeCell ref="I57:J57"/>
    <mergeCell ref="B59:C59"/>
    <mergeCell ref="A52:C52"/>
    <mergeCell ref="D52:J52"/>
    <mergeCell ref="B53:C53"/>
    <mergeCell ref="A54:J54"/>
    <mergeCell ref="B55:D55"/>
    <mergeCell ref="F55:G55"/>
    <mergeCell ref="I55:J55"/>
    <mergeCell ref="A68:C68"/>
    <mergeCell ref="D68:J68"/>
    <mergeCell ref="B69:C69"/>
    <mergeCell ref="A70:J70"/>
    <mergeCell ref="B71:D71"/>
    <mergeCell ref="F71:G71"/>
    <mergeCell ref="I71:J71"/>
    <mergeCell ref="A60:J60"/>
    <mergeCell ref="B62:J62"/>
    <mergeCell ref="G66:J66"/>
    <mergeCell ref="A67:D67"/>
    <mergeCell ref="F67:G67"/>
    <mergeCell ref="I67:J67"/>
    <mergeCell ref="A76:J76"/>
    <mergeCell ref="B78:J78"/>
    <mergeCell ref="G82:J82"/>
    <mergeCell ref="A83:D83"/>
    <mergeCell ref="F83:G83"/>
    <mergeCell ref="I83:J83"/>
    <mergeCell ref="B72:D72"/>
    <mergeCell ref="F72:J72"/>
    <mergeCell ref="B73:C73"/>
    <mergeCell ref="I73:J73"/>
    <mergeCell ref="B75:C75"/>
    <mergeCell ref="B88:D88"/>
    <mergeCell ref="F88:J88"/>
    <mergeCell ref="B89:C89"/>
    <mergeCell ref="I89:J89"/>
    <mergeCell ref="B91:C91"/>
    <mergeCell ref="A84:C84"/>
    <mergeCell ref="D84:J84"/>
    <mergeCell ref="B85:C85"/>
    <mergeCell ref="A86:J86"/>
    <mergeCell ref="B87:D87"/>
    <mergeCell ref="F87:G87"/>
    <mergeCell ref="I87:J87"/>
    <mergeCell ref="A100:C100"/>
    <mergeCell ref="D100:J100"/>
    <mergeCell ref="B101:C101"/>
    <mergeCell ref="A102:J102"/>
    <mergeCell ref="B103:D103"/>
    <mergeCell ref="F103:G103"/>
    <mergeCell ref="I103:J103"/>
    <mergeCell ref="A92:J92"/>
    <mergeCell ref="B94:J94"/>
    <mergeCell ref="G98:J98"/>
    <mergeCell ref="A99:D99"/>
    <mergeCell ref="F99:G99"/>
    <mergeCell ref="I99:J99"/>
    <mergeCell ref="A108:J108"/>
    <mergeCell ref="B110:J110"/>
    <mergeCell ref="G114:J114"/>
    <mergeCell ref="A115:D115"/>
    <mergeCell ref="F115:G115"/>
    <mergeCell ref="I115:J115"/>
    <mergeCell ref="B104:D104"/>
    <mergeCell ref="F104:J104"/>
    <mergeCell ref="B105:C105"/>
    <mergeCell ref="I105:J105"/>
    <mergeCell ref="B107:C107"/>
    <mergeCell ref="B120:D120"/>
    <mergeCell ref="F120:J120"/>
    <mergeCell ref="B121:C121"/>
    <mergeCell ref="I121:J121"/>
    <mergeCell ref="B123:C123"/>
    <mergeCell ref="A116:C116"/>
    <mergeCell ref="D116:J116"/>
    <mergeCell ref="B117:C117"/>
    <mergeCell ref="A118:J118"/>
    <mergeCell ref="B119:D119"/>
    <mergeCell ref="F119:G119"/>
    <mergeCell ref="I119:J119"/>
    <mergeCell ref="A132:C132"/>
    <mergeCell ref="D132:J132"/>
    <mergeCell ref="B133:C133"/>
    <mergeCell ref="A134:J134"/>
    <mergeCell ref="B135:D135"/>
    <mergeCell ref="F135:G135"/>
    <mergeCell ref="I135:J135"/>
    <mergeCell ref="A124:J124"/>
    <mergeCell ref="B126:J126"/>
    <mergeCell ref="G130:J130"/>
    <mergeCell ref="A131:D131"/>
    <mergeCell ref="F131:G131"/>
    <mergeCell ref="I131:J131"/>
    <mergeCell ref="A140:J140"/>
    <mergeCell ref="B142:J142"/>
    <mergeCell ref="G146:J146"/>
    <mergeCell ref="A147:D147"/>
    <mergeCell ref="F147:G147"/>
    <mergeCell ref="I147:J147"/>
    <mergeCell ref="B136:D136"/>
    <mergeCell ref="F136:J136"/>
    <mergeCell ref="B137:C137"/>
    <mergeCell ref="I137:J137"/>
    <mergeCell ref="B139:C139"/>
    <mergeCell ref="A156:J156"/>
    <mergeCell ref="B158:J158"/>
    <mergeCell ref="B152:D152"/>
    <mergeCell ref="F152:J152"/>
    <mergeCell ref="B153:C153"/>
    <mergeCell ref="I153:J153"/>
    <mergeCell ref="B155:C155"/>
    <mergeCell ref="A148:C148"/>
    <mergeCell ref="D148:J148"/>
    <mergeCell ref="B149:C149"/>
    <mergeCell ref="A150:J150"/>
    <mergeCell ref="B151:D151"/>
    <mergeCell ref="F151:G151"/>
    <mergeCell ref="I151:J151"/>
  </mergeCells>
  <pageMargins left="0.25" right="0.25" top="0.56000000000000005" bottom="0.75" header="0.3" footer="0.57999999999999996"/>
  <pageSetup paperSize="9" orientation="portrait" horizontalDpi="203" verticalDpi="20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36">
    <tabColor rgb="FF002060"/>
  </sheetPr>
  <dimension ref="A1:R278"/>
  <sheetViews>
    <sheetView workbookViewId="0">
      <pane ySplit="11" topLeftCell="A12" activePane="bottomLeft" state="frozen"/>
      <selection pane="bottomLeft" activeCell="F14" sqref="F14"/>
    </sheetView>
  </sheetViews>
  <sheetFormatPr defaultRowHeight="13.5"/>
  <cols>
    <col min="1" max="2" width="10.140625" style="130" customWidth="1"/>
    <col min="3" max="3" width="13.7109375" style="236" customWidth="1"/>
    <col min="4" max="16384" width="9.140625" style="263"/>
  </cols>
  <sheetData>
    <row r="1" spans="1:3">
      <c r="A1" s="564" t="str">
        <f>COMANDA!A1</f>
        <v>CASA DAS PLANILHAS</v>
      </c>
      <c r="B1" s="564"/>
      <c r="C1" s="564"/>
    </row>
    <row r="2" spans="1:3">
      <c r="A2" s="564" t="str">
        <f>COMANDA!A2</f>
        <v>Rua Isac Alves,Casa nº 68</v>
      </c>
      <c r="B2" s="564"/>
      <c r="C2" s="564"/>
    </row>
    <row r="3" spans="1:3">
      <c r="A3" s="564" t="str">
        <f>COMANDA!A3</f>
        <v>Bairro,São Cristovão,Centro</v>
      </c>
      <c r="B3" s="564"/>
      <c r="C3" s="564"/>
    </row>
    <row r="4" spans="1:3">
      <c r="A4" s="564" t="str">
        <f>COMANDA!A4</f>
        <v>Caculé,Fone: (77) 99116-6423</v>
      </c>
      <c r="B4" s="564"/>
      <c r="C4" s="564"/>
    </row>
    <row r="5" spans="1:3">
      <c r="A5" s="564" t="str">
        <f>COMANDA!A5</f>
        <v>CPNJ:00.000.000/0001-10</v>
      </c>
      <c r="B5" s="564"/>
      <c r="C5" s="564"/>
    </row>
    <row r="6" spans="1:3" s="264" customFormat="1" ht="12.75">
      <c r="A6" s="261" t="s">
        <v>215</v>
      </c>
      <c r="B6" s="565">
        <f ca="1">CARNÊ!D1</f>
        <v>44114</v>
      </c>
      <c r="C6" s="566"/>
    </row>
    <row r="7" spans="1:3" ht="6" customHeight="1">
      <c r="A7" s="265"/>
      <c r="B7" s="265"/>
      <c r="C7" s="266"/>
    </row>
    <row r="8" spans="1:3">
      <c r="A8" s="130" t="s">
        <v>197</v>
      </c>
      <c r="B8" s="130" t="s">
        <v>216</v>
      </c>
      <c r="C8" s="236" t="s">
        <v>217</v>
      </c>
    </row>
    <row r="9" spans="1:3">
      <c r="A9" s="267">
        <f>CARNÊ!B1</f>
        <v>1</v>
      </c>
      <c r="B9" s="131">
        <f>CARNÊ!J1</f>
        <v>10</v>
      </c>
      <c r="C9" s="268">
        <f ca="1">CARNÊ!F1</f>
        <v>44144</v>
      </c>
    </row>
    <row r="10" spans="1:3" ht="5.25" customHeight="1">
      <c r="A10" s="265"/>
      <c r="B10" s="265"/>
      <c r="C10" s="266"/>
    </row>
    <row r="11" spans="1:3">
      <c r="A11" s="556" t="s">
        <v>218</v>
      </c>
      <c r="B11" s="557"/>
      <c r="C11" s="262">
        <f>CARNÊ!H1</f>
        <v>10</v>
      </c>
    </row>
    <row r="12" spans="1:3" ht="6.75" customHeight="1">
      <c r="A12" s="265"/>
      <c r="B12" s="265"/>
      <c r="C12" s="266"/>
    </row>
    <row r="13" spans="1:3" ht="5.25" customHeight="1"/>
    <row r="14" spans="1:3" ht="17.25" customHeight="1">
      <c r="A14" s="562">
        <f>CARNÊ!B7</f>
        <v>0</v>
      </c>
      <c r="B14" s="562"/>
      <c r="C14" s="562"/>
    </row>
    <row r="15" spans="1:3" ht="17.25" customHeight="1">
      <c r="A15" s="562" t="str">
        <f>CARNÊ!B8</f>
        <v>-</v>
      </c>
      <c r="B15" s="562"/>
      <c r="C15" s="562"/>
    </row>
    <row r="16" spans="1:3" ht="17.25" customHeight="1">
      <c r="A16" s="562" t="str">
        <f>CARNÊ!B9</f>
        <v>-</v>
      </c>
      <c r="B16" s="562"/>
      <c r="C16" s="562"/>
    </row>
    <row r="17" spans="1:18" ht="17.25" customHeight="1">
      <c r="A17" s="563" t="str">
        <f>CARNÊ!I7</f>
        <v>-</v>
      </c>
      <c r="B17" s="563"/>
      <c r="C17" s="563"/>
    </row>
    <row r="18" spans="1:18" ht="17.25" customHeight="1">
      <c r="A18" s="269" t="s">
        <v>219</v>
      </c>
      <c r="B18" s="568" t="str">
        <f>CARNÊ!B11</f>
        <v>ADMIN</v>
      </c>
      <c r="C18" s="568"/>
      <c r="G18" s="270"/>
      <c r="H18" s="569"/>
      <c r="I18" s="569"/>
      <c r="J18" s="569"/>
      <c r="K18" s="569"/>
      <c r="L18" s="569"/>
      <c r="M18" s="569"/>
      <c r="N18" s="569"/>
      <c r="O18" s="569"/>
      <c r="P18" s="569"/>
      <c r="Q18" s="569"/>
      <c r="R18" s="270"/>
    </row>
    <row r="19" spans="1:18" ht="19.5" customHeight="1">
      <c r="A19" s="559"/>
      <c r="B19" s="559"/>
      <c r="C19" s="559"/>
    </row>
    <row r="20" spans="1:18">
      <c r="A20" s="558" t="s">
        <v>212</v>
      </c>
      <c r="B20" s="558"/>
      <c r="C20" s="558"/>
    </row>
    <row r="21" spans="1:18" ht="7.5" customHeight="1"/>
    <row r="22" spans="1:18" ht="24.75" customHeight="1">
      <c r="A22" s="560" t="s">
        <v>247</v>
      </c>
      <c r="B22" s="561"/>
      <c r="C22" s="561"/>
    </row>
    <row r="23" spans="1:18">
      <c r="A23" s="271"/>
      <c r="B23" s="271"/>
    </row>
    <row r="24" spans="1:18">
      <c r="A24" s="558" t="s">
        <v>220</v>
      </c>
      <c r="B24" s="558"/>
      <c r="C24" s="558"/>
    </row>
    <row r="25" spans="1:18">
      <c r="A25" s="564" t="str">
        <f>A1</f>
        <v>CASA DAS PLANILHAS</v>
      </c>
      <c r="B25" s="564"/>
      <c r="C25" s="564"/>
    </row>
    <row r="26" spans="1:18">
      <c r="A26" s="564" t="str">
        <f>A2</f>
        <v>Rua Isac Alves,Casa nº 68</v>
      </c>
      <c r="B26" s="564"/>
      <c r="C26" s="564"/>
    </row>
    <row r="27" spans="1:18">
      <c r="A27" s="564" t="str">
        <f>A3</f>
        <v>Bairro,São Cristovão,Centro</v>
      </c>
      <c r="B27" s="564"/>
      <c r="C27" s="564"/>
    </row>
    <row r="28" spans="1:18">
      <c r="A28" s="564" t="str">
        <f>A4</f>
        <v>Caculé,Fone: (77) 99116-6423</v>
      </c>
      <c r="B28" s="564"/>
      <c r="C28" s="564"/>
    </row>
    <row r="29" spans="1:18">
      <c r="A29" s="567" t="str">
        <f>A5</f>
        <v>CPNJ:00.000.000/0001-10</v>
      </c>
      <c r="B29" s="567"/>
      <c r="C29" s="567"/>
    </row>
    <row r="30" spans="1:18">
      <c r="A30" s="261" t="s">
        <v>215</v>
      </c>
      <c r="B30" s="565">
        <f ca="1">CARNÊ!D1</f>
        <v>44114</v>
      </c>
      <c r="C30" s="566"/>
    </row>
    <row r="31" spans="1:18">
      <c r="A31" s="265"/>
      <c r="B31" s="265"/>
      <c r="C31" s="266"/>
    </row>
    <row r="32" spans="1:18">
      <c r="A32" s="130" t="s">
        <v>197</v>
      </c>
      <c r="B32" s="130" t="s">
        <v>216</v>
      </c>
      <c r="C32" s="236" t="s">
        <v>217</v>
      </c>
    </row>
    <row r="33" spans="1:3">
      <c r="A33" s="130">
        <f>CARNÊ!B1</f>
        <v>1</v>
      </c>
      <c r="B33" s="272">
        <f>CARNÊ!J1</f>
        <v>10</v>
      </c>
      <c r="C33" s="268">
        <f ca="1">CARNÊ!F1</f>
        <v>44144</v>
      </c>
    </row>
    <row r="34" spans="1:3">
      <c r="A34" s="267">
        <f>CARNÊ!B17</f>
        <v>0</v>
      </c>
      <c r="B34" s="131">
        <f>CARNÊ!J17</f>
        <v>10</v>
      </c>
      <c r="C34" s="268" t="str">
        <f>CARNÊ!F17</f>
        <v/>
      </c>
    </row>
    <row r="35" spans="1:3" ht="7.5" customHeight="1">
      <c r="A35" s="265"/>
      <c r="B35" s="265"/>
      <c r="C35" s="266"/>
    </row>
    <row r="36" spans="1:3">
      <c r="A36" s="556" t="s">
        <v>218</v>
      </c>
      <c r="B36" s="557"/>
      <c r="C36" s="262">
        <f>CARNÊ!H1</f>
        <v>10</v>
      </c>
    </row>
    <row r="37" spans="1:3">
      <c r="A37" s="265"/>
      <c r="B37" s="265"/>
      <c r="C37" s="266"/>
    </row>
    <row r="39" spans="1:3">
      <c r="A39" s="562">
        <f>A14</f>
        <v>0</v>
      </c>
      <c r="B39" s="562"/>
      <c r="C39" s="562"/>
    </row>
    <row r="40" spans="1:3">
      <c r="A40" s="562" t="str">
        <f>A15</f>
        <v>-</v>
      </c>
      <c r="B40" s="562"/>
      <c r="C40" s="562"/>
    </row>
    <row r="41" spans="1:3">
      <c r="A41" s="562" t="str">
        <f>A16</f>
        <v>-</v>
      </c>
      <c r="B41" s="562"/>
      <c r="C41" s="562"/>
    </row>
    <row r="42" spans="1:3">
      <c r="A42" s="563" t="str">
        <f>A17</f>
        <v>-</v>
      </c>
      <c r="B42" s="563"/>
      <c r="C42" s="563"/>
    </row>
    <row r="43" spans="1:3">
      <c r="A43" s="269" t="s">
        <v>219</v>
      </c>
      <c r="B43" s="568" t="str">
        <f>B18</f>
        <v>ADMIN</v>
      </c>
      <c r="C43" s="568"/>
    </row>
    <row r="44" spans="1:3" ht="16.5" customHeight="1">
      <c r="A44" s="559"/>
      <c r="B44" s="559"/>
      <c r="C44" s="559"/>
    </row>
    <row r="45" spans="1:3">
      <c r="A45" s="558" t="s">
        <v>212</v>
      </c>
      <c r="B45" s="558"/>
      <c r="C45" s="558"/>
    </row>
    <row r="46" spans="1:3" ht="10.5" customHeight="1"/>
    <row r="47" spans="1:3" ht="26.25" customHeight="1">
      <c r="A47" s="560" t="str">
        <f>A22</f>
        <v>Após o vencimento será cobrado juros de 0,40 ao dia</v>
      </c>
      <c r="B47" s="561"/>
      <c r="C47" s="561"/>
    </row>
    <row r="49" spans="1:3">
      <c r="A49" s="558" t="s">
        <v>220</v>
      </c>
      <c r="B49" s="558"/>
      <c r="C49" s="558"/>
    </row>
    <row r="50" spans="1:3">
      <c r="A50" s="564" t="str">
        <f>A25</f>
        <v>CASA DAS PLANILHAS</v>
      </c>
      <c r="B50" s="564"/>
      <c r="C50" s="564"/>
    </row>
    <row r="51" spans="1:3">
      <c r="A51" s="564" t="str">
        <f>A26</f>
        <v>Rua Isac Alves,Casa nº 68</v>
      </c>
      <c r="B51" s="564"/>
      <c r="C51" s="564"/>
    </row>
    <row r="52" spans="1:3">
      <c r="A52" s="564" t="str">
        <f t="shared" ref="A52" si="0">A27</f>
        <v>Bairro,São Cristovão,Centro</v>
      </c>
      <c r="B52" s="564"/>
      <c r="C52" s="564"/>
    </row>
    <row r="53" spans="1:3">
      <c r="A53" s="564" t="str">
        <f>A28</f>
        <v>Caculé,Fone: (77) 99116-6423</v>
      </c>
      <c r="B53" s="564"/>
      <c r="C53" s="564"/>
    </row>
    <row r="54" spans="1:3">
      <c r="A54" s="564" t="str">
        <f>A29</f>
        <v>CPNJ:00.000.000/0001-10</v>
      </c>
      <c r="B54" s="564"/>
      <c r="C54" s="564"/>
    </row>
    <row r="55" spans="1:3">
      <c r="A55" s="261" t="s">
        <v>215</v>
      </c>
      <c r="B55" s="565">
        <f ca="1">B30</f>
        <v>44114</v>
      </c>
      <c r="C55" s="566"/>
    </row>
    <row r="56" spans="1:3">
      <c r="A56" s="265"/>
      <c r="B56" s="265"/>
      <c r="C56" s="266"/>
    </row>
    <row r="57" spans="1:3">
      <c r="A57" s="130" t="s">
        <v>197</v>
      </c>
      <c r="B57" s="130" t="s">
        <v>216</v>
      </c>
      <c r="C57" s="236" t="s">
        <v>217</v>
      </c>
    </row>
    <row r="58" spans="1:3">
      <c r="A58" s="130">
        <f t="shared" ref="A58:C59" si="1">A33</f>
        <v>1</v>
      </c>
      <c r="B58" s="272">
        <f t="shared" si="1"/>
        <v>10</v>
      </c>
      <c r="C58" s="268">
        <f t="shared" ca="1" si="1"/>
        <v>44144</v>
      </c>
    </row>
    <row r="59" spans="1:3">
      <c r="A59" s="267">
        <f t="shared" si="1"/>
        <v>0</v>
      </c>
      <c r="B59" s="131">
        <f t="shared" si="1"/>
        <v>10</v>
      </c>
      <c r="C59" s="268" t="str">
        <f t="shared" si="1"/>
        <v/>
      </c>
    </row>
    <row r="60" spans="1:3">
      <c r="A60" s="267">
        <f>CARNÊ!B33</f>
        <v>0</v>
      </c>
      <c r="B60" s="131">
        <f>CARNÊ!J17</f>
        <v>10</v>
      </c>
      <c r="C60" s="268" t="str">
        <f>CARNÊ!F33</f>
        <v/>
      </c>
    </row>
    <row r="61" spans="1:3" ht="7.5" customHeight="1">
      <c r="A61" s="265"/>
      <c r="B61" s="265"/>
      <c r="C61" s="266"/>
    </row>
    <row r="62" spans="1:3">
      <c r="A62" s="556" t="s">
        <v>218</v>
      </c>
      <c r="B62" s="557"/>
      <c r="C62" s="262">
        <f>CARNÊ!H17</f>
        <v>10</v>
      </c>
    </row>
    <row r="63" spans="1:3" ht="7.5" customHeight="1">
      <c r="A63" s="265"/>
      <c r="B63" s="265"/>
      <c r="C63" s="266"/>
    </row>
    <row r="64" spans="1:3" ht="9" customHeight="1"/>
    <row r="65" spans="1:3">
      <c r="A65" s="562">
        <f>A39</f>
        <v>0</v>
      </c>
      <c r="B65" s="562"/>
      <c r="C65" s="562"/>
    </row>
    <row r="66" spans="1:3">
      <c r="A66" s="562" t="str">
        <f>A40</f>
        <v>-</v>
      </c>
      <c r="B66" s="562"/>
      <c r="C66" s="562"/>
    </row>
    <row r="67" spans="1:3">
      <c r="A67" s="562" t="str">
        <f>A41</f>
        <v>-</v>
      </c>
      <c r="B67" s="562"/>
      <c r="C67" s="562"/>
    </row>
    <row r="68" spans="1:3">
      <c r="A68" s="563" t="str">
        <f>A42</f>
        <v>-</v>
      </c>
      <c r="B68" s="563"/>
      <c r="C68" s="563"/>
    </row>
    <row r="69" spans="1:3">
      <c r="A69" s="269" t="s">
        <v>219</v>
      </c>
      <c r="B69" s="568" t="str">
        <f>B43</f>
        <v>ADMIN</v>
      </c>
      <c r="C69" s="568"/>
    </row>
    <row r="70" spans="1:3" ht="17.25" customHeight="1">
      <c r="A70" s="559"/>
      <c r="B70" s="559"/>
      <c r="C70" s="559"/>
    </row>
    <row r="71" spans="1:3">
      <c r="A71" s="558" t="s">
        <v>212</v>
      </c>
      <c r="B71" s="558"/>
      <c r="C71" s="558"/>
    </row>
    <row r="72" spans="1:3" ht="10.5" customHeight="1"/>
    <row r="73" spans="1:3" ht="24.75" customHeight="1">
      <c r="A73" s="560" t="str">
        <f>A47</f>
        <v>Após o vencimento será cobrado juros de 0,40 ao dia</v>
      </c>
      <c r="B73" s="561"/>
      <c r="C73" s="561"/>
    </row>
    <row r="75" spans="1:3">
      <c r="A75" s="558" t="s">
        <v>220</v>
      </c>
      <c r="B75" s="558"/>
      <c r="C75" s="558"/>
    </row>
    <row r="76" spans="1:3">
      <c r="A76" s="564" t="str">
        <f>A50</f>
        <v>CASA DAS PLANILHAS</v>
      </c>
      <c r="B76" s="564"/>
      <c r="C76" s="564"/>
    </row>
    <row r="77" spans="1:3">
      <c r="A77" s="564" t="str">
        <f t="shared" ref="A77:A80" si="2">A51</f>
        <v>Rua Isac Alves,Casa nº 68</v>
      </c>
      <c r="B77" s="564"/>
      <c r="C77" s="564"/>
    </row>
    <row r="78" spans="1:3">
      <c r="A78" s="564" t="str">
        <f t="shared" si="2"/>
        <v>Bairro,São Cristovão,Centro</v>
      </c>
      <c r="B78" s="564"/>
      <c r="C78" s="564"/>
    </row>
    <row r="79" spans="1:3">
      <c r="A79" s="564" t="str">
        <f t="shared" si="2"/>
        <v>Caculé,Fone: (77) 99116-6423</v>
      </c>
      <c r="B79" s="564"/>
      <c r="C79" s="564"/>
    </row>
    <row r="80" spans="1:3">
      <c r="A80" s="564" t="str">
        <f t="shared" si="2"/>
        <v>CPNJ:00.000.000/0001-10</v>
      </c>
      <c r="B80" s="564"/>
      <c r="C80" s="564"/>
    </row>
    <row r="81" spans="1:3">
      <c r="A81" s="261" t="s">
        <v>215</v>
      </c>
      <c r="B81" s="565">
        <f ca="1">B55</f>
        <v>44114</v>
      </c>
      <c r="C81" s="566"/>
    </row>
    <row r="82" spans="1:3">
      <c r="A82" s="265"/>
      <c r="B82" s="265"/>
      <c r="C82" s="266"/>
    </row>
    <row r="83" spans="1:3">
      <c r="A83" s="130" t="s">
        <v>197</v>
      </c>
      <c r="B83" s="130" t="s">
        <v>216</v>
      </c>
      <c r="C83" s="236" t="s">
        <v>217</v>
      </c>
    </row>
    <row r="84" spans="1:3">
      <c r="A84" s="130">
        <f>A58</f>
        <v>1</v>
      </c>
      <c r="B84" s="272">
        <f>B59</f>
        <v>10</v>
      </c>
      <c r="C84" s="268">
        <f ca="1">C58</f>
        <v>44144</v>
      </c>
    </row>
    <row r="85" spans="1:3">
      <c r="A85" s="130">
        <f t="shared" ref="A85:A86" si="3">A59</f>
        <v>0</v>
      </c>
      <c r="B85" s="131">
        <f>B60</f>
        <v>10</v>
      </c>
      <c r="C85" s="268" t="str">
        <f t="shared" ref="C85:C86" si="4">C59</f>
        <v/>
      </c>
    </row>
    <row r="86" spans="1:3">
      <c r="A86" s="130">
        <f t="shared" si="3"/>
        <v>0</v>
      </c>
      <c r="B86" s="131">
        <f>B60</f>
        <v>10</v>
      </c>
      <c r="C86" s="268" t="str">
        <f t="shared" si="4"/>
        <v/>
      </c>
    </row>
    <row r="87" spans="1:3">
      <c r="A87" s="130">
        <f>CARNÊ!B49</f>
        <v>0</v>
      </c>
      <c r="B87" s="131">
        <f>CARNÊ!J49</f>
        <v>10</v>
      </c>
      <c r="C87" s="268" t="str">
        <f>CARNÊ!F49</f>
        <v/>
      </c>
    </row>
    <row r="88" spans="1:3" ht="6.75" customHeight="1">
      <c r="A88" s="265"/>
      <c r="B88" s="265"/>
      <c r="C88" s="266"/>
    </row>
    <row r="89" spans="1:3">
      <c r="A89" s="556" t="s">
        <v>218</v>
      </c>
      <c r="B89" s="557"/>
      <c r="C89" s="262">
        <f>C62</f>
        <v>10</v>
      </c>
    </row>
    <row r="90" spans="1:3" ht="9" customHeight="1">
      <c r="A90" s="265"/>
      <c r="B90" s="265"/>
      <c r="C90" s="266"/>
    </row>
    <row r="91" spans="1:3" ht="8.25" customHeight="1"/>
    <row r="92" spans="1:3">
      <c r="A92" s="562">
        <f>A65</f>
        <v>0</v>
      </c>
      <c r="B92" s="562"/>
      <c r="C92" s="562"/>
    </row>
    <row r="93" spans="1:3">
      <c r="A93" s="562" t="str">
        <f>A66</f>
        <v>-</v>
      </c>
      <c r="B93" s="562"/>
      <c r="C93" s="562"/>
    </row>
    <row r="94" spans="1:3">
      <c r="A94" s="562" t="str">
        <f>A67</f>
        <v>-</v>
      </c>
      <c r="B94" s="562"/>
      <c r="C94" s="562"/>
    </row>
    <row r="95" spans="1:3">
      <c r="A95" s="563" t="str">
        <f>A68</f>
        <v>-</v>
      </c>
      <c r="B95" s="563"/>
      <c r="C95" s="563"/>
    </row>
    <row r="96" spans="1:3">
      <c r="A96" s="269" t="s">
        <v>219</v>
      </c>
      <c r="B96" s="568" t="str">
        <f>B69</f>
        <v>ADMIN</v>
      </c>
      <c r="C96" s="568"/>
    </row>
    <row r="97" spans="1:3">
      <c r="A97" s="559"/>
      <c r="B97" s="559"/>
      <c r="C97" s="559"/>
    </row>
    <row r="98" spans="1:3">
      <c r="A98" s="558" t="s">
        <v>212</v>
      </c>
      <c r="B98" s="558"/>
      <c r="C98" s="558"/>
    </row>
    <row r="99" spans="1:3" ht="11.25" customHeight="1"/>
    <row r="100" spans="1:3" ht="25.5" customHeight="1">
      <c r="A100" s="560" t="str">
        <f>A73</f>
        <v>Após o vencimento será cobrado juros de 0,40 ao dia</v>
      </c>
      <c r="B100" s="561"/>
      <c r="C100" s="561"/>
    </row>
    <row r="102" spans="1:3">
      <c r="A102" s="558" t="s">
        <v>220</v>
      </c>
      <c r="B102" s="558"/>
      <c r="C102" s="558"/>
    </row>
    <row r="103" spans="1:3">
      <c r="A103" s="564" t="str">
        <f>A76</f>
        <v>CASA DAS PLANILHAS</v>
      </c>
      <c r="B103" s="564"/>
      <c r="C103" s="564"/>
    </row>
    <row r="104" spans="1:3">
      <c r="A104" s="564" t="str">
        <f t="shared" ref="A104:A107" si="5">A77</f>
        <v>Rua Isac Alves,Casa nº 68</v>
      </c>
      <c r="B104" s="564"/>
      <c r="C104" s="564"/>
    </row>
    <row r="105" spans="1:3">
      <c r="A105" s="564" t="str">
        <f t="shared" si="5"/>
        <v>Bairro,São Cristovão,Centro</v>
      </c>
      <c r="B105" s="564"/>
      <c r="C105" s="564"/>
    </row>
    <row r="106" spans="1:3">
      <c r="A106" s="564" t="str">
        <f t="shared" si="5"/>
        <v>Caculé,Fone: (77) 99116-6423</v>
      </c>
      <c r="B106" s="564"/>
      <c r="C106" s="564"/>
    </row>
    <row r="107" spans="1:3">
      <c r="A107" s="564" t="str">
        <f t="shared" si="5"/>
        <v>CPNJ:00.000.000/0001-10</v>
      </c>
      <c r="B107" s="564"/>
      <c r="C107" s="564"/>
    </row>
    <row r="108" spans="1:3">
      <c r="A108" s="261" t="s">
        <v>215</v>
      </c>
      <c r="B108" s="565">
        <f ca="1">B55</f>
        <v>44114</v>
      </c>
      <c r="C108" s="566"/>
    </row>
    <row r="109" spans="1:3">
      <c r="A109" s="265"/>
      <c r="B109" s="265"/>
      <c r="C109" s="266"/>
    </row>
    <row r="110" spans="1:3">
      <c r="A110" s="130" t="s">
        <v>197</v>
      </c>
      <c r="B110" s="130" t="s">
        <v>216</v>
      </c>
      <c r="C110" s="236" t="s">
        <v>217</v>
      </c>
    </row>
    <row r="111" spans="1:3">
      <c r="A111" s="130">
        <f>A84</f>
        <v>1</v>
      </c>
      <c r="B111" s="272">
        <f>B86</f>
        <v>10</v>
      </c>
      <c r="C111" s="268">
        <f ca="1">C84</f>
        <v>44144</v>
      </c>
    </row>
    <row r="112" spans="1:3">
      <c r="A112" s="130">
        <f t="shared" ref="A112:A114" si="6">A85</f>
        <v>0</v>
      </c>
      <c r="B112" s="131">
        <f>B87</f>
        <v>10</v>
      </c>
      <c r="C112" s="268" t="str">
        <f t="shared" ref="C112:C114" si="7">C85</f>
        <v/>
      </c>
    </row>
    <row r="113" spans="1:3">
      <c r="A113" s="130">
        <f t="shared" si="6"/>
        <v>0</v>
      </c>
      <c r="B113" s="131">
        <f>B87</f>
        <v>10</v>
      </c>
      <c r="C113" s="268" t="str">
        <f t="shared" si="7"/>
        <v/>
      </c>
    </row>
    <row r="114" spans="1:3">
      <c r="A114" s="130">
        <f t="shared" si="6"/>
        <v>0</v>
      </c>
      <c r="B114" s="131">
        <f>B113</f>
        <v>10</v>
      </c>
      <c r="C114" s="268" t="str">
        <f t="shared" si="7"/>
        <v/>
      </c>
    </row>
    <row r="115" spans="1:3">
      <c r="A115" s="130">
        <f>CARNÊ!B65</f>
        <v>0</v>
      </c>
      <c r="B115" s="131">
        <f>B114</f>
        <v>10</v>
      </c>
      <c r="C115" s="268" t="str">
        <f>CARNÊ!F65</f>
        <v/>
      </c>
    </row>
    <row r="116" spans="1:3" ht="6.75" customHeight="1">
      <c r="A116" s="265"/>
      <c r="B116" s="265"/>
      <c r="C116" s="266"/>
    </row>
    <row r="117" spans="1:3">
      <c r="A117" s="556" t="s">
        <v>218</v>
      </c>
      <c r="B117" s="557"/>
      <c r="C117" s="262">
        <f>C89</f>
        <v>10</v>
      </c>
    </row>
    <row r="118" spans="1:3" ht="7.5" customHeight="1">
      <c r="A118" s="265"/>
      <c r="B118" s="265"/>
      <c r="C118" s="266"/>
    </row>
    <row r="119" spans="1:3" ht="8.25" customHeight="1"/>
    <row r="120" spans="1:3">
      <c r="A120" s="562">
        <f>A92</f>
        <v>0</v>
      </c>
      <c r="B120" s="562"/>
      <c r="C120" s="562"/>
    </row>
    <row r="121" spans="1:3">
      <c r="A121" s="562" t="str">
        <f>A93</f>
        <v>-</v>
      </c>
      <c r="B121" s="562"/>
      <c r="C121" s="562"/>
    </row>
    <row r="122" spans="1:3">
      <c r="A122" s="562" t="str">
        <f>A94</f>
        <v>-</v>
      </c>
      <c r="B122" s="562"/>
      <c r="C122" s="562"/>
    </row>
    <row r="123" spans="1:3">
      <c r="A123" s="563" t="str">
        <f>A95</f>
        <v>-</v>
      </c>
      <c r="B123" s="563"/>
      <c r="C123" s="563"/>
    </row>
    <row r="124" spans="1:3">
      <c r="A124" s="269" t="s">
        <v>219</v>
      </c>
      <c r="B124" s="568" t="str">
        <f>B96</f>
        <v>ADMIN</v>
      </c>
      <c r="C124" s="568"/>
    </row>
    <row r="125" spans="1:3">
      <c r="A125" s="559"/>
      <c r="B125" s="559"/>
      <c r="C125" s="559"/>
    </row>
    <row r="126" spans="1:3">
      <c r="A126" s="558" t="s">
        <v>212</v>
      </c>
      <c r="B126" s="558"/>
      <c r="C126" s="558"/>
    </row>
    <row r="127" spans="1:3" ht="9.75" customHeight="1"/>
    <row r="128" spans="1:3" ht="22.5" customHeight="1">
      <c r="A128" s="560" t="str">
        <f>A100</f>
        <v>Após o vencimento será cobrado juros de 0,40 ao dia</v>
      </c>
      <c r="B128" s="561"/>
      <c r="C128" s="561"/>
    </row>
    <row r="130" spans="1:3">
      <c r="A130" s="558" t="s">
        <v>220</v>
      </c>
      <c r="B130" s="558"/>
      <c r="C130" s="558"/>
    </row>
    <row r="131" spans="1:3">
      <c r="A131" s="564" t="str">
        <f>A103</f>
        <v>CASA DAS PLANILHAS</v>
      </c>
      <c r="B131" s="564"/>
      <c r="C131" s="564"/>
    </row>
    <row r="132" spans="1:3">
      <c r="A132" s="564" t="str">
        <f t="shared" ref="A132:A135" si="8">A104</f>
        <v>Rua Isac Alves,Casa nº 68</v>
      </c>
      <c r="B132" s="564"/>
      <c r="C132" s="564"/>
    </row>
    <row r="133" spans="1:3">
      <c r="A133" s="564" t="str">
        <f t="shared" si="8"/>
        <v>Bairro,São Cristovão,Centro</v>
      </c>
      <c r="B133" s="564"/>
      <c r="C133" s="564"/>
    </row>
    <row r="134" spans="1:3">
      <c r="A134" s="564" t="str">
        <f t="shared" si="8"/>
        <v>Caculé,Fone: (77) 99116-6423</v>
      </c>
      <c r="B134" s="564"/>
      <c r="C134" s="564"/>
    </row>
    <row r="135" spans="1:3">
      <c r="A135" s="564" t="str">
        <f t="shared" si="8"/>
        <v>CPNJ:00.000.000/0001-10</v>
      </c>
      <c r="B135" s="564"/>
      <c r="C135" s="564"/>
    </row>
    <row r="136" spans="1:3">
      <c r="A136" s="261" t="s">
        <v>215</v>
      </c>
      <c r="B136" s="565">
        <f ca="1">B108</f>
        <v>44114</v>
      </c>
      <c r="C136" s="566"/>
    </row>
    <row r="137" spans="1:3">
      <c r="A137" s="265"/>
      <c r="B137" s="265"/>
      <c r="C137" s="266"/>
    </row>
    <row r="138" spans="1:3">
      <c r="A138" s="130" t="s">
        <v>197</v>
      </c>
      <c r="B138" s="130" t="s">
        <v>216</v>
      </c>
      <c r="C138" s="236" t="s">
        <v>217</v>
      </c>
    </row>
    <row r="139" spans="1:3">
      <c r="A139" s="130">
        <f>A111</f>
        <v>1</v>
      </c>
      <c r="B139" s="272">
        <f>B114</f>
        <v>10</v>
      </c>
      <c r="C139" s="268">
        <f ca="1">C111</f>
        <v>44144</v>
      </c>
    </row>
    <row r="140" spans="1:3">
      <c r="A140" s="130">
        <f t="shared" ref="A140:A143" si="9">A112</f>
        <v>0</v>
      </c>
      <c r="B140" s="131">
        <f>B115</f>
        <v>10</v>
      </c>
      <c r="C140" s="268" t="str">
        <f t="shared" ref="C140:C143" si="10">C112</f>
        <v/>
      </c>
    </row>
    <row r="141" spans="1:3">
      <c r="A141" s="130">
        <f t="shared" si="9"/>
        <v>0</v>
      </c>
      <c r="B141" s="131">
        <f>B115</f>
        <v>10</v>
      </c>
      <c r="C141" s="268" t="str">
        <f t="shared" si="10"/>
        <v/>
      </c>
    </row>
    <row r="142" spans="1:3">
      <c r="A142" s="130">
        <f t="shared" si="9"/>
        <v>0</v>
      </c>
      <c r="B142" s="131">
        <f>B141</f>
        <v>10</v>
      </c>
      <c r="C142" s="268" t="str">
        <f t="shared" si="10"/>
        <v/>
      </c>
    </row>
    <row r="143" spans="1:3">
      <c r="A143" s="130">
        <f t="shared" si="9"/>
        <v>0</v>
      </c>
      <c r="B143" s="131">
        <f>B142</f>
        <v>10</v>
      </c>
      <c r="C143" s="268" t="str">
        <f t="shared" si="10"/>
        <v/>
      </c>
    </row>
    <row r="144" spans="1:3">
      <c r="A144" s="265">
        <f>CARNÊ!B81</f>
        <v>0</v>
      </c>
      <c r="B144" s="273">
        <f>B143</f>
        <v>10</v>
      </c>
      <c r="C144" s="274" t="str">
        <f>CARNÊ!F81</f>
        <v/>
      </c>
    </row>
    <row r="145" spans="1:3" ht="16.5" customHeight="1">
      <c r="A145" s="556" t="s">
        <v>218</v>
      </c>
      <c r="B145" s="557"/>
      <c r="C145" s="262">
        <f>C117</f>
        <v>10</v>
      </c>
    </row>
    <row r="146" spans="1:3" ht="9" customHeight="1">
      <c r="A146" s="265"/>
      <c r="B146" s="265"/>
      <c r="C146" s="266"/>
    </row>
    <row r="147" spans="1:3" ht="9" customHeight="1"/>
    <row r="148" spans="1:3">
      <c r="A148" s="562">
        <f>A120</f>
        <v>0</v>
      </c>
      <c r="B148" s="562"/>
      <c r="C148" s="562"/>
    </row>
    <row r="149" spans="1:3">
      <c r="A149" s="562" t="str">
        <f>A121</f>
        <v>-</v>
      </c>
      <c r="B149" s="562"/>
      <c r="C149" s="562"/>
    </row>
    <row r="150" spans="1:3">
      <c r="A150" s="562" t="str">
        <f>A122</f>
        <v>-</v>
      </c>
      <c r="B150" s="562"/>
      <c r="C150" s="562"/>
    </row>
    <row r="151" spans="1:3">
      <c r="A151" s="563" t="str">
        <f>A123</f>
        <v>-</v>
      </c>
      <c r="B151" s="563"/>
      <c r="C151" s="563"/>
    </row>
    <row r="152" spans="1:3">
      <c r="A152" s="269" t="s">
        <v>219</v>
      </c>
      <c r="B152" s="568" t="str">
        <f>B124</f>
        <v>ADMIN</v>
      </c>
      <c r="C152" s="568"/>
    </row>
    <row r="153" spans="1:3" ht="15.75" customHeight="1">
      <c r="A153" s="559"/>
      <c r="B153" s="559"/>
      <c r="C153" s="559"/>
    </row>
    <row r="154" spans="1:3">
      <c r="A154" s="558" t="s">
        <v>212</v>
      </c>
      <c r="B154" s="558"/>
      <c r="C154" s="558"/>
    </row>
    <row r="155" spans="1:3" ht="10.5" customHeight="1"/>
    <row r="156" spans="1:3" ht="25.5" customHeight="1">
      <c r="A156" s="560" t="str">
        <f>A128</f>
        <v>Após o vencimento será cobrado juros de 0,40 ao dia</v>
      </c>
      <c r="B156" s="561"/>
      <c r="C156" s="561"/>
    </row>
    <row r="158" spans="1:3">
      <c r="A158" s="558" t="s">
        <v>220</v>
      </c>
      <c r="B158" s="558"/>
      <c r="C158" s="558"/>
    </row>
    <row r="159" spans="1:3">
      <c r="A159" s="564" t="str">
        <f>A131</f>
        <v>CASA DAS PLANILHAS</v>
      </c>
      <c r="B159" s="564"/>
      <c r="C159" s="564"/>
    </row>
    <row r="160" spans="1:3">
      <c r="A160" s="564" t="str">
        <f t="shared" ref="A160:A163" si="11">A132</f>
        <v>Rua Isac Alves,Casa nº 68</v>
      </c>
      <c r="B160" s="564"/>
      <c r="C160" s="564"/>
    </row>
    <row r="161" spans="1:3">
      <c r="A161" s="564" t="str">
        <f t="shared" si="11"/>
        <v>Bairro,São Cristovão,Centro</v>
      </c>
      <c r="B161" s="564"/>
      <c r="C161" s="564"/>
    </row>
    <row r="162" spans="1:3">
      <c r="A162" s="564" t="str">
        <f t="shared" si="11"/>
        <v>Caculé,Fone: (77) 99116-6423</v>
      </c>
      <c r="B162" s="564"/>
      <c r="C162" s="564"/>
    </row>
    <row r="163" spans="1:3">
      <c r="A163" s="564" t="str">
        <f t="shared" si="11"/>
        <v>CPNJ:00.000.000/0001-10</v>
      </c>
      <c r="B163" s="564"/>
      <c r="C163" s="564"/>
    </row>
    <row r="164" spans="1:3">
      <c r="A164" s="261" t="s">
        <v>215</v>
      </c>
      <c r="B164" s="565">
        <f ca="1">B136</f>
        <v>44114</v>
      </c>
      <c r="C164" s="566"/>
    </row>
    <row r="165" spans="1:3">
      <c r="A165" s="265"/>
      <c r="B165" s="265"/>
      <c r="C165" s="266"/>
    </row>
    <row r="166" spans="1:3">
      <c r="A166" s="130" t="s">
        <v>197</v>
      </c>
      <c r="B166" s="130" t="s">
        <v>216</v>
      </c>
      <c r="C166" s="236" t="s">
        <v>217</v>
      </c>
    </row>
    <row r="167" spans="1:3">
      <c r="A167" s="130">
        <f>A139</f>
        <v>1</v>
      </c>
      <c r="B167" s="272">
        <f>B139</f>
        <v>10</v>
      </c>
      <c r="C167" s="268">
        <f ca="1">C139</f>
        <v>44144</v>
      </c>
    </row>
    <row r="168" spans="1:3">
      <c r="A168" s="130">
        <f t="shared" ref="A168:C172" si="12">A140</f>
        <v>0</v>
      </c>
      <c r="B168" s="272">
        <f t="shared" si="12"/>
        <v>10</v>
      </c>
      <c r="C168" s="268" t="str">
        <f t="shared" si="12"/>
        <v/>
      </c>
    </row>
    <row r="169" spans="1:3">
      <c r="A169" s="130">
        <f t="shared" si="12"/>
        <v>0</v>
      </c>
      <c r="B169" s="272">
        <f t="shared" si="12"/>
        <v>10</v>
      </c>
      <c r="C169" s="268" t="str">
        <f t="shared" si="12"/>
        <v/>
      </c>
    </row>
    <row r="170" spans="1:3">
      <c r="A170" s="130">
        <f t="shared" si="12"/>
        <v>0</v>
      </c>
      <c r="B170" s="272">
        <f t="shared" si="12"/>
        <v>10</v>
      </c>
      <c r="C170" s="268" t="str">
        <f t="shared" si="12"/>
        <v/>
      </c>
    </row>
    <row r="171" spans="1:3">
      <c r="A171" s="130">
        <f t="shared" si="12"/>
        <v>0</v>
      </c>
      <c r="B171" s="272">
        <f t="shared" si="12"/>
        <v>10</v>
      </c>
      <c r="C171" s="268" t="str">
        <f t="shared" si="12"/>
        <v/>
      </c>
    </row>
    <row r="172" spans="1:3">
      <c r="A172" s="130">
        <f t="shared" si="12"/>
        <v>0</v>
      </c>
      <c r="B172" s="272">
        <f t="shared" si="12"/>
        <v>10</v>
      </c>
      <c r="C172" s="268" t="str">
        <f t="shared" si="12"/>
        <v/>
      </c>
    </row>
    <row r="173" spans="1:3">
      <c r="A173" s="265">
        <f>CARNÊ!B97</f>
        <v>0</v>
      </c>
      <c r="B173" s="272">
        <f>B172</f>
        <v>10</v>
      </c>
      <c r="C173" s="274" t="str">
        <f>CARNÊ!F97</f>
        <v/>
      </c>
    </row>
    <row r="174" spans="1:3" ht="16.5" customHeight="1">
      <c r="A174" s="556" t="s">
        <v>218</v>
      </c>
      <c r="B174" s="557"/>
      <c r="C174" s="262">
        <f>C145</f>
        <v>10</v>
      </c>
    </row>
    <row r="175" spans="1:3" ht="8.25" customHeight="1">
      <c r="A175" s="265"/>
      <c r="B175" s="265"/>
      <c r="C175" s="266"/>
    </row>
    <row r="176" spans="1:3" ht="6.75" customHeight="1"/>
    <row r="177" spans="1:3">
      <c r="A177" s="562">
        <f>A148</f>
        <v>0</v>
      </c>
      <c r="B177" s="562"/>
      <c r="C177" s="562"/>
    </row>
    <row r="178" spans="1:3">
      <c r="A178" s="562" t="str">
        <f>A149</f>
        <v>-</v>
      </c>
      <c r="B178" s="562"/>
      <c r="C178" s="562"/>
    </row>
    <row r="179" spans="1:3">
      <c r="A179" s="562" t="str">
        <f>A150</f>
        <v>-</v>
      </c>
      <c r="B179" s="562"/>
      <c r="C179" s="562"/>
    </row>
    <row r="180" spans="1:3">
      <c r="A180" s="563" t="str">
        <f>A151</f>
        <v>-</v>
      </c>
      <c r="B180" s="563"/>
      <c r="C180" s="563"/>
    </row>
    <row r="181" spans="1:3">
      <c r="A181" s="269" t="s">
        <v>219</v>
      </c>
      <c r="B181" s="568" t="str">
        <f>B152</f>
        <v>ADMIN</v>
      </c>
      <c r="C181" s="568"/>
    </row>
    <row r="182" spans="1:3">
      <c r="A182" s="559"/>
      <c r="B182" s="559"/>
      <c r="C182" s="559"/>
    </row>
    <row r="183" spans="1:3">
      <c r="A183" s="558" t="s">
        <v>212</v>
      </c>
      <c r="B183" s="558"/>
      <c r="C183" s="558"/>
    </row>
    <row r="184" spans="1:3" ht="10.5" customHeight="1"/>
    <row r="185" spans="1:3" ht="27.75" customHeight="1">
      <c r="A185" s="560" t="str">
        <f>A156</f>
        <v>Após o vencimento será cobrado juros de 0,40 ao dia</v>
      </c>
      <c r="B185" s="561"/>
      <c r="C185" s="561"/>
    </row>
    <row r="187" spans="1:3">
      <c r="A187" s="558" t="s">
        <v>220</v>
      </c>
      <c r="B187" s="558"/>
      <c r="C187" s="558"/>
    </row>
    <row r="188" spans="1:3">
      <c r="A188" s="564" t="str">
        <f>A159</f>
        <v>CASA DAS PLANILHAS</v>
      </c>
      <c r="B188" s="564"/>
      <c r="C188" s="564"/>
    </row>
    <row r="189" spans="1:3">
      <c r="A189" s="564" t="str">
        <f t="shared" ref="A189:A192" si="13">A160</f>
        <v>Rua Isac Alves,Casa nº 68</v>
      </c>
      <c r="B189" s="564"/>
      <c r="C189" s="564"/>
    </row>
    <row r="190" spans="1:3">
      <c r="A190" s="564" t="str">
        <f t="shared" si="13"/>
        <v>Bairro,São Cristovão,Centro</v>
      </c>
      <c r="B190" s="564"/>
      <c r="C190" s="564"/>
    </row>
    <row r="191" spans="1:3">
      <c r="A191" s="564" t="str">
        <f t="shared" si="13"/>
        <v>Caculé,Fone: (77) 99116-6423</v>
      </c>
      <c r="B191" s="564"/>
      <c r="C191" s="564"/>
    </row>
    <row r="192" spans="1:3">
      <c r="A192" s="564" t="str">
        <f t="shared" si="13"/>
        <v>CPNJ:00.000.000/0001-10</v>
      </c>
      <c r="B192" s="564"/>
      <c r="C192" s="564"/>
    </row>
    <row r="193" spans="1:3">
      <c r="A193" s="261" t="s">
        <v>215</v>
      </c>
      <c r="B193" s="565">
        <f ca="1">B164</f>
        <v>44114</v>
      </c>
      <c r="C193" s="566"/>
    </row>
    <row r="194" spans="1:3">
      <c r="A194" s="265"/>
      <c r="B194" s="265"/>
      <c r="C194" s="266"/>
    </row>
    <row r="195" spans="1:3">
      <c r="A195" s="130" t="s">
        <v>197</v>
      </c>
      <c r="B195" s="130" t="s">
        <v>216</v>
      </c>
      <c r="C195" s="236" t="s">
        <v>217</v>
      </c>
    </row>
    <row r="196" spans="1:3">
      <c r="A196" s="130">
        <f>A167</f>
        <v>1</v>
      </c>
      <c r="B196" s="272">
        <f>B168</f>
        <v>10</v>
      </c>
      <c r="C196" s="268">
        <f ca="1">C167</f>
        <v>44144</v>
      </c>
    </row>
    <row r="197" spans="1:3">
      <c r="A197" s="130">
        <f t="shared" ref="A197:A202" si="14">A168</f>
        <v>0</v>
      </c>
      <c r="B197" s="272">
        <f t="shared" ref="B197" si="15">B169</f>
        <v>10</v>
      </c>
      <c r="C197" s="268" t="str">
        <f t="shared" ref="C197:C202" si="16">C168</f>
        <v/>
      </c>
    </row>
    <row r="198" spans="1:3">
      <c r="A198" s="130">
        <f t="shared" si="14"/>
        <v>0</v>
      </c>
      <c r="B198" s="272">
        <f t="shared" ref="B198" si="17">B170</f>
        <v>10</v>
      </c>
      <c r="C198" s="268" t="str">
        <f t="shared" si="16"/>
        <v/>
      </c>
    </row>
    <row r="199" spans="1:3">
      <c r="A199" s="130">
        <f t="shared" si="14"/>
        <v>0</v>
      </c>
      <c r="B199" s="272">
        <f t="shared" ref="B199" si="18">B171</f>
        <v>10</v>
      </c>
      <c r="C199" s="268" t="str">
        <f t="shared" si="16"/>
        <v/>
      </c>
    </row>
    <row r="200" spans="1:3">
      <c r="A200" s="130">
        <f t="shared" si="14"/>
        <v>0</v>
      </c>
      <c r="B200" s="272">
        <f t="shared" ref="B200" si="19">B172</f>
        <v>10</v>
      </c>
      <c r="C200" s="268" t="str">
        <f t="shared" si="16"/>
        <v/>
      </c>
    </row>
    <row r="201" spans="1:3">
      <c r="A201" s="130">
        <f t="shared" si="14"/>
        <v>0</v>
      </c>
      <c r="B201" s="272">
        <f t="shared" ref="B201" si="20">B173</f>
        <v>10</v>
      </c>
      <c r="C201" s="268" t="str">
        <f t="shared" si="16"/>
        <v/>
      </c>
    </row>
    <row r="202" spans="1:3">
      <c r="A202" s="130">
        <f t="shared" si="14"/>
        <v>0</v>
      </c>
      <c r="B202" s="272">
        <f>B201</f>
        <v>10</v>
      </c>
      <c r="C202" s="268" t="str">
        <f t="shared" si="16"/>
        <v/>
      </c>
    </row>
    <row r="203" spans="1:3">
      <c r="A203" s="130">
        <f>CARNÊ!B113</f>
        <v>0</v>
      </c>
      <c r="B203" s="272">
        <f>B201</f>
        <v>10</v>
      </c>
      <c r="C203" s="274" t="str">
        <f>CARNÊ!F113</f>
        <v/>
      </c>
    </row>
    <row r="204" spans="1:3" ht="18.75" customHeight="1">
      <c r="A204" s="556" t="s">
        <v>218</v>
      </c>
      <c r="B204" s="557"/>
      <c r="C204" s="262">
        <f>C174</f>
        <v>10</v>
      </c>
    </row>
    <row r="205" spans="1:3" ht="7.5" customHeight="1">
      <c r="A205" s="265"/>
      <c r="B205" s="265"/>
      <c r="C205" s="266"/>
    </row>
    <row r="206" spans="1:3" ht="7.5" customHeight="1"/>
    <row r="207" spans="1:3">
      <c r="A207" s="562">
        <f>A177</f>
        <v>0</v>
      </c>
      <c r="B207" s="562"/>
      <c r="C207" s="562"/>
    </row>
    <row r="208" spans="1:3">
      <c r="A208" s="562" t="str">
        <f>A178</f>
        <v>-</v>
      </c>
      <c r="B208" s="562"/>
      <c r="C208" s="562"/>
    </row>
    <row r="209" spans="1:3">
      <c r="A209" s="562" t="str">
        <f>A179</f>
        <v>-</v>
      </c>
      <c r="B209" s="562"/>
      <c r="C209" s="562"/>
    </row>
    <row r="210" spans="1:3">
      <c r="A210" s="563" t="str">
        <f>A180</f>
        <v>-</v>
      </c>
      <c r="B210" s="563"/>
      <c r="C210" s="563"/>
    </row>
    <row r="211" spans="1:3">
      <c r="A211" s="269" t="s">
        <v>219</v>
      </c>
      <c r="B211" s="568" t="str">
        <f>B181</f>
        <v>ADMIN</v>
      </c>
      <c r="C211" s="568"/>
    </row>
    <row r="212" spans="1:3">
      <c r="A212" s="559"/>
      <c r="B212" s="559"/>
      <c r="C212" s="559"/>
    </row>
    <row r="213" spans="1:3">
      <c r="A213" s="558" t="s">
        <v>212</v>
      </c>
      <c r="B213" s="558"/>
      <c r="C213" s="558"/>
    </row>
    <row r="215" spans="1:3" ht="24.75" customHeight="1">
      <c r="A215" s="560" t="str">
        <f>A185</f>
        <v>Após o vencimento será cobrado juros de 0,40 ao dia</v>
      </c>
      <c r="B215" s="561"/>
      <c r="C215" s="561"/>
    </row>
    <row r="217" spans="1:3">
      <c r="A217" s="558" t="s">
        <v>220</v>
      </c>
      <c r="B217" s="558"/>
      <c r="C217" s="558"/>
    </row>
    <row r="218" spans="1:3">
      <c r="A218" s="564" t="str">
        <f>A188</f>
        <v>CASA DAS PLANILHAS</v>
      </c>
      <c r="B218" s="564"/>
      <c r="C218" s="564"/>
    </row>
    <row r="219" spans="1:3">
      <c r="A219" s="564" t="str">
        <f t="shared" ref="A219:A222" si="21">A189</f>
        <v>Rua Isac Alves,Casa nº 68</v>
      </c>
      <c r="B219" s="564"/>
      <c r="C219" s="564"/>
    </row>
    <row r="220" spans="1:3">
      <c r="A220" s="564" t="str">
        <f t="shared" si="21"/>
        <v>Bairro,São Cristovão,Centro</v>
      </c>
      <c r="B220" s="564"/>
      <c r="C220" s="564"/>
    </row>
    <row r="221" spans="1:3">
      <c r="A221" s="564" t="str">
        <f t="shared" si="21"/>
        <v>Caculé,Fone: (77) 99116-6423</v>
      </c>
      <c r="B221" s="564"/>
      <c r="C221" s="564"/>
    </row>
    <row r="222" spans="1:3">
      <c r="A222" s="564" t="str">
        <f t="shared" si="21"/>
        <v>CPNJ:00.000.000/0001-10</v>
      </c>
      <c r="B222" s="564"/>
      <c r="C222" s="564"/>
    </row>
    <row r="223" spans="1:3">
      <c r="A223" s="261" t="s">
        <v>215</v>
      </c>
      <c r="B223" s="565">
        <f ca="1">B193</f>
        <v>44114</v>
      </c>
      <c r="C223" s="566"/>
    </row>
    <row r="224" spans="1:3">
      <c r="A224" s="265"/>
      <c r="B224" s="265"/>
      <c r="C224" s="266"/>
    </row>
    <row r="225" spans="1:3">
      <c r="A225" s="130" t="s">
        <v>197</v>
      </c>
      <c r="B225" s="130" t="s">
        <v>216</v>
      </c>
      <c r="C225" s="236" t="s">
        <v>217</v>
      </c>
    </row>
    <row r="226" spans="1:3">
      <c r="A226" s="130">
        <f>A196</f>
        <v>1</v>
      </c>
      <c r="B226" s="272">
        <f>B198</f>
        <v>10</v>
      </c>
      <c r="C226" s="268">
        <f ca="1">C196</f>
        <v>44144</v>
      </c>
    </row>
    <row r="227" spans="1:3">
      <c r="A227" s="130">
        <f t="shared" ref="A227:A232" si="22">A197</f>
        <v>0</v>
      </c>
      <c r="B227" s="272">
        <f t="shared" ref="B227" si="23">B199</f>
        <v>10</v>
      </c>
      <c r="C227" s="268" t="str">
        <f t="shared" ref="C227:C233" si="24">C197</f>
        <v/>
      </c>
    </row>
    <row r="228" spans="1:3">
      <c r="A228" s="130">
        <f t="shared" si="22"/>
        <v>0</v>
      </c>
      <c r="B228" s="272">
        <f t="shared" ref="B228" si="25">B200</f>
        <v>10</v>
      </c>
      <c r="C228" s="268" t="str">
        <f t="shared" si="24"/>
        <v/>
      </c>
    </row>
    <row r="229" spans="1:3">
      <c r="A229" s="130">
        <f t="shared" si="22"/>
        <v>0</v>
      </c>
      <c r="B229" s="272">
        <f t="shared" ref="B229" si="26">B201</f>
        <v>10</v>
      </c>
      <c r="C229" s="268" t="str">
        <f t="shared" si="24"/>
        <v/>
      </c>
    </row>
    <row r="230" spans="1:3">
      <c r="A230" s="130">
        <f t="shared" si="22"/>
        <v>0</v>
      </c>
      <c r="B230" s="272">
        <f t="shared" ref="B230:B231" si="27">B202</f>
        <v>10</v>
      </c>
      <c r="C230" s="268" t="str">
        <f t="shared" si="24"/>
        <v/>
      </c>
    </row>
    <row r="231" spans="1:3">
      <c r="A231" s="130">
        <f t="shared" si="22"/>
        <v>0</v>
      </c>
      <c r="B231" s="272">
        <f t="shared" si="27"/>
        <v>10</v>
      </c>
      <c r="C231" s="268" t="str">
        <f t="shared" si="24"/>
        <v/>
      </c>
    </row>
    <row r="232" spans="1:3">
      <c r="A232" s="130">
        <f t="shared" si="22"/>
        <v>0</v>
      </c>
      <c r="B232" s="272">
        <f>B231</f>
        <v>10</v>
      </c>
      <c r="C232" s="268" t="str">
        <f t="shared" si="24"/>
        <v/>
      </c>
    </row>
    <row r="233" spans="1:3">
      <c r="A233" s="130">
        <f>A203</f>
        <v>0</v>
      </c>
      <c r="B233" s="272">
        <f>B232</f>
        <v>10</v>
      </c>
      <c r="C233" s="268" t="str">
        <f t="shared" si="24"/>
        <v/>
      </c>
    </row>
    <row r="234" spans="1:3">
      <c r="A234" s="130">
        <f>CARNÊ!B129</f>
        <v>0</v>
      </c>
      <c r="B234" s="272">
        <f>B231</f>
        <v>10</v>
      </c>
      <c r="C234" s="274" t="str">
        <f>CARNÊ!F129</f>
        <v/>
      </c>
    </row>
    <row r="235" spans="1:3" ht="17.25" customHeight="1">
      <c r="A235" s="556" t="s">
        <v>218</v>
      </c>
      <c r="B235" s="557"/>
      <c r="C235" s="262">
        <f>C204</f>
        <v>10</v>
      </c>
    </row>
    <row r="236" spans="1:3" ht="9" customHeight="1">
      <c r="A236" s="265"/>
      <c r="B236" s="265"/>
      <c r="C236" s="266"/>
    </row>
    <row r="237" spans="1:3" ht="7.5" customHeight="1"/>
    <row r="238" spans="1:3">
      <c r="A238" s="562">
        <f>A207</f>
        <v>0</v>
      </c>
      <c r="B238" s="562"/>
      <c r="C238" s="562"/>
    </row>
    <row r="239" spans="1:3">
      <c r="A239" s="562" t="str">
        <f>A208</f>
        <v>-</v>
      </c>
      <c r="B239" s="562"/>
      <c r="C239" s="562"/>
    </row>
    <row r="240" spans="1:3">
      <c r="A240" s="562" t="str">
        <f>A209</f>
        <v>-</v>
      </c>
      <c r="B240" s="562"/>
      <c r="C240" s="562"/>
    </row>
    <row r="241" spans="1:3">
      <c r="A241" s="563" t="str">
        <f>A210</f>
        <v>-</v>
      </c>
      <c r="B241" s="563"/>
      <c r="C241" s="563"/>
    </row>
    <row r="242" spans="1:3">
      <c r="A242" s="269" t="s">
        <v>219</v>
      </c>
      <c r="B242" s="568" t="str">
        <f>B211</f>
        <v>ADMIN</v>
      </c>
      <c r="C242" s="568"/>
    </row>
    <row r="243" spans="1:3">
      <c r="A243" s="559"/>
      <c r="B243" s="559"/>
      <c r="C243" s="559"/>
    </row>
    <row r="244" spans="1:3">
      <c r="A244" s="558" t="s">
        <v>212</v>
      </c>
      <c r="B244" s="558"/>
      <c r="C244" s="558"/>
    </row>
    <row r="245" spans="1:3" ht="12" customHeight="1"/>
    <row r="246" spans="1:3" ht="22.5" customHeight="1">
      <c r="A246" s="560" t="str">
        <f>A215</f>
        <v>Após o vencimento será cobrado juros de 0,40 ao dia</v>
      </c>
      <c r="B246" s="561"/>
      <c r="C246" s="561"/>
    </row>
    <row r="248" spans="1:3">
      <c r="A248" s="558" t="s">
        <v>220</v>
      </c>
      <c r="B248" s="558"/>
      <c r="C248" s="558"/>
    </row>
    <row r="249" spans="1:3">
      <c r="A249" s="564" t="str">
        <f>A218</f>
        <v>CASA DAS PLANILHAS</v>
      </c>
      <c r="B249" s="564"/>
      <c r="C249" s="564"/>
    </row>
    <row r="250" spans="1:3">
      <c r="A250" s="564" t="str">
        <f t="shared" ref="A250:A253" si="28">A219</f>
        <v>Rua Isac Alves,Casa nº 68</v>
      </c>
      <c r="B250" s="564"/>
      <c r="C250" s="564"/>
    </row>
    <row r="251" spans="1:3">
      <c r="A251" s="564" t="str">
        <f t="shared" si="28"/>
        <v>Bairro,São Cristovão,Centro</v>
      </c>
      <c r="B251" s="564"/>
      <c r="C251" s="564"/>
    </row>
    <row r="252" spans="1:3">
      <c r="A252" s="564" t="str">
        <f t="shared" si="28"/>
        <v>Caculé,Fone: (77) 99116-6423</v>
      </c>
      <c r="B252" s="564"/>
      <c r="C252" s="564"/>
    </row>
    <row r="253" spans="1:3">
      <c r="A253" s="564" t="str">
        <f t="shared" si="28"/>
        <v>CPNJ:00.000.000/0001-10</v>
      </c>
      <c r="B253" s="564"/>
      <c r="C253" s="564"/>
    </row>
    <row r="254" spans="1:3">
      <c r="A254" s="261" t="s">
        <v>215</v>
      </c>
      <c r="B254" s="565">
        <f ca="1">B223</f>
        <v>44114</v>
      </c>
      <c r="C254" s="566"/>
    </row>
    <row r="255" spans="1:3">
      <c r="A255" s="265"/>
      <c r="B255" s="265"/>
      <c r="C255" s="266"/>
    </row>
    <row r="256" spans="1:3">
      <c r="A256" s="130" t="s">
        <v>197</v>
      </c>
      <c r="B256" s="130" t="s">
        <v>216</v>
      </c>
      <c r="C256" s="236" t="s">
        <v>217</v>
      </c>
    </row>
    <row r="257" spans="1:3">
      <c r="A257" s="130">
        <f>A226</f>
        <v>1</v>
      </c>
      <c r="B257" s="272">
        <f>B229</f>
        <v>10</v>
      </c>
      <c r="C257" s="268">
        <f ca="1">C226</f>
        <v>44144</v>
      </c>
    </row>
    <row r="258" spans="1:3">
      <c r="A258" s="130">
        <f t="shared" ref="A258:A265" si="29">A227</f>
        <v>0</v>
      </c>
      <c r="B258" s="272">
        <f t="shared" ref="B258" si="30">B230</f>
        <v>10</v>
      </c>
      <c r="C258" s="268" t="str">
        <f t="shared" ref="C258:C265" si="31">C227</f>
        <v/>
      </c>
    </row>
    <row r="259" spans="1:3">
      <c r="A259" s="130">
        <f t="shared" si="29"/>
        <v>0</v>
      </c>
      <c r="B259" s="272">
        <f t="shared" ref="B259" si="32">B231</f>
        <v>10</v>
      </c>
      <c r="C259" s="268" t="str">
        <f t="shared" si="31"/>
        <v/>
      </c>
    </row>
    <row r="260" spans="1:3">
      <c r="A260" s="130">
        <f t="shared" si="29"/>
        <v>0</v>
      </c>
      <c r="B260" s="272">
        <f t="shared" ref="B260" si="33">B232</f>
        <v>10</v>
      </c>
      <c r="C260" s="268" t="str">
        <f t="shared" si="31"/>
        <v/>
      </c>
    </row>
    <row r="261" spans="1:3">
      <c r="A261" s="130">
        <f t="shared" si="29"/>
        <v>0</v>
      </c>
      <c r="B261" s="272">
        <f t="shared" ref="B261" si="34">B233</f>
        <v>10</v>
      </c>
      <c r="C261" s="268" t="str">
        <f t="shared" si="31"/>
        <v/>
      </c>
    </row>
    <row r="262" spans="1:3">
      <c r="A262" s="130">
        <f t="shared" si="29"/>
        <v>0</v>
      </c>
      <c r="B262" s="272">
        <f t="shared" ref="B262" si="35">B234</f>
        <v>10</v>
      </c>
      <c r="C262" s="268" t="str">
        <f t="shared" si="31"/>
        <v/>
      </c>
    </row>
    <row r="263" spans="1:3">
      <c r="A263" s="130">
        <f t="shared" si="29"/>
        <v>0</v>
      </c>
      <c r="B263" s="272">
        <f>B262</f>
        <v>10</v>
      </c>
      <c r="C263" s="268" t="str">
        <f t="shared" si="31"/>
        <v/>
      </c>
    </row>
    <row r="264" spans="1:3">
      <c r="A264" s="130">
        <f t="shared" si="29"/>
        <v>0</v>
      </c>
      <c r="B264" s="272">
        <f>B263</f>
        <v>10</v>
      </c>
      <c r="C264" s="268" t="str">
        <f t="shared" si="31"/>
        <v/>
      </c>
    </row>
    <row r="265" spans="1:3">
      <c r="A265" s="130">
        <f t="shared" si="29"/>
        <v>0</v>
      </c>
      <c r="B265" s="272">
        <f>B264</f>
        <v>10</v>
      </c>
      <c r="C265" s="268" t="str">
        <f t="shared" si="31"/>
        <v/>
      </c>
    </row>
    <row r="266" spans="1:3">
      <c r="A266" s="130">
        <f>CARNÊ!B145</f>
        <v>0</v>
      </c>
      <c r="B266" s="272">
        <f>B262</f>
        <v>10</v>
      </c>
      <c r="C266" s="274" t="str">
        <f>CARNÊ!F145</f>
        <v/>
      </c>
    </row>
    <row r="267" spans="1:3" ht="16.5" customHeight="1">
      <c r="A267" s="556" t="s">
        <v>218</v>
      </c>
      <c r="B267" s="557"/>
      <c r="C267" s="262">
        <f>C235</f>
        <v>10</v>
      </c>
    </row>
    <row r="268" spans="1:3" ht="8.25" customHeight="1">
      <c r="A268" s="265"/>
      <c r="B268" s="265"/>
      <c r="C268" s="266"/>
    </row>
    <row r="269" spans="1:3" ht="9" customHeight="1"/>
    <row r="270" spans="1:3">
      <c r="A270" s="562">
        <f>A238</f>
        <v>0</v>
      </c>
      <c r="B270" s="562"/>
      <c r="C270" s="562"/>
    </row>
    <row r="271" spans="1:3">
      <c r="A271" s="562" t="str">
        <f>A239</f>
        <v>-</v>
      </c>
      <c r="B271" s="562"/>
      <c r="C271" s="562"/>
    </row>
    <row r="272" spans="1:3">
      <c r="A272" s="562" t="str">
        <f>A240</f>
        <v>-</v>
      </c>
      <c r="B272" s="562"/>
      <c r="C272" s="562"/>
    </row>
    <row r="273" spans="1:3">
      <c r="A273" s="563" t="str">
        <f>A241</f>
        <v>-</v>
      </c>
      <c r="B273" s="563"/>
      <c r="C273" s="563"/>
    </row>
    <row r="274" spans="1:3">
      <c r="A274" s="269" t="s">
        <v>219</v>
      </c>
      <c r="B274" s="568" t="str">
        <f>B242</f>
        <v>ADMIN</v>
      </c>
      <c r="C274" s="568"/>
    </row>
    <row r="275" spans="1:3">
      <c r="A275" s="559"/>
      <c r="B275" s="559"/>
      <c r="C275" s="559"/>
    </row>
    <row r="276" spans="1:3">
      <c r="A276" s="558" t="s">
        <v>212</v>
      </c>
      <c r="B276" s="558"/>
      <c r="C276" s="558"/>
    </row>
    <row r="277" spans="1:3" ht="10.5" customHeight="1"/>
    <row r="278" spans="1:3" ht="23.25" customHeight="1">
      <c r="A278" s="560" t="str">
        <f>A246</f>
        <v>Após o vencimento será cobrado juros de 0,40 ao dia</v>
      </c>
      <c r="B278" s="561"/>
      <c r="C278" s="561"/>
    </row>
  </sheetData>
  <mergeCells count="160">
    <mergeCell ref="A276:C276"/>
    <mergeCell ref="A278:C278"/>
    <mergeCell ref="A270:C270"/>
    <mergeCell ref="A271:C271"/>
    <mergeCell ref="A272:C272"/>
    <mergeCell ref="A273:C273"/>
    <mergeCell ref="B274:C274"/>
    <mergeCell ref="A275:C275"/>
    <mergeCell ref="A250:C250"/>
    <mergeCell ref="A251:C251"/>
    <mergeCell ref="A252:C252"/>
    <mergeCell ref="A253:C253"/>
    <mergeCell ref="B254:C254"/>
    <mergeCell ref="A267:B267"/>
    <mergeCell ref="B242:C242"/>
    <mergeCell ref="A243:C243"/>
    <mergeCell ref="A244:C244"/>
    <mergeCell ref="A246:C246"/>
    <mergeCell ref="A248:C248"/>
    <mergeCell ref="A249:C249"/>
    <mergeCell ref="B223:C223"/>
    <mergeCell ref="A235:B235"/>
    <mergeCell ref="A238:C238"/>
    <mergeCell ref="A239:C239"/>
    <mergeCell ref="A240:C240"/>
    <mergeCell ref="A241:C241"/>
    <mergeCell ref="A217:C217"/>
    <mergeCell ref="A218:C218"/>
    <mergeCell ref="A219:C219"/>
    <mergeCell ref="A220:C220"/>
    <mergeCell ref="A221:C221"/>
    <mergeCell ref="A222:C222"/>
    <mergeCell ref="A209:C209"/>
    <mergeCell ref="A210:C210"/>
    <mergeCell ref="B211:C211"/>
    <mergeCell ref="A212:C212"/>
    <mergeCell ref="A213:C213"/>
    <mergeCell ref="A215:C215"/>
    <mergeCell ref="A191:C191"/>
    <mergeCell ref="A192:C192"/>
    <mergeCell ref="B193:C193"/>
    <mergeCell ref="A204:B204"/>
    <mergeCell ref="A207:C207"/>
    <mergeCell ref="A208:C208"/>
    <mergeCell ref="A183:C183"/>
    <mergeCell ref="A185:C185"/>
    <mergeCell ref="A187:C187"/>
    <mergeCell ref="A188:C188"/>
    <mergeCell ref="A189:C189"/>
    <mergeCell ref="A190:C190"/>
    <mergeCell ref="A177:C177"/>
    <mergeCell ref="A178:C178"/>
    <mergeCell ref="A179:C179"/>
    <mergeCell ref="A180:C180"/>
    <mergeCell ref="B181:C181"/>
    <mergeCell ref="A182:C182"/>
    <mergeCell ref="A160:C160"/>
    <mergeCell ref="A161:C161"/>
    <mergeCell ref="A162:C162"/>
    <mergeCell ref="A163:C163"/>
    <mergeCell ref="B164:C164"/>
    <mergeCell ref="A174:B174"/>
    <mergeCell ref="B152:C152"/>
    <mergeCell ref="A153:C153"/>
    <mergeCell ref="A154:C154"/>
    <mergeCell ref="A156:C156"/>
    <mergeCell ref="A158:C158"/>
    <mergeCell ref="A159:C159"/>
    <mergeCell ref="B136:C136"/>
    <mergeCell ref="A145:B145"/>
    <mergeCell ref="A148:C148"/>
    <mergeCell ref="A149:C149"/>
    <mergeCell ref="A150:C150"/>
    <mergeCell ref="A151:C151"/>
    <mergeCell ref="A130:C130"/>
    <mergeCell ref="A131:C131"/>
    <mergeCell ref="A132:C132"/>
    <mergeCell ref="A133:C133"/>
    <mergeCell ref="A134:C134"/>
    <mergeCell ref="A135:C135"/>
    <mergeCell ref="A122:C122"/>
    <mergeCell ref="A123:C123"/>
    <mergeCell ref="B124:C124"/>
    <mergeCell ref="A125:C125"/>
    <mergeCell ref="A126:C126"/>
    <mergeCell ref="A128:C128"/>
    <mergeCell ref="A106:C106"/>
    <mergeCell ref="A107:C107"/>
    <mergeCell ref="B108:C108"/>
    <mergeCell ref="A117:B117"/>
    <mergeCell ref="A120:C120"/>
    <mergeCell ref="A121:C121"/>
    <mergeCell ref="A98:C98"/>
    <mergeCell ref="A100:C100"/>
    <mergeCell ref="A102:C102"/>
    <mergeCell ref="A103:C103"/>
    <mergeCell ref="A104:C104"/>
    <mergeCell ref="A105:C105"/>
    <mergeCell ref="A92:C92"/>
    <mergeCell ref="A93:C93"/>
    <mergeCell ref="A94:C94"/>
    <mergeCell ref="A95:C95"/>
    <mergeCell ref="B96:C96"/>
    <mergeCell ref="A97:C97"/>
    <mergeCell ref="A77:C77"/>
    <mergeCell ref="A78:C78"/>
    <mergeCell ref="A79:C79"/>
    <mergeCell ref="A80:C80"/>
    <mergeCell ref="B81:C81"/>
    <mergeCell ref="A89:B89"/>
    <mergeCell ref="B69:C69"/>
    <mergeCell ref="A70:C70"/>
    <mergeCell ref="A71:C71"/>
    <mergeCell ref="A73:C73"/>
    <mergeCell ref="A75:C75"/>
    <mergeCell ref="A76:C76"/>
    <mergeCell ref="B55:C55"/>
    <mergeCell ref="A62:B62"/>
    <mergeCell ref="A65:C65"/>
    <mergeCell ref="A66:C66"/>
    <mergeCell ref="A67:C67"/>
    <mergeCell ref="A68:C68"/>
    <mergeCell ref="A49:C49"/>
    <mergeCell ref="A50:C50"/>
    <mergeCell ref="A51:C51"/>
    <mergeCell ref="A52:C52"/>
    <mergeCell ref="A53:C53"/>
    <mergeCell ref="A54:C54"/>
    <mergeCell ref="A42:C42"/>
    <mergeCell ref="B43:C43"/>
    <mergeCell ref="A44:C44"/>
    <mergeCell ref="A45:C45"/>
    <mergeCell ref="A47:C47"/>
    <mergeCell ref="A24:C24"/>
    <mergeCell ref="A29:C29"/>
    <mergeCell ref="B30:C30"/>
    <mergeCell ref="A36:B36"/>
    <mergeCell ref="A39:C39"/>
    <mergeCell ref="A40:C40"/>
    <mergeCell ref="A41:C41"/>
    <mergeCell ref="B18:C18"/>
    <mergeCell ref="H18:Q18"/>
    <mergeCell ref="A25:C25"/>
    <mergeCell ref="A26:C26"/>
    <mergeCell ref="A27:C27"/>
    <mergeCell ref="A28:C28"/>
    <mergeCell ref="A11:B11"/>
    <mergeCell ref="A20:C20"/>
    <mergeCell ref="A19:C19"/>
    <mergeCell ref="A22:C22"/>
    <mergeCell ref="A14:C14"/>
    <mergeCell ref="A15:C15"/>
    <mergeCell ref="A16:C16"/>
    <mergeCell ref="A17:C17"/>
    <mergeCell ref="A1:C1"/>
    <mergeCell ref="A2:C2"/>
    <mergeCell ref="A3:C3"/>
    <mergeCell ref="A4:C4"/>
    <mergeCell ref="A5:C5"/>
    <mergeCell ref="B6:C6"/>
  </mergeCells>
  <pageMargins left="0.15748031496063" right="0" top="7.8740157480315001E-2" bottom="0.39370078740157499" header="0" footer="0"/>
  <pageSetup paperSize="120" scale="67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VOLTAR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7</xdr:col>
                    <xdr:colOff>504825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37"/>
  <dimension ref="A1:J7"/>
  <sheetViews>
    <sheetView topLeftCell="C1" workbookViewId="0">
      <selection activeCell="E3" sqref="E3"/>
    </sheetView>
  </sheetViews>
  <sheetFormatPr defaultRowHeight="13.5"/>
  <cols>
    <col min="1" max="2" width="0" style="127" hidden="1" customWidth="1"/>
    <col min="3" max="3" width="19.42578125" style="127" customWidth="1"/>
    <col min="4" max="4" width="0" style="127" hidden="1" customWidth="1"/>
    <col min="5" max="5" width="56" style="127" customWidth="1"/>
    <col min="6" max="6" width="14.5703125" style="127" customWidth="1"/>
    <col min="7" max="7" width="8.140625" style="127" customWidth="1"/>
    <col min="8" max="8" width="12.85546875" style="127" customWidth="1"/>
    <col min="9" max="9" width="15.7109375" style="127" customWidth="1"/>
    <col min="10" max="16384" width="9.140625" style="127"/>
  </cols>
  <sheetData>
    <row r="1" spans="1:10" s="224" customFormat="1" ht="21.75" customHeight="1">
      <c r="C1" s="571" t="s">
        <v>221</v>
      </c>
      <c r="D1" s="571"/>
      <c r="E1" s="571"/>
      <c r="F1" s="572" t="s">
        <v>160</v>
      </c>
      <c r="G1" s="573"/>
      <c r="H1" s="570">
        <f>SUM(H5:H1000000)</f>
        <v>210</v>
      </c>
      <c r="I1" s="570"/>
      <c r="J1" s="225"/>
    </row>
    <row r="2" spans="1:10">
      <c r="C2" s="535">
        <f ca="1">TODAY()</f>
        <v>44114</v>
      </c>
      <c r="D2" s="535"/>
      <c r="E2" s="535"/>
    </row>
    <row r="4" spans="1:10" s="130" customFormat="1">
      <c r="A4" s="130" t="s">
        <v>30</v>
      </c>
      <c r="B4" s="130" t="s">
        <v>31</v>
      </c>
      <c r="C4" s="139" t="s">
        <v>32</v>
      </c>
      <c r="D4" s="139" t="s">
        <v>67</v>
      </c>
      <c r="E4" s="139" t="s">
        <v>15</v>
      </c>
      <c r="F4" s="139" t="s">
        <v>33</v>
      </c>
      <c r="G4" s="139" t="s">
        <v>11</v>
      </c>
      <c r="H4" s="139" t="s">
        <v>34</v>
      </c>
      <c r="I4" s="139" t="s">
        <v>38</v>
      </c>
    </row>
    <row r="5" spans="1:10">
      <c r="A5" s="127">
        <v>15</v>
      </c>
      <c r="B5" s="127">
        <v>32</v>
      </c>
      <c r="C5" s="127">
        <v>839313009048</v>
      </c>
      <c r="D5" s="127">
        <v>2</v>
      </c>
      <c r="E5" s="127" t="s">
        <v>241</v>
      </c>
      <c r="F5" s="223">
        <v>70</v>
      </c>
      <c r="G5" s="127">
        <v>1</v>
      </c>
      <c r="H5" s="223">
        <v>70</v>
      </c>
      <c r="I5" s="132">
        <v>43238</v>
      </c>
    </row>
    <row r="6" spans="1:10">
      <c r="A6" s="127">
        <v>16</v>
      </c>
      <c r="B6" s="127">
        <v>34</v>
      </c>
      <c r="C6" s="127">
        <v>839313009048</v>
      </c>
      <c r="D6" s="127">
        <v>2</v>
      </c>
      <c r="E6" s="127" t="s">
        <v>241</v>
      </c>
      <c r="F6" s="223">
        <v>70</v>
      </c>
      <c r="G6" s="127">
        <v>1</v>
      </c>
      <c r="H6" s="223">
        <v>70</v>
      </c>
      <c r="I6" s="132">
        <v>43238</v>
      </c>
    </row>
    <row r="7" spans="1:10">
      <c r="A7" s="127">
        <v>19</v>
      </c>
      <c r="B7" s="127">
        <v>62</v>
      </c>
      <c r="C7" s="127">
        <v>839313009048</v>
      </c>
      <c r="D7" s="127">
        <v>2</v>
      </c>
      <c r="E7" s="127" t="s">
        <v>241</v>
      </c>
      <c r="F7" s="223">
        <v>70</v>
      </c>
      <c r="G7" s="127">
        <v>1</v>
      </c>
      <c r="H7" s="223">
        <v>70</v>
      </c>
      <c r="I7" s="132">
        <v>43248</v>
      </c>
    </row>
  </sheetData>
  <mergeCells count="4">
    <mergeCell ref="C2:E2"/>
    <mergeCell ref="H1:I1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38">
    <tabColor rgb="FF002060"/>
  </sheetPr>
  <dimension ref="A1:K26"/>
  <sheetViews>
    <sheetView showGridLines="0" workbookViewId="0">
      <pane ySplit="8" topLeftCell="A9" activePane="bottomLeft" state="frozen"/>
      <selection pane="bottomLeft" activeCell="A26" sqref="A26"/>
    </sheetView>
  </sheetViews>
  <sheetFormatPr defaultRowHeight="12.75"/>
  <cols>
    <col min="1" max="1" width="22.85546875" style="469" customWidth="1"/>
    <col min="2" max="2" width="5.28515625" style="469" customWidth="1"/>
    <col min="3" max="3" width="3.42578125" style="470" customWidth="1"/>
    <col min="4" max="4" width="6.140625" style="465" customWidth="1"/>
    <col min="5" max="5" width="8.42578125" style="461" hidden="1" customWidth="1"/>
    <col min="6" max="6" width="7.5703125" style="456" hidden="1" customWidth="1"/>
    <col min="7" max="7" width="8.42578125" style="457" hidden="1" customWidth="1"/>
    <col min="8" max="8" width="10.5703125" style="457" hidden="1" customWidth="1"/>
    <col min="9" max="9" width="26.28515625" style="457" hidden="1" customWidth="1"/>
    <col min="10" max="10" width="12.42578125" style="458" hidden="1" customWidth="1"/>
    <col min="11" max="11" width="6" style="457" hidden="1" customWidth="1"/>
    <col min="12" max="12" width="16" style="457" customWidth="1"/>
    <col min="13" max="13" width="47.7109375" style="457" customWidth="1"/>
    <col min="14" max="16384" width="9.140625" style="457"/>
  </cols>
  <sheetData>
    <row r="1" spans="1:11" ht="12.75" customHeight="1">
      <c r="A1" s="469" t="str">
        <f>COMANDA!A1</f>
        <v>CASA DAS PLANILHAS</v>
      </c>
      <c r="B1" s="454"/>
      <c r="C1" s="454"/>
      <c r="D1" s="454"/>
      <c r="E1" s="455" t="s">
        <v>34</v>
      </c>
      <c r="F1" s="456">
        <f>PEDIDOS!G1</f>
        <v>0</v>
      </c>
      <c r="H1" s="458" t="s">
        <v>35</v>
      </c>
      <c r="I1" s="457">
        <f>PEDIDOS!E2</f>
        <v>0</v>
      </c>
      <c r="J1" s="458" t="s">
        <v>231</v>
      </c>
      <c r="K1" s="457" t="str">
        <f>PEDIDOS!R2</f>
        <v>10,00</v>
      </c>
    </row>
    <row r="2" spans="1:11" ht="12.75" customHeight="1">
      <c r="A2" s="469" t="str">
        <f>COMANDA!A2</f>
        <v>Rua Isac Alves,Casa nº 68</v>
      </c>
      <c r="B2" s="454"/>
      <c r="C2" s="454"/>
      <c r="D2" s="454"/>
      <c r="E2" s="455" t="s">
        <v>9</v>
      </c>
      <c r="F2" s="456">
        <f>PEDIDOS!G3</f>
        <v>0</v>
      </c>
      <c r="H2" s="458" t="s">
        <v>229</v>
      </c>
      <c r="I2" s="457" t="str">
        <f>PEDIDOS!M6</f>
        <v>-</v>
      </c>
      <c r="J2" s="458" t="s">
        <v>63</v>
      </c>
      <c r="K2" s="457" t="str">
        <f>PEDIDOS!Q1</f>
        <v>2</v>
      </c>
    </row>
    <row r="3" spans="1:11" ht="12.75" customHeight="1">
      <c r="A3" s="469" t="str">
        <f>COMANDA!A3</f>
        <v>Bairro,São Cristovão,Centro</v>
      </c>
      <c r="B3" s="454"/>
      <c r="C3" s="454"/>
      <c r="D3" s="454"/>
      <c r="E3" s="455" t="s">
        <v>122</v>
      </c>
      <c r="F3" s="456">
        <f>PEDIDOS!G5</f>
        <v>0</v>
      </c>
      <c r="H3" s="458" t="s">
        <v>230</v>
      </c>
      <c r="I3" s="457" t="str">
        <f>PEDIDOS!P6</f>
        <v>-</v>
      </c>
      <c r="J3" s="458" t="s">
        <v>232</v>
      </c>
      <c r="K3" s="457" t="str">
        <f>PEDIDOS!R1</f>
        <v>0,00</v>
      </c>
    </row>
    <row r="4" spans="1:11" ht="12.75" customHeight="1">
      <c r="A4" s="469" t="str">
        <f>COMANDA!A4</f>
        <v>Caculé,Fone: (77) 99116-6423</v>
      </c>
      <c r="B4" s="454"/>
      <c r="C4" s="454"/>
      <c r="D4" s="454"/>
      <c r="E4" s="455" t="s">
        <v>227</v>
      </c>
      <c r="F4" s="456">
        <f>PEDIDOS!J3</f>
        <v>0</v>
      </c>
      <c r="H4" s="458" t="s">
        <v>174</v>
      </c>
      <c r="I4" s="457" t="str">
        <f>PEDIDOS!O6</f>
        <v>-</v>
      </c>
      <c r="J4" s="458" t="s">
        <v>233</v>
      </c>
      <c r="K4" s="459" t="str">
        <f>PEDIDOS!F5</f>
        <v>0,00</v>
      </c>
    </row>
    <row r="5" spans="1:11" ht="12.75" customHeight="1">
      <c r="A5" s="469" t="str">
        <f>COMANDA!A5</f>
        <v>CPNJ:00.000.000/0001-10</v>
      </c>
      <c r="B5" s="454"/>
      <c r="C5" s="454"/>
      <c r="D5" s="454"/>
      <c r="E5" s="455" t="s">
        <v>13</v>
      </c>
      <c r="F5" s="456">
        <f>PEDIDOS!J4</f>
        <v>0</v>
      </c>
    </row>
    <row r="6" spans="1:11" ht="12.75" customHeight="1">
      <c r="A6" s="471" t="s">
        <v>234</v>
      </c>
      <c r="B6" s="575">
        <f ca="1">PEDIDOS!E4</f>
        <v>44114</v>
      </c>
      <c r="C6" s="575"/>
      <c r="D6" s="575"/>
      <c r="E6" s="455" t="s">
        <v>228</v>
      </c>
      <c r="F6" s="456" t="str">
        <f>PEDIDOS!E1</f>
        <v>Cartão - Débito</v>
      </c>
      <c r="G6" s="460"/>
      <c r="H6" s="460"/>
    </row>
    <row r="7" spans="1:11" ht="12.75" customHeight="1">
      <c r="A7" s="472" t="s">
        <v>235</v>
      </c>
      <c r="B7" s="576">
        <f>PEDIDOS!E5</f>
        <v>1</v>
      </c>
      <c r="C7" s="576"/>
      <c r="D7" s="576"/>
      <c r="E7" s="455" t="s">
        <v>37</v>
      </c>
      <c r="F7" s="456" t="str">
        <f>PEDIDOS!E3</f>
        <v>ADMIN</v>
      </c>
    </row>
    <row r="8" spans="1:11" ht="20.25" customHeight="1">
      <c r="A8" s="574" t="s">
        <v>193</v>
      </c>
      <c r="B8" s="574"/>
      <c r="C8" s="574"/>
      <c r="D8" s="574"/>
    </row>
    <row r="9" spans="1:11" s="454" customFormat="1">
      <c r="A9" s="462" t="s">
        <v>0</v>
      </c>
      <c r="B9" s="463" t="s">
        <v>216</v>
      </c>
      <c r="C9" s="464" t="s">
        <v>236</v>
      </c>
      <c r="D9" s="465" t="s">
        <v>27</v>
      </c>
      <c r="E9" s="466"/>
      <c r="F9" s="467"/>
      <c r="J9" s="468"/>
    </row>
    <row r="10" spans="1:11">
      <c r="A10" s="469" t="s">
        <v>315</v>
      </c>
      <c r="B10" s="469" t="s">
        <v>316</v>
      </c>
      <c r="C10" s="470">
        <v>1</v>
      </c>
      <c r="D10" s="465" t="s">
        <v>316</v>
      </c>
    </row>
    <row r="11" spans="1:11" ht="12.75" customHeight="1"/>
    <row r="12" spans="1:11">
      <c r="A12" s="469" t="s">
        <v>322</v>
      </c>
    </row>
    <row r="13" spans="1:11">
      <c r="A13" s="469" t="s">
        <v>34</v>
      </c>
      <c r="B13" s="469" t="s">
        <v>323</v>
      </c>
      <c r="D13" s="465" t="s">
        <v>316</v>
      </c>
    </row>
    <row r="14" spans="1:11">
      <c r="A14" s="469" t="s">
        <v>324</v>
      </c>
      <c r="B14" s="469" t="s">
        <v>325</v>
      </c>
      <c r="D14" s="465" t="s">
        <v>296</v>
      </c>
    </row>
    <row r="15" spans="1:11">
      <c r="A15" s="469" t="s">
        <v>9</v>
      </c>
      <c r="B15" s="469" t="s">
        <v>323</v>
      </c>
      <c r="D15" s="465" t="s">
        <v>296</v>
      </c>
    </row>
    <row r="16" spans="1:11">
      <c r="A16" s="469" t="s">
        <v>175</v>
      </c>
      <c r="B16" s="469" t="s">
        <v>323</v>
      </c>
      <c r="D16" s="465" t="s">
        <v>316</v>
      </c>
    </row>
    <row r="17" spans="1:1">
      <c r="A17" s="469" t="s">
        <v>322</v>
      </c>
    </row>
    <row r="18" spans="1:1">
      <c r="A18" s="469" t="s">
        <v>326</v>
      </c>
    </row>
    <row r="19" spans="1:1">
      <c r="A19" s="469" t="s">
        <v>327</v>
      </c>
    </row>
    <row r="20" spans="1:1">
      <c r="A20" s="469" t="s">
        <v>322</v>
      </c>
    </row>
    <row r="21" spans="1:1">
      <c r="A21" s="469" t="s">
        <v>107</v>
      </c>
    </row>
    <row r="22" spans="1:1">
      <c r="A22" s="469" t="s">
        <v>328</v>
      </c>
    </row>
    <row r="23" spans="1:1">
      <c r="A23" s="469" t="s">
        <v>328</v>
      </c>
    </row>
    <row r="24" spans="1:1">
      <c r="A24" s="469" t="s">
        <v>328</v>
      </c>
    </row>
    <row r="25" spans="1:1">
      <c r="A25" s="469" t="s">
        <v>322</v>
      </c>
    </row>
    <row r="26" spans="1:1">
      <c r="A26" s="469" t="s">
        <v>329</v>
      </c>
    </row>
  </sheetData>
  <mergeCells count="3">
    <mergeCell ref="A8:D8"/>
    <mergeCell ref="B6:D6"/>
    <mergeCell ref="B7:D7"/>
  </mergeCells>
  <pageMargins left="0.19685039370078741" right="0.19685039370078741" top="0.08" bottom="0.74803149606299213" header="0.31496062992125984" footer="0.31496062992125984"/>
  <pageSetup paperSize="120" scale="60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>
                  <from>
                    <xdr:col>12</xdr:col>
                    <xdr:colOff>1066800</xdr:colOff>
                    <xdr:row>0</xdr:row>
                    <xdr:rowOff>47625</xdr:rowOff>
                  </from>
                  <to>
                    <xdr:col>12</xdr:col>
                    <xdr:colOff>2752725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1"/>
  <dimension ref="A1:J13"/>
  <sheetViews>
    <sheetView topLeftCell="C1" workbookViewId="0">
      <selection activeCell="E3" sqref="E3"/>
    </sheetView>
  </sheetViews>
  <sheetFormatPr defaultRowHeight="12.75"/>
  <cols>
    <col min="1" max="2" width="0" style="4" hidden="1" customWidth="1"/>
    <col min="3" max="3" width="17.5703125" style="249" customWidth="1"/>
    <col min="4" max="4" width="0" style="4" hidden="1" customWidth="1"/>
    <col min="5" max="5" width="40" style="4" customWidth="1"/>
    <col min="6" max="6" width="13.85546875" style="14" customWidth="1"/>
    <col min="7" max="7" width="8.28515625" style="4" customWidth="1"/>
    <col min="8" max="8" width="14.28515625" style="4" customWidth="1"/>
    <col min="9" max="9" width="13" style="4" customWidth="1"/>
    <col min="10" max="10" width="13.5703125" style="14" customWidth="1"/>
    <col min="11" max="16384" width="9.140625" style="4"/>
  </cols>
  <sheetData>
    <row r="1" spans="1:10" ht="27" customHeight="1">
      <c r="C1" s="577" t="s">
        <v>237</v>
      </c>
      <c r="D1" s="577"/>
      <c r="E1" s="577"/>
      <c r="F1" s="577"/>
      <c r="G1" s="577"/>
      <c r="H1" s="577"/>
      <c r="I1" s="577"/>
      <c r="J1" s="577"/>
    </row>
    <row r="2" spans="1:10">
      <c r="C2" s="578">
        <f ca="1">TODAY()</f>
        <v>44114</v>
      </c>
      <c r="D2" s="578"/>
      <c r="E2" s="578"/>
      <c r="G2" s="167" t="s">
        <v>34</v>
      </c>
      <c r="H2" s="245">
        <f>SUM(H5:H1000000)</f>
        <v>120</v>
      </c>
      <c r="I2" s="167" t="s">
        <v>40</v>
      </c>
      <c r="J2" s="241">
        <f>SUM(J5:J1000000)</f>
        <v>55</v>
      </c>
    </row>
    <row r="3" spans="1:10" ht="13.5" customHeight="1">
      <c r="C3" s="244">
        <f ca="1">NOW()</f>
        <v>44114.674698842602</v>
      </c>
    </row>
    <row r="4" spans="1:10" s="240" customFormat="1" ht="16.5" customHeight="1">
      <c r="A4" s="240" t="s">
        <v>30</v>
      </c>
      <c r="B4" s="240" t="s">
        <v>31</v>
      </c>
      <c r="C4" s="250" t="s">
        <v>32</v>
      </c>
      <c r="D4" s="242" t="s">
        <v>67</v>
      </c>
      <c r="E4" s="242" t="s">
        <v>15</v>
      </c>
      <c r="F4" s="243" t="s">
        <v>33</v>
      </c>
      <c r="G4" s="242" t="s">
        <v>11</v>
      </c>
      <c r="H4" s="242" t="s">
        <v>34</v>
      </c>
      <c r="I4" s="242" t="s">
        <v>38</v>
      </c>
      <c r="J4" s="243" t="s">
        <v>40</v>
      </c>
    </row>
    <row r="5" spans="1:10">
      <c r="A5" s="4">
        <v>2</v>
      </c>
      <c r="B5" s="4">
        <v>7</v>
      </c>
      <c r="C5" s="249">
        <v>7891035618017</v>
      </c>
      <c r="D5" s="4">
        <v>1</v>
      </c>
      <c r="E5" s="4" t="s">
        <v>240</v>
      </c>
      <c r="F5" s="14">
        <v>120</v>
      </c>
      <c r="G5" s="4">
        <v>1</v>
      </c>
      <c r="H5" s="238">
        <v>120</v>
      </c>
      <c r="I5" s="239">
        <v>43223</v>
      </c>
      <c r="J5" s="14">
        <v>55</v>
      </c>
    </row>
    <row r="6" spans="1:10">
      <c r="H6" s="238"/>
      <c r="I6" s="239"/>
    </row>
    <row r="7" spans="1:10">
      <c r="H7" s="238"/>
      <c r="I7" s="239"/>
    </row>
    <row r="8" spans="1:10">
      <c r="H8" s="238"/>
      <c r="I8" s="239"/>
    </row>
    <row r="9" spans="1:10">
      <c r="H9" s="238"/>
      <c r="I9" s="239"/>
    </row>
    <row r="10" spans="1:10">
      <c r="H10" s="238"/>
      <c r="I10" s="239"/>
    </row>
    <row r="11" spans="1:10">
      <c r="H11" s="238"/>
      <c r="I11" s="239"/>
    </row>
    <row r="12" spans="1:10">
      <c r="H12" s="238"/>
      <c r="I12" s="239"/>
    </row>
    <row r="13" spans="1:10">
      <c r="H13" s="238"/>
      <c r="I13" s="239"/>
    </row>
  </sheetData>
  <mergeCells count="2">
    <mergeCell ref="C1:J1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39"/>
  <dimension ref="A1:H2"/>
  <sheetViews>
    <sheetView workbookViewId="0">
      <selection activeCell="E3" sqref="E3"/>
    </sheetView>
  </sheetViews>
  <sheetFormatPr defaultRowHeight="14.25"/>
  <cols>
    <col min="1" max="1" width="12.85546875" style="251" customWidth="1"/>
    <col min="2" max="2" width="15.42578125" style="251" bestFit="1" customWidth="1"/>
    <col min="3" max="3" width="9.140625" style="251"/>
    <col min="4" max="4" width="62.140625" style="251" bestFit="1" customWidth="1"/>
    <col min="5" max="16384" width="9.140625" style="251"/>
  </cols>
  <sheetData>
    <row r="1" spans="1:8">
      <c r="A1" s="254" t="s">
        <v>243</v>
      </c>
      <c r="B1" s="254" t="s">
        <v>291</v>
      </c>
      <c r="C1" s="253"/>
      <c r="D1" s="260" t="str">
        <f>IF(B1=B2," PRODUTO ATIVADO - LICENÇA PERMANENTE","ATIVAÇÃO É NECESSÁRIA - CONTRATE O ADMINISTRADOR")</f>
        <v xml:space="preserve"> PRODUTO ATIVADO - LICENÇA PERMANENTE</v>
      </c>
      <c r="E1" s="260"/>
      <c r="F1" s="260"/>
      <c r="G1" s="260"/>
      <c r="H1" s="260"/>
    </row>
    <row r="2" spans="1:8" s="255" customFormat="1">
      <c r="A2" s="259" t="s">
        <v>242</v>
      </c>
      <c r="B2" s="254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40"/>
  <dimension ref="A1"/>
  <sheetViews>
    <sheetView showGridLines="0" showRowColHeaders="0" workbookViewId="0">
      <selection sqref="A1:XFD1048576"/>
    </sheetView>
  </sheetViews>
  <sheetFormatPr defaultRowHeight="12.75"/>
  <cols>
    <col min="1" max="16384" width="9.140625" style="579"/>
  </cols>
  <sheetData/>
  <mergeCells count="1">
    <mergeCell ref="A1:XFD1048576"/>
  </mergeCell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41"/>
  <dimension ref="B1:L17"/>
  <sheetViews>
    <sheetView showGridLines="0" workbookViewId="0">
      <pane ySplit="18" topLeftCell="A19" activePane="bottomLeft" state="frozen"/>
      <selection activeCell="E3" sqref="E3"/>
      <selection pane="bottomLeft" activeCell="J10" sqref="J10"/>
    </sheetView>
  </sheetViews>
  <sheetFormatPr defaultRowHeight="12.75"/>
  <cols>
    <col min="1" max="1" width="2.42578125" customWidth="1"/>
    <col min="2" max="2" width="5.28515625" customWidth="1"/>
    <col min="3" max="3" width="6.5703125" customWidth="1"/>
    <col min="4" max="4" width="14.85546875" customWidth="1"/>
    <col min="5" max="6" width="20.5703125" style="294" customWidth="1"/>
    <col min="7" max="7" width="5.28515625" style="298" customWidth="1"/>
    <col min="8" max="8" width="20.5703125" style="294" customWidth="1"/>
    <col min="9" max="9" width="5.28515625" style="284" customWidth="1"/>
    <col min="10" max="10" width="18" style="284" customWidth="1"/>
    <col min="11" max="11" width="5.28515625" style="284" customWidth="1"/>
    <col min="12" max="12" width="17" customWidth="1"/>
    <col min="13" max="13" width="13.7109375" customWidth="1"/>
  </cols>
  <sheetData>
    <row r="1" spans="2:12" ht="13.5" thickBot="1"/>
    <row r="2" spans="2:12" ht="21" customHeight="1" thickBot="1">
      <c r="B2" s="306"/>
      <c r="C2" s="310"/>
      <c r="D2" s="310"/>
      <c r="E2" s="311"/>
      <c r="F2" s="311"/>
      <c r="G2" s="311"/>
      <c r="H2" s="311"/>
      <c r="I2" s="312"/>
      <c r="J2" s="312"/>
      <c r="K2" s="313"/>
      <c r="L2" s="126" t="s">
        <v>184</v>
      </c>
    </row>
    <row r="3" spans="2:12" ht="17.25" customHeight="1" thickBot="1">
      <c r="B3" s="307">
        <v>2018</v>
      </c>
      <c r="C3" s="328" t="s">
        <v>174</v>
      </c>
      <c r="D3" s="329" t="s">
        <v>42</v>
      </c>
      <c r="E3" s="330" t="s">
        <v>262</v>
      </c>
      <c r="F3" s="331" t="s">
        <v>265</v>
      </c>
      <c r="G3" s="314"/>
      <c r="H3" s="330" t="s">
        <v>261</v>
      </c>
      <c r="I3" s="321"/>
      <c r="J3" s="332" t="s">
        <v>264</v>
      </c>
      <c r="K3" s="325"/>
      <c r="L3" s="126" t="s">
        <v>185</v>
      </c>
    </row>
    <row r="4" spans="2:12" ht="15.75" customHeight="1" thickBot="1">
      <c r="B4" s="307">
        <v>2019</v>
      </c>
      <c r="C4" s="295">
        <v>1</v>
      </c>
      <c r="D4" s="303" t="s">
        <v>162</v>
      </c>
      <c r="E4" s="304">
        <f t="shared" ref="E4:E15" si="0">SUMIFS(CONDIÇÃO_TOTAL,CONDIÇÃO_MES,C4,AT,$J$13,CODIÇÃO_PAGAMENTO,$J$10,CONDIÇÃO_ANO,$H$10)</f>
        <v>0</v>
      </c>
      <c r="F4" s="292">
        <f t="shared" ref="F4:F15" si="1">E4*$H$13</f>
        <v>0</v>
      </c>
      <c r="G4" s="315"/>
      <c r="H4" s="297">
        <f>SUMIFS(CONDIÇÃO_TOTAL,CONDIÇÃO_DATA,H7,AT,$J$13,CONDIÇÃO_ANO,H10,CODIÇÃO_PAGAMENTO,J10)</f>
        <v>0</v>
      </c>
      <c r="I4" s="321"/>
      <c r="J4" s="297">
        <f>H4*H13</f>
        <v>0</v>
      </c>
      <c r="K4" s="325"/>
      <c r="L4" s="4" t="s">
        <v>183</v>
      </c>
    </row>
    <row r="5" spans="2:12" ht="15.75" customHeight="1" thickBot="1">
      <c r="B5" s="307">
        <v>2020</v>
      </c>
      <c r="C5" s="296">
        <v>2</v>
      </c>
      <c r="D5" s="289" t="s">
        <v>163</v>
      </c>
      <c r="E5" s="304">
        <f t="shared" si="0"/>
        <v>0</v>
      </c>
      <c r="F5" s="293">
        <f t="shared" si="1"/>
        <v>0</v>
      </c>
      <c r="G5" s="315"/>
      <c r="H5" s="321"/>
      <c r="I5" s="321"/>
      <c r="J5" s="321"/>
      <c r="K5" s="322"/>
      <c r="L5" s="126" t="s">
        <v>146</v>
      </c>
    </row>
    <row r="6" spans="2:12" ht="15.75" customHeight="1" thickBot="1">
      <c r="B6" s="307">
        <v>2021</v>
      </c>
      <c r="C6" s="296">
        <v>3</v>
      </c>
      <c r="D6" s="289" t="s">
        <v>164</v>
      </c>
      <c r="E6" s="304">
        <f t="shared" si="0"/>
        <v>0</v>
      </c>
      <c r="F6" s="293">
        <f t="shared" si="1"/>
        <v>0</v>
      </c>
      <c r="G6" s="315"/>
      <c r="H6" s="328" t="s">
        <v>38</v>
      </c>
      <c r="I6" s="321"/>
      <c r="J6" s="333" t="s">
        <v>265</v>
      </c>
      <c r="K6" s="322"/>
      <c r="L6" s="4" t="s">
        <v>147</v>
      </c>
    </row>
    <row r="7" spans="2:12" ht="15.75" customHeight="1" thickBot="1">
      <c r="B7" s="307">
        <v>2022</v>
      </c>
      <c r="C7" s="296">
        <v>4</v>
      </c>
      <c r="D7" s="289" t="s">
        <v>165</v>
      </c>
      <c r="E7" s="304">
        <f t="shared" si="0"/>
        <v>0</v>
      </c>
      <c r="F7" s="293">
        <f t="shared" si="1"/>
        <v>0</v>
      </c>
      <c r="G7" s="315"/>
      <c r="H7" s="291">
        <v>43438</v>
      </c>
      <c r="I7" s="321"/>
      <c r="J7" s="297">
        <f>SUMIFS(CONDIÇÃO_TOTAL,CONDIÇÃO_DATA,J10,AT,$J$13)</f>
        <v>0</v>
      </c>
      <c r="K7" s="322"/>
    </row>
    <row r="8" spans="2:12" ht="15.75" customHeight="1" thickBot="1">
      <c r="B8" s="307">
        <v>2023</v>
      </c>
      <c r="C8" s="296">
        <v>5</v>
      </c>
      <c r="D8" s="289" t="s">
        <v>166</v>
      </c>
      <c r="E8" s="304">
        <f t="shared" si="0"/>
        <v>0</v>
      </c>
      <c r="F8" s="293">
        <f t="shared" si="1"/>
        <v>0</v>
      </c>
      <c r="G8" s="315"/>
      <c r="H8" s="321"/>
      <c r="I8" s="321"/>
      <c r="J8" s="321"/>
      <c r="K8" s="322"/>
    </row>
    <row r="9" spans="2:12" ht="15.75" customHeight="1" thickBot="1">
      <c r="B9" s="307">
        <v>2024</v>
      </c>
      <c r="C9" s="296">
        <v>6</v>
      </c>
      <c r="D9" s="289" t="s">
        <v>167</v>
      </c>
      <c r="E9" s="304">
        <f t="shared" si="0"/>
        <v>0</v>
      </c>
      <c r="F9" s="293">
        <f t="shared" si="1"/>
        <v>0</v>
      </c>
      <c r="G9" s="315"/>
      <c r="H9" s="334" t="s">
        <v>41</v>
      </c>
      <c r="I9" s="321"/>
      <c r="J9" s="333" t="s">
        <v>228</v>
      </c>
      <c r="K9" s="322"/>
    </row>
    <row r="10" spans="2:12" ht="15.75" customHeight="1" thickBot="1">
      <c r="B10" s="307">
        <v>2025</v>
      </c>
      <c r="C10" s="296">
        <v>7</v>
      </c>
      <c r="D10" s="289" t="s">
        <v>168</v>
      </c>
      <c r="E10" s="304">
        <f t="shared" si="0"/>
        <v>0</v>
      </c>
      <c r="F10" s="293">
        <f t="shared" si="1"/>
        <v>0</v>
      </c>
      <c r="G10" s="315"/>
      <c r="H10" s="290">
        <v>2019</v>
      </c>
      <c r="I10" s="321"/>
      <c r="J10" s="299" t="s">
        <v>184</v>
      </c>
      <c r="K10" s="322"/>
    </row>
    <row r="11" spans="2:12" ht="15.75" customHeight="1" thickBot="1">
      <c r="B11" s="307">
        <v>2026</v>
      </c>
      <c r="C11" s="296">
        <v>8</v>
      </c>
      <c r="D11" s="289" t="s">
        <v>169</v>
      </c>
      <c r="E11" s="304">
        <f t="shared" si="0"/>
        <v>0</v>
      </c>
      <c r="F11" s="293">
        <f t="shared" si="1"/>
        <v>0</v>
      </c>
      <c r="G11" s="315"/>
      <c r="H11" s="321"/>
      <c r="I11" s="321"/>
      <c r="J11" s="321"/>
      <c r="K11" s="322"/>
    </row>
    <row r="12" spans="2:12" ht="15.75" customHeight="1" thickBot="1">
      <c r="B12" s="307">
        <v>2027</v>
      </c>
      <c r="C12" s="296">
        <v>9</v>
      </c>
      <c r="D12" s="289" t="s">
        <v>170</v>
      </c>
      <c r="E12" s="304">
        <f t="shared" si="0"/>
        <v>0</v>
      </c>
      <c r="F12" s="293">
        <f t="shared" si="1"/>
        <v>0</v>
      </c>
      <c r="G12" s="315"/>
      <c r="H12" s="328" t="s">
        <v>259</v>
      </c>
      <c r="I12" s="321"/>
      <c r="J12" s="328" t="s">
        <v>263</v>
      </c>
      <c r="K12" s="322"/>
    </row>
    <row r="13" spans="2:12" ht="15.75" customHeight="1" thickBot="1">
      <c r="B13" s="307">
        <v>2028</v>
      </c>
      <c r="C13" s="296">
        <v>10</v>
      </c>
      <c r="D13" s="289" t="s">
        <v>171</v>
      </c>
      <c r="E13" s="304">
        <f t="shared" si="0"/>
        <v>0</v>
      </c>
      <c r="F13" s="293">
        <f t="shared" si="1"/>
        <v>0</v>
      </c>
      <c r="G13" s="315"/>
      <c r="H13" s="338">
        <v>0.1</v>
      </c>
      <c r="I13" s="321"/>
      <c r="J13" s="337" t="s">
        <v>122</v>
      </c>
      <c r="K13" s="322"/>
    </row>
    <row r="14" spans="2:12" ht="15.75" customHeight="1">
      <c r="B14" s="307">
        <v>2029</v>
      </c>
      <c r="C14" s="296">
        <v>11</v>
      </c>
      <c r="D14" s="289" t="s">
        <v>172</v>
      </c>
      <c r="E14" s="304">
        <f t="shared" si="0"/>
        <v>0</v>
      </c>
      <c r="F14" s="293">
        <f t="shared" si="1"/>
        <v>0</v>
      </c>
      <c r="G14" s="315"/>
      <c r="H14" s="321"/>
      <c r="I14" s="321"/>
      <c r="J14" s="321"/>
      <c r="K14" s="322"/>
    </row>
    <row r="15" spans="2:12" ht="15.75" customHeight="1" thickBot="1">
      <c r="B15" s="307">
        <v>2030</v>
      </c>
      <c r="C15" s="300">
        <v>12</v>
      </c>
      <c r="D15" s="301" t="s">
        <v>173</v>
      </c>
      <c r="E15" s="304">
        <f t="shared" si="0"/>
        <v>0</v>
      </c>
      <c r="F15" s="302">
        <f t="shared" si="1"/>
        <v>0</v>
      </c>
      <c r="G15" s="315"/>
      <c r="H15" s="315"/>
      <c r="I15" s="321"/>
      <c r="J15" s="321"/>
      <c r="K15" s="322"/>
    </row>
    <row r="16" spans="2:12" s="305" customFormat="1" ht="16.5" customHeight="1" thickBot="1">
      <c r="B16" s="308"/>
      <c r="C16" s="335"/>
      <c r="D16" s="336" t="s">
        <v>34</v>
      </c>
      <c r="E16" s="326">
        <f>SUM(E4:E15)</f>
        <v>0</v>
      </c>
      <c r="F16" s="327">
        <f>SUM(F4:F15)</f>
        <v>0</v>
      </c>
      <c r="G16" s="316"/>
      <c r="H16" s="316"/>
      <c r="I16" s="323"/>
      <c r="J16" s="323"/>
      <c r="K16" s="324"/>
    </row>
    <row r="17" spans="2:11" ht="21" customHeight="1" thickBot="1">
      <c r="B17" s="309"/>
      <c r="C17" s="318"/>
      <c r="D17" s="318"/>
      <c r="E17" s="317"/>
      <c r="F17" s="317"/>
      <c r="G17" s="317"/>
      <c r="H17" s="317"/>
      <c r="I17" s="319"/>
      <c r="J17" s="319"/>
      <c r="K17" s="320"/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2"/>
  <dimension ref="A1:E1"/>
  <sheetViews>
    <sheetView workbookViewId="0">
      <selection activeCell="A2" sqref="A2"/>
    </sheetView>
  </sheetViews>
  <sheetFormatPr defaultRowHeight="12.75"/>
  <cols>
    <col min="1" max="1" width="9.140625" style="4"/>
    <col min="2" max="2" width="24" style="4" customWidth="1"/>
    <col min="3" max="3" width="16.42578125" style="340" customWidth="1"/>
    <col min="4" max="4" width="13.85546875" style="4" customWidth="1"/>
    <col min="5" max="5" width="14.5703125" style="4" customWidth="1"/>
    <col min="6" max="6" width="13.28515625" style="4" customWidth="1"/>
    <col min="7" max="16384" width="9.140625" style="4"/>
  </cols>
  <sheetData>
    <row r="1" spans="1:5">
      <c r="A1" s="341" t="s">
        <v>14</v>
      </c>
      <c r="B1" s="341" t="s">
        <v>37</v>
      </c>
      <c r="C1" s="342" t="s">
        <v>266</v>
      </c>
      <c r="D1" s="341" t="s">
        <v>38</v>
      </c>
      <c r="E1" s="341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3"/>
  <dimension ref="A1:W2"/>
  <sheetViews>
    <sheetView workbookViewId="0">
      <pane ySplit="1" topLeftCell="A2" activePane="bottomLeft" state="frozen"/>
      <selection activeCell="E3" sqref="E3"/>
      <selection pane="bottomLeft" activeCell="D5" sqref="D5"/>
    </sheetView>
  </sheetViews>
  <sheetFormatPr defaultColWidth="31.7109375" defaultRowHeight="58.5" customHeight="1"/>
  <cols>
    <col min="1" max="1" width="6.140625" style="350" customWidth="1"/>
    <col min="2" max="2" width="21.28515625" style="350" customWidth="1"/>
    <col min="3" max="3" width="21" style="350" customWidth="1"/>
    <col min="4" max="4" width="26.140625" style="350" customWidth="1"/>
    <col min="5" max="5" width="29.7109375" style="350" customWidth="1"/>
    <col min="6" max="6" width="22.28515625" style="350" customWidth="1"/>
    <col min="7" max="7" width="26.42578125" style="350" customWidth="1"/>
    <col min="8" max="8" width="20.28515625" style="350" customWidth="1"/>
    <col min="9" max="9" width="19" style="350" customWidth="1"/>
    <col min="10" max="10" width="6.5703125" style="350" customWidth="1"/>
    <col min="11" max="11" width="16.28515625" style="350" customWidth="1"/>
    <col min="12" max="12" width="10.85546875" style="350" customWidth="1"/>
    <col min="13" max="13" width="12.5703125" style="350" customWidth="1"/>
    <col min="14" max="14" width="11.140625" style="350" customWidth="1"/>
    <col min="15" max="15" width="8.42578125" style="350" customWidth="1"/>
    <col min="16" max="16" width="20.42578125" style="350" customWidth="1"/>
    <col min="17" max="17" width="16.28515625" style="350" customWidth="1"/>
    <col min="18" max="18" width="14.5703125" style="350" customWidth="1"/>
    <col min="19" max="16384" width="31.7109375" style="350"/>
  </cols>
  <sheetData>
    <row r="1" spans="1:23" s="352" customFormat="1" ht="13.5" customHeight="1">
      <c r="A1" s="351" t="s">
        <v>14</v>
      </c>
      <c r="B1" s="351" t="s">
        <v>270</v>
      </c>
      <c r="C1" s="353" t="s">
        <v>279</v>
      </c>
      <c r="D1" s="351" t="s">
        <v>271</v>
      </c>
      <c r="E1" s="351" t="s">
        <v>202</v>
      </c>
      <c r="F1" s="351" t="s">
        <v>202</v>
      </c>
      <c r="G1" s="351" t="s">
        <v>272</v>
      </c>
      <c r="H1" s="351" t="s">
        <v>273</v>
      </c>
      <c r="I1" s="351" t="s">
        <v>274</v>
      </c>
      <c r="J1" s="351" t="s">
        <v>174</v>
      </c>
      <c r="K1" s="351" t="s">
        <v>275</v>
      </c>
      <c r="L1" s="351" t="s">
        <v>99</v>
      </c>
      <c r="M1" s="351" t="s">
        <v>230</v>
      </c>
      <c r="N1" s="351" t="s">
        <v>278</v>
      </c>
      <c r="O1" s="351" t="s">
        <v>93</v>
      </c>
      <c r="P1" s="351" t="s">
        <v>276</v>
      </c>
      <c r="Q1" s="351" t="s">
        <v>277</v>
      </c>
      <c r="R1" s="351" t="s">
        <v>79</v>
      </c>
      <c r="W1" s="352">
        <v>1</v>
      </c>
    </row>
    <row r="2" spans="1:23" ht="58.5" customHeight="1">
      <c r="A2" s="350">
        <f ca="1">IF(ROW()=2,2,INDIRECT(ADDRESS(ROW()-1,COLUMN()))+1)</f>
        <v>2</v>
      </c>
      <c r="B2" s="350" t="s">
        <v>158</v>
      </c>
      <c r="C2" s="350" t="s">
        <v>158</v>
      </c>
      <c r="D2" s="350" t="s">
        <v>318</v>
      </c>
      <c r="E2" s="350" t="s">
        <v>319</v>
      </c>
      <c r="F2" s="350" t="s">
        <v>317</v>
      </c>
      <c r="G2" s="350" t="s">
        <v>317</v>
      </c>
      <c r="H2" s="350" t="s">
        <v>317</v>
      </c>
      <c r="I2" s="350" t="s">
        <v>317</v>
      </c>
      <c r="J2" s="350" t="s">
        <v>317</v>
      </c>
      <c r="K2" s="350" t="s">
        <v>317</v>
      </c>
      <c r="L2" s="350" t="s">
        <v>317</v>
      </c>
      <c r="M2" s="350" t="s">
        <v>317</v>
      </c>
      <c r="N2" s="350" t="s">
        <v>317</v>
      </c>
      <c r="O2" s="350" t="s">
        <v>317</v>
      </c>
      <c r="P2" s="350" t="s">
        <v>317</v>
      </c>
      <c r="Q2" s="350" t="s">
        <v>317</v>
      </c>
      <c r="R2" s="350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42"/>
  <dimension ref="A1:P42"/>
  <sheetViews>
    <sheetView topLeftCell="C1" workbookViewId="0">
      <pane ySplit="4" topLeftCell="A5" activePane="bottomLeft" state="frozen"/>
      <selection activeCell="E3" sqref="E3"/>
      <selection pane="bottomLeft" activeCell="E3" sqref="E3"/>
    </sheetView>
  </sheetViews>
  <sheetFormatPr defaultRowHeight="12.75"/>
  <cols>
    <col min="1" max="2" width="5.28515625" style="380" hidden="1" customWidth="1"/>
    <col min="3" max="3" width="16.5703125" style="380" customWidth="1"/>
    <col min="4" max="4" width="3.7109375" style="380" hidden="1" customWidth="1"/>
    <col min="5" max="5" width="38.140625" style="380" customWidth="1"/>
    <col min="6" max="6" width="15.28515625" style="380" customWidth="1"/>
    <col min="7" max="7" width="8.5703125" style="385" customWidth="1"/>
    <col min="8" max="8" width="5.5703125" style="380" customWidth="1"/>
    <col min="9" max="9" width="10.140625" style="385" customWidth="1"/>
    <col min="10" max="10" width="25.7109375" style="380" hidden="1" customWidth="1"/>
    <col min="11" max="11" width="14.28515625" style="380" customWidth="1"/>
    <col min="12" max="12" width="13.7109375" style="382" customWidth="1"/>
    <col min="13" max="13" width="5.140625" style="380" hidden="1" customWidth="1"/>
    <col min="14" max="14" width="5.85546875" style="380" hidden="1" customWidth="1"/>
    <col min="15" max="15" width="0" style="380" hidden="1" customWidth="1"/>
    <col min="16" max="16" width="4.28515625" style="380" hidden="1" customWidth="1"/>
    <col min="17" max="17" width="0" style="380" hidden="1" customWidth="1"/>
    <col min="18" max="16384" width="9.140625" style="380"/>
  </cols>
  <sheetData>
    <row r="1" spans="1:16" s="240" customFormat="1" ht="25.5" customHeight="1">
      <c r="C1" s="580" t="s">
        <v>285</v>
      </c>
      <c r="D1" s="580"/>
      <c r="E1" s="580"/>
      <c r="F1" s="580"/>
      <c r="G1" s="580"/>
      <c r="H1" s="580"/>
      <c r="I1" s="580"/>
      <c r="J1" s="580"/>
      <c r="K1" s="580"/>
      <c r="L1" s="580"/>
    </row>
    <row r="2" spans="1:16">
      <c r="A2" s="380">
        <v>15</v>
      </c>
      <c r="B2" s="380" t="s">
        <v>245</v>
      </c>
      <c r="C2" s="582">
        <f ca="1">TODAY()</f>
        <v>44114</v>
      </c>
      <c r="D2" s="582"/>
      <c r="E2" s="582"/>
      <c r="G2" s="581" t="s">
        <v>286</v>
      </c>
      <c r="H2" s="581"/>
      <c r="I2" s="385">
        <f>SUM(H5:H1000000)</f>
        <v>0</v>
      </c>
      <c r="J2" s="380" t="s">
        <v>109</v>
      </c>
      <c r="K2" s="381" t="s">
        <v>184</v>
      </c>
      <c r="L2" s="388">
        <f>SUM(I5:I1000000)</f>
        <v>0</v>
      </c>
      <c r="M2" s="380">
        <v>65</v>
      </c>
      <c r="N2" s="380">
        <v>55</v>
      </c>
      <c r="O2" s="380">
        <v>2018</v>
      </c>
      <c r="P2" s="380">
        <v>5</v>
      </c>
    </row>
    <row r="3" spans="1:16">
      <c r="A3" s="380">
        <v>15</v>
      </c>
      <c r="B3" s="380" t="s">
        <v>244</v>
      </c>
      <c r="M3" s="380">
        <v>40</v>
      </c>
      <c r="N3" s="380">
        <v>30</v>
      </c>
      <c r="O3" s="380">
        <v>2018</v>
      </c>
      <c r="P3" s="380">
        <v>5</v>
      </c>
    </row>
    <row r="4" spans="1:16">
      <c r="A4" s="380">
        <v>16</v>
      </c>
      <c r="B4" s="380" t="s">
        <v>246</v>
      </c>
      <c r="C4" s="383" t="s">
        <v>1</v>
      </c>
      <c r="D4" s="383">
        <v>1</v>
      </c>
      <c r="E4" s="383" t="s">
        <v>0</v>
      </c>
      <c r="F4" s="383" t="s">
        <v>2</v>
      </c>
      <c r="G4" s="386" t="s">
        <v>216</v>
      </c>
      <c r="H4" s="383" t="s">
        <v>26</v>
      </c>
      <c r="I4" s="386" t="s">
        <v>27</v>
      </c>
      <c r="J4" s="383" t="s">
        <v>109</v>
      </c>
      <c r="K4" s="383" t="s">
        <v>287</v>
      </c>
      <c r="L4" s="384" t="s">
        <v>29</v>
      </c>
      <c r="M4" s="380">
        <v>65</v>
      </c>
      <c r="N4" s="380">
        <v>55</v>
      </c>
      <c r="O4" s="380">
        <v>2018</v>
      </c>
      <c r="P4" s="380">
        <v>5</v>
      </c>
    </row>
    <row r="5" spans="1:16">
      <c r="B5" s="382"/>
    </row>
    <row r="6" spans="1:16">
      <c r="B6" s="382"/>
    </row>
    <row r="7" spans="1:16">
      <c r="B7" s="382"/>
    </row>
    <row r="8" spans="1:16" ht="14.25">
      <c r="B8" s="382"/>
      <c r="G8" s="387"/>
    </row>
    <row r="9" spans="1:16">
      <c r="B9" s="382"/>
    </row>
    <row r="10" spans="1:16">
      <c r="B10" s="382"/>
    </row>
    <row r="11" spans="1:16">
      <c r="B11" s="382"/>
    </row>
    <row r="12" spans="1:16">
      <c r="B12" s="382"/>
    </row>
    <row r="13" spans="1:16">
      <c r="B13" s="382"/>
    </row>
    <row r="14" spans="1:16">
      <c r="B14" s="382"/>
    </row>
    <row r="15" spans="1:16">
      <c r="B15" s="382"/>
    </row>
    <row r="16" spans="1:16">
      <c r="B16" s="382"/>
    </row>
    <row r="17" spans="2:2">
      <c r="B17" s="382"/>
    </row>
    <row r="18" spans="2:2">
      <c r="B18" s="382"/>
    </row>
    <row r="19" spans="2:2">
      <c r="B19" s="382"/>
    </row>
    <row r="20" spans="2:2">
      <c r="B20" s="382"/>
    </row>
    <row r="21" spans="2:2">
      <c r="B21" s="382"/>
    </row>
    <row r="22" spans="2:2">
      <c r="B22" s="382"/>
    </row>
    <row r="23" spans="2:2">
      <c r="B23" s="382"/>
    </row>
    <row r="24" spans="2:2">
      <c r="B24" s="382"/>
    </row>
    <row r="25" spans="2:2">
      <c r="B25" s="382"/>
    </row>
    <row r="26" spans="2:2">
      <c r="B26" s="382"/>
    </row>
    <row r="27" spans="2:2">
      <c r="B27" s="382"/>
    </row>
    <row r="28" spans="2:2">
      <c r="B28" s="382"/>
    </row>
    <row r="29" spans="2:2">
      <c r="B29" s="382"/>
    </row>
    <row r="30" spans="2:2">
      <c r="B30" s="382"/>
    </row>
    <row r="31" spans="2:2">
      <c r="B31" s="382"/>
    </row>
    <row r="32" spans="2:2">
      <c r="B32" s="382"/>
    </row>
    <row r="33" spans="2:2">
      <c r="B33" s="382"/>
    </row>
    <row r="34" spans="2:2">
      <c r="B34" s="382"/>
    </row>
    <row r="35" spans="2:2">
      <c r="B35" s="382"/>
    </row>
    <row r="36" spans="2:2">
      <c r="B36" s="382"/>
    </row>
    <row r="37" spans="2:2">
      <c r="B37" s="382"/>
    </row>
    <row r="38" spans="2:2">
      <c r="B38" s="382"/>
    </row>
    <row r="39" spans="2:2">
      <c r="B39" s="382"/>
    </row>
    <row r="40" spans="2:2">
      <c r="B40" s="382"/>
    </row>
    <row r="41" spans="2:2">
      <c r="B41" s="382"/>
    </row>
    <row r="42" spans="2:2">
      <c r="B42" s="382"/>
    </row>
  </sheetData>
  <mergeCells count="3">
    <mergeCell ref="C1:L1"/>
    <mergeCell ref="G2:H2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43"/>
  <dimension ref="A1:C10"/>
  <sheetViews>
    <sheetView workbookViewId="0">
      <pane ySplit="11" topLeftCell="A12" activePane="bottomLeft" state="frozen"/>
      <selection pane="bottomLeft" activeCell="F23" sqref="F23"/>
    </sheetView>
  </sheetViews>
  <sheetFormatPr defaultRowHeight="12.75"/>
  <cols>
    <col min="1" max="1" width="16.7109375" customWidth="1"/>
    <col min="2" max="2" width="9.140625" style="419"/>
  </cols>
  <sheetData>
    <row r="1" spans="1:3" ht="7.5" customHeight="1" thickBot="1"/>
    <row r="2" spans="1:3" s="423" customFormat="1" ht="22.5" customHeight="1" thickBot="1">
      <c r="A2" s="422" t="s">
        <v>309</v>
      </c>
      <c r="B2" s="422">
        <v>58</v>
      </c>
      <c r="C2" s="422" t="s">
        <v>314</v>
      </c>
    </row>
    <row r="4" spans="1:3" ht="13.5" hidden="1" thickBot="1">
      <c r="A4" s="420" t="s">
        <v>310</v>
      </c>
      <c r="B4" s="421">
        <v>58</v>
      </c>
    </row>
    <row r="5" spans="1:3" ht="13.5" hidden="1" thickBot="1"/>
    <row r="6" spans="1:3" ht="13.5" hidden="1" thickBot="1">
      <c r="A6" s="420" t="s">
        <v>311</v>
      </c>
      <c r="B6" s="421">
        <v>58</v>
      </c>
    </row>
    <row r="7" spans="1:3" ht="13.5" hidden="1" thickBot="1"/>
    <row r="8" spans="1:3" ht="13.5" hidden="1" thickBot="1">
      <c r="A8" s="420" t="s">
        <v>313</v>
      </c>
      <c r="B8" s="421">
        <v>58</v>
      </c>
    </row>
    <row r="9" spans="1:3" ht="13.5" hidden="1" thickBot="1"/>
    <row r="10" spans="1:3" ht="13.5" hidden="1" thickBot="1">
      <c r="A10" s="420" t="s">
        <v>312</v>
      </c>
      <c r="B10" s="421">
        <v>58</v>
      </c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44</vt:i4>
      </vt:variant>
      <vt:variant>
        <vt:lpstr>Intervalos Nomeados</vt:lpstr>
      </vt:variant>
      <vt:variant>
        <vt:i4>56</vt:i4>
      </vt:variant>
    </vt:vector>
  </HeadingPairs>
  <TitlesOfParts>
    <vt:vector size="100" baseType="lpstr">
      <vt:lpstr>PEDIDOS</vt:lpstr>
      <vt:lpstr>COMANDA</vt:lpstr>
      <vt:lpstr>LISTA</vt:lpstr>
      <vt:lpstr>ENTRADAS</vt:lpstr>
      <vt:lpstr>VENDAS</vt:lpstr>
      <vt:lpstr>RESUMO_VENDAS</vt:lpstr>
      <vt:lpstr>TIPOS</vt:lpstr>
      <vt:lpstr>TIPO_PAGAMENTO</vt:lpstr>
      <vt:lpstr>PARCELAR</vt:lpstr>
      <vt:lpstr>A RECEBER</vt:lpstr>
      <vt:lpstr>FECHAMENTO</vt:lpstr>
      <vt:lpstr>RECEBER_VALORES</vt:lpstr>
      <vt:lpstr>CLIENTE</vt:lpstr>
      <vt:lpstr>FILTROS</vt:lpstr>
      <vt:lpstr>A PAGAR</vt:lpstr>
      <vt:lpstr>LOG</vt:lpstr>
      <vt:lpstr>CAD BARRAS</vt:lpstr>
      <vt:lpstr>LAYOUT BARRAS</vt:lpstr>
      <vt:lpstr>COD BARRAS</vt:lpstr>
      <vt:lpstr>SANGRIA</vt:lpstr>
      <vt:lpstr>DEVOLUÇÃO</vt:lpstr>
      <vt:lpstr>CUPOM_PARCELA_PAGA</vt:lpstr>
      <vt:lpstr>CARTÃO</vt:lpstr>
      <vt:lpstr>RELATE_RECEBER</vt:lpstr>
      <vt:lpstr>FLUXO</vt:lpstr>
      <vt:lpstr>RELATE_VENDAS</vt:lpstr>
      <vt:lpstr>RELATE_APAGAR</vt:lpstr>
      <vt:lpstr>RELATE_ENTRADAS</vt:lpstr>
      <vt:lpstr>RELATE_PRODUTOS</vt:lpstr>
      <vt:lpstr>RELATE_DEVOLUÇÃO</vt:lpstr>
      <vt:lpstr>ORÇAMENTO</vt:lpstr>
      <vt:lpstr>LISTA_ORÇAMENTO</vt:lpstr>
      <vt:lpstr>LOGOMARCA</vt:lpstr>
      <vt:lpstr>CARNÊ</vt:lpstr>
      <vt:lpstr>CUPOM_CARNÊ</vt:lpstr>
      <vt:lpstr>RELATE_PROD</vt:lpstr>
      <vt:lpstr>CUPOM_RAPIDO</vt:lpstr>
      <vt:lpstr>RELATE_LUCRO</vt:lpstr>
      <vt:lpstr>MENU</vt:lpstr>
      <vt:lpstr>COMISSÃO</vt:lpstr>
      <vt:lpstr>HISTORICO_CAIXA</vt:lpstr>
      <vt:lpstr>FORNECEDOR</vt:lpstr>
      <vt:lpstr>RELATORIO_PERIODO</vt:lpstr>
      <vt:lpstr>MARGEM_CUPOM</vt:lpstr>
      <vt:lpstr>COMANDA!Area_de_impressao</vt:lpstr>
      <vt:lpstr>CUPOM_PARCELA_PAGA!Area_de_impressao</vt:lpstr>
      <vt:lpstr>FILTROS!Area_de_impressao</vt:lpstr>
      <vt:lpstr>PEDIDOS!Area_de_impressao</vt:lpstr>
      <vt:lpstr>TIPOS!Area_de_impressao</vt:lpstr>
      <vt:lpstr>USERS!Area_de_impressao</vt:lpstr>
      <vt:lpstr>AT</vt:lpstr>
      <vt:lpstr>ATATUS_PARCELAS</vt:lpstr>
      <vt:lpstr>ATEND</vt:lpstr>
      <vt:lpstr>CLIENTES_RECEBER</vt:lpstr>
      <vt:lpstr>COD_DEVOLUÇ</vt:lpstr>
      <vt:lpstr>CODIÇÃO_PAGAMENTO</vt:lpstr>
      <vt:lpstr>CONDIÇÃO_ANO</vt:lpstr>
      <vt:lpstr>CONDIÇÃO_DATA</vt:lpstr>
      <vt:lpstr>CONDIÇÃO_MES</vt:lpstr>
      <vt:lpstr>CONDIÇÃO_TOTAL</vt:lpstr>
      <vt:lpstr>CONTA_ESTATUS</vt:lpstr>
      <vt:lpstr>CONTA_PAGA</vt:lpstr>
      <vt:lpstr>CONTA_TOTALL</vt:lpstr>
      <vt:lpstr>DATA</vt:lpstr>
      <vt:lpstr>DATA_APAGAR</vt:lpstr>
      <vt:lpstr>data_entradass</vt:lpstr>
      <vt:lpstr>data_receber</vt:lpstr>
      <vt:lpstr>DATA_SANGRIA</vt:lpstr>
      <vt:lpstr>DENTRO_DO</vt:lpstr>
      <vt:lpstr>ID_ENTRADA</vt:lpstr>
      <vt:lpstr>ID_ESTOQUE</vt:lpstr>
      <vt:lpstr>ID_PEDI</vt:lpstr>
      <vt:lpstr>ID_PEDIDO</vt:lpstr>
      <vt:lpstr>ID_QTD</vt:lpstr>
      <vt:lpstr>ID_VENDAS</vt:lpstr>
      <vt:lpstr>LISTA_ESTOQUE</vt:lpstr>
      <vt:lpstr>OPERADOR</vt:lpstr>
      <vt:lpstr>PAGAMENTO</vt:lpstr>
      <vt:lpstr>pago</vt:lpstr>
      <vt:lpstr>parcela</vt:lpstr>
      <vt:lpstr>PARCELAS</vt:lpstr>
      <vt:lpstr>QTD_VENDA</vt:lpstr>
      <vt:lpstr>QTDE_DEVOLU</vt:lpstr>
      <vt:lpstr>QTDE_ENTRADA</vt:lpstr>
      <vt:lpstr>QTDE_PEDIDO</vt:lpstr>
      <vt:lpstr>QTDE_VENDAS</vt:lpstr>
      <vt:lpstr>satatusss</vt:lpstr>
      <vt:lpstr>status</vt:lpstr>
      <vt:lpstr>TABELA_CLIENTES</vt:lpstr>
      <vt:lpstr>TOTAL_ANO</vt:lpstr>
      <vt:lpstr>TOTAL_DESCONTO</vt:lpstr>
      <vt:lpstr>TOTAL_LUCRO</vt:lpstr>
      <vt:lpstr>TOTAL_MES</vt:lpstr>
      <vt:lpstr>TOTAL_RESUMO</vt:lpstr>
      <vt:lpstr>TOTALLL</vt:lpstr>
      <vt:lpstr>totallll</vt:lpstr>
      <vt:lpstr>valor_entradass</vt:lpstr>
      <vt:lpstr>VALOR_PAGO</vt:lpstr>
      <vt:lpstr>VALOR_SANGRIA</vt:lpstr>
      <vt:lpstr>VALORR_PAGO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Lucas Lopes Marinho</cp:lastModifiedBy>
  <cp:lastPrinted>2020-09-07T16:05:12Z</cp:lastPrinted>
  <dcterms:created xsi:type="dcterms:W3CDTF">2008-03-10T14:27:12Z</dcterms:created>
  <dcterms:modified xsi:type="dcterms:W3CDTF">2020-10-10T19:18:47Z</dcterms:modified>
</cp:coreProperties>
</file>