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Moura\Documents\"/>
    </mc:Choice>
  </mc:AlternateContent>
  <xr:revisionPtr revIDLastSave="0" documentId="13_ncr:1_{D9FF680E-F7C9-4A45-9D20-BB7BA7E855E4}" xr6:coauthVersionLast="45" xr6:coauthVersionMax="45" xr10:uidLastSave="{00000000-0000-0000-0000-000000000000}"/>
  <bookViews>
    <workbookView xWindow="-120" yWindow="-120" windowWidth="20730" windowHeight="11160" xr2:uid="{8FD28361-6181-4478-AF64-FA6C1D2035D5}"/>
  </bookViews>
  <sheets>
    <sheet name="Parte 1" sheetId="1" r:id="rId1"/>
    <sheet name="Parte 2" sheetId="2" r:id="rId2"/>
    <sheet name="Part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J13" i="2"/>
  <c r="J14" i="2"/>
  <c r="J15" i="2"/>
  <c r="J16" i="2"/>
  <c r="K16" i="2" s="1"/>
  <c r="J12" i="2"/>
  <c r="J16" i="1"/>
  <c r="J17" i="1"/>
  <c r="J18" i="1"/>
  <c r="K18" i="1" s="1"/>
  <c r="J19" i="1"/>
  <c r="K19" i="1" s="1"/>
  <c r="J20" i="1"/>
  <c r="J15" i="1"/>
  <c r="K15" i="1" s="1"/>
  <c r="J2" i="2"/>
  <c r="G4" i="2"/>
  <c r="G3" i="2"/>
  <c r="G5" i="2"/>
  <c r="G6" i="2"/>
  <c r="G2" i="2"/>
  <c r="J8" i="1"/>
  <c r="K8" i="1" s="1"/>
  <c r="J6" i="1"/>
  <c r="J7" i="1"/>
  <c r="J5" i="1"/>
  <c r="J3" i="1"/>
  <c r="J4" i="1"/>
  <c r="J2" i="1"/>
  <c r="N13" i="1"/>
  <c r="L9" i="2" s="1"/>
  <c r="K13" i="2"/>
  <c r="K14" i="2"/>
  <c r="K15" i="2"/>
  <c r="K12" i="2"/>
  <c r="K6" i="1"/>
  <c r="K7" i="1"/>
  <c r="K20" i="1"/>
  <c r="K17" i="1"/>
  <c r="K16" i="1"/>
  <c r="K12" i="1"/>
  <c r="J3" i="2" l="1"/>
  <c r="J4" i="2"/>
  <c r="J5" i="2"/>
  <c r="J6" i="2"/>
  <c r="C8" i="3"/>
  <c r="G3" i="3"/>
  <c r="I3" i="3" s="1"/>
  <c r="G2" i="3"/>
  <c r="I2" i="3" s="1"/>
  <c r="G4" i="3"/>
  <c r="I4" i="3" s="1"/>
  <c r="K2" i="3"/>
  <c r="K1" i="3"/>
  <c r="C2" i="3"/>
  <c r="B3" i="3"/>
  <c r="E8" i="3"/>
  <c r="B2" i="3"/>
  <c r="L4" i="3"/>
  <c r="C4" i="3"/>
  <c r="M3" i="2"/>
  <c r="B3" i="2"/>
  <c r="B4" i="2"/>
  <c r="B5" i="2"/>
  <c r="B6" i="2"/>
  <c r="B2" i="2"/>
  <c r="H4" i="2"/>
  <c r="H5" i="2"/>
  <c r="I5" i="2" s="1"/>
  <c r="M5" i="2"/>
  <c r="F3" i="2"/>
  <c r="H3" i="2" s="1"/>
  <c r="I3" i="2" s="1"/>
  <c r="F4" i="2"/>
  <c r="F5" i="2"/>
  <c r="F6" i="2"/>
  <c r="H6" i="2" s="1"/>
  <c r="I6" i="2" s="1"/>
  <c r="F2" i="2"/>
  <c r="H2" i="2" s="1"/>
  <c r="P11" i="1"/>
  <c r="B3" i="1"/>
  <c r="B4" i="1"/>
  <c r="B5" i="1"/>
  <c r="B6" i="1"/>
  <c r="B7" i="1"/>
  <c r="B2" i="1"/>
  <c r="I2" i="1"/>
  <c r="I6" i="1"/>
  <c r="H8" i="1"/>
  <c r="H7" i="1"/>
  <c r="I7" i="1" s="1"/>
  <c r="H6" i="1"/>
  <c r="H5" i="1"/>
  <c r="I5" i="1" s="1"/>
  <c r="H4" i="1"/>
  <c r="I4" i="1" s="1"/>
  <c r="H3" i="1"/>
  <c r="I3" i="1" s="1"/>
  <c r="H2" i="1"/>
  <c r="C3" i="3" l="1"/>
  <c r="C9" i="3" s="1"/>
  <c r="B10" i="3"/>
  <c r="B8" i="3" s="1"/>
  <c r="D8" i="3" s="1"/>
  <c r="I2" i="2"/>
  <c r="I4" i="2"/>
  <c r="B9" i="3" l="1"/>
  <c r="D9" i="3"/>
  <c r="A6" i="2"/>
  <c r="A5" i="2"/>
  <c r="A4" i="2"/>
  <c r="A3" i="2"/>
  <c r="A2" i="2"/>
  <c r="A7" i="1"/>
  <c r="A6" i="1"/>
  <c r="A5" i="1"/>
  <c r="A4" i="1"/>
  <c r="A3" i="1"/>
  <c r="A2" i="1"/>
  <c r="N7" i="1"/>
  <c r="N6" i="1"/>
  <c r="N5" i="1"/>
  <c r="M2" i="1"/>
</calcChain>
</file>

<file path=xl/sharedStrings.xml><?xml version="1.0" encoding="utf-8"?>
<sst xmlns="http://schemas.openxmlformats.org/spreadsheetml/2006/main" count="73" uniqueCount="50">
  <si>
    <t>5T (s)</t>
  </si>
  <si>
    <t>Null</t>
  </si>
  <si>
    <t>T (s)</t>
  </si>
  <si>
    <t>m1</t>
  </si>
  <si>
    <t>m2</t>
  </si>
  <si>
    <t>-</t>
  </si>
  <si>
    <t>3T (s)</t>
  </si>
  <si>
    <t>Corpo</t>
  </si>
  <si>
    <t>Cilindro Sólido</t>
  </si>
  <si>
    <t>Cilindro Oco</t>
  </si>
  <si>
    <t>Comprimento Total</t>
  </si>
  <si>
    <t>Massas (kg)</t>
  </si>
  <si>
    <t>R (m)</t>
  </si>
  <si>
    <t>Ja</t>
  </si>
  <si>
    <t>M (kg)</t>
  </si>
  <si>
    <t>a (m)</t>
  </si>
  <si>
    <t>Jr</t>
  </si>
  <si>
    <t>Jt/Jr</t>
  </si>
  <si>
    <t>Jt/Jr teor</t>
  </si>
  <si>
    <t>D</t>
  </si>
  <si>
    <t>To</t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</si>
  <si>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</si>
  <si>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</si>
  <si>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 - Torque Restaurador</t>
  </si>
  <si>
    <t>a - Coeficiente Angular</t>
  </si>
  <si>
    <t>Importante ressaltar que devido a incerteza de 1 da massa durante os cálculos foi considerado a mesma massa para ambos os pesos de 0.235 kg</t>
  </si>
  <si>
    <t>Massa - m1</t>
  </si>
  <si>
    <t>Raio - R1</t>
  </si>
  <si>
    <r>
      <t>(T/2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</si>
  <si>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</si>
  <si>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mbarra</t>
  </si>
  <si>
    <t>Jcm</t>
  </si>
  <si>
    <t>Suporte</t>
  </si>
  <si>
    <t>Importante ressaltar que devido a proxiidade dos diametros externo e interno foi utilizado com Momento de Inércia MR^2</t>
  </si>
  <si>
    <r>
      <t>(T/2</t>
    </r>
    <r>
      <rPr>
        <sz val="11"/>
        <color theme="1"/>
        <rFont val="Symbol"/>
        <family val="1"/>
        <charset val="2"/>
      </rPr>
      <t>p)</t>
    </r>
    <r>
      <rPr>
        <vertAlign val="superscript"/>
        <sz val="11"/>
        <color theme="1"/>
        <rFont val="Calibri Light"/>
        <family val="2"/>
        <scheme val="major"/>
      </rPr>
      <t>2</t>
    </r>
  </si>
  <si>
    <t xml:space="preserve">* Foram subtraidos o valor do momento de inércia do suporte </t>
  </si>
  <si>
    <t>Jt*</t>
  </si>
  <si>
    <t>Raio interno</t>
  </si>
  <si>
    <t>Raio externo</t>
  </si>
  <si>
    <t>Incerteza D</t>
  </si>
  <si>
    <t>inc m</t>
  </si>
  <si>
    <t>inc t</t>
  </si>
  <si>
    <t>inc T^2</t>
  </si>
  <si>
    <t>inc Ja</t>
  </si>
  <si>
    <t>inc D</t>
  </si>
  <si>
    <t>inc T</t>
  </si>
  <si>
    <t>inc R</t>
  </si>
  <si>
    <t>inc R^2</t>
  </si>
  <si>
    <t>inc a</t>
  </si>
  <si>
    <t>inc 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</si>
</sst>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vertAlign val="superscript"/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/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3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30000"/>
              <a:t>2</a:t>
            </a:r>
            <a:r>
              <a:rPr lang="en-US" baseline="0"/>
              <a:t> vs R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25085067092336E-2"/>
                  <c:y val="1.1007090559432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'Parte 1'!$B$2:$B$7</c:f>
              <c:numCache>
                <c:formatCode>General</c:formatCode>
                <c:ptCount val="6"/>
                <c:pt idx="0">
                  <c:v>0.09</c:v>
                </c:pt>
                <c:pt idx="1">
                  <c:v>6.25E-2</c:v>
                </c:pt>
                <c:pt idx="2">
                  <c:v>4.0000000000000008E-2</c:v>
                </c:pt>
                <c:pt idx="3">
                  <c:v>2.2499999999999999E-2</c:v>
                </c:pt>
                <c:pt idx="4">
                  <c:v>1.0000000000000002E-2</c:v>
                </c:pt>
                <c:pt idx="5">
                  <c:v>2.5000000000000005E-3</c:v>
                </c:pt>
              </c:numCache>
            </c:numRef>
          </c:xVal>
          <c:yVal>
            <c:numRef>
              <c:f>'Parte 1'!$I$2:$I$7</c:f>
              <c:numCache>
                <c:formatCode>0.00</c:formatCode>
                <c:ptCount val="6"/>
                <c:pt idx="0">
                  <c:v>42.213607840000002</c:v>
                </c:pt>
                <c:pt idx="1">
                  <c:v>30.05670976</c:v>
                </c:pt>
                <c:pt idx="2">
                  <c:v>20.354534559999998</c:v>
                </c:pt>
                <c:pt idx="3">
                  <c:v>13.630863999999997</c:v>
                </c:pt>
                <c:pt idx="4">
                  <c:v>8.2483839999999997</c:v>
                </c:pt>
                <c:pt idx="5">
                  <c:v>5.1226777777777794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2-43CF-BF43-D6F17C22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59471"/>
        <c:axId val="1529473727"/>
      </c:scatterChart>
      <c:valAx>
        <c:axId val="111405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3727"/>
        <c:crosses val="autoZero"/>
        <c:crossBetween val="midCat"/>
      </c:valAx>
      <c:valAx>
        <c:axId val="15294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 vs a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 vs 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688538932633422E-2"/>
                  <c:y val="-4.3756926217556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'Parte 2'!$B$2:$B$6</c:f>
              <c:numCache>
                <c:formatCode>General</c:formatCode>
                <c:ptCount val="5"/>
                <c:pt idx="0">
                  <c:v>0</c:v>
                </c:pt>
                <c:pt idx="1">
                  <c:v>1.6000000000000001E-3</c:v>
                </c:pt>
                <c:pt idx="2">
                  <c:v>6.4000000000000003E-3</c:v>
                </c:pt>
                <c:pt idx="3">
                  <c:v>1.44E-2</c:v>
                </c:pt>
                <c:pt idx="4">
                  <c:v>2.5600000000000001E-2</c:v>
                </c:pt>
              </c:numCache>
            </c:numRef>
          </c:xVal>
          <c:yVal>
            <c:numRef>
              <c:f>'Parte 2'!$I$2:$I$6</c:f>
              <c:numCache>
                <c:formatCode>0.0000</c:formatCode>
                <c:ptCount val="5"/>
                <c:pt idx="0">
                  <c:v>1.3715770138003163E-2</c:v>
                </c:pt>
                <c:pt idx="1">
                  <c:v>1.4162494480693259E-2</c:v>
                </c:pt>
                <c:pt idx="2">
                  <c:v>1.9095172612292276E-2</c:v>
                </c:pt>
                <c:pt idx="3">
                  <c:v>2.3144647619348785E-2</c:v>
                </c:pt>
                <c:pt idx="4">
                  <c:v>2.9488005302048099E-2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B-4D25-881F-85585F5C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47343"/>
        <c:axId val="1998681775"/>
      </c:scatterChart>
      <c:valAx>
        <c:axId val="2133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81775"/>
        <c:crosses val="autoZero"/>
        <c:crossBetween val="midCat"/>
      </c:valAx>
      <c:valAx>
        <c:axId val="19986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8</xdr:row>
      <xdr:rowOff>185736</xdr:rowOff>
    </xdr:from>
    <xdr:to>
      <xdr:col>8</xdr:col>
      <xdr:colOff>542924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F91B3-445B-42BD-977F-C25F0DF7E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23812</xdr:rowOff>
    </xdr:from>
    <xdr:to>
      <xdr:col>7</xdr:col>
      <xdr:colOff>276225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1D117-F77F-45B4-B3E7-BDAFFC9A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3D0-8DC4-4B49-A469-BF55FDD053DA}">
  <dimension ref="A1:S20"/>
  <sheetViews>
    <sheetView tabSelected="1" workbookViewId="0">
      <selection activeCell="R15" sqref="R15"/>
    </sheetView>
  </sheetViews>
  <sheetFormatPr defaultRowHeight="15" x14ac:dyDescent="0.25"/>
  <cols>
    <col min="7" max="7" width="12" bestFit="1" customWidth="1"/>
    <col min="8" max="8" width="13.140625" customWidth="1"/>
    <col min="9" max="9" width="11.85546875" customWidth="1"/>
    <col min="10" max="11" width="11.5703125" bestFit="1" customWidth="1"/>
    <col min="13" max="13" width="11" customWidth="1"/>
    <col min="14" max="14" width="11.5703125" bestFit="1" customWidth="1"/>
  </cols>
  <sheetData>
    <row r="1" spans="1:19" ht="17.25" x14ac:dyDescent="0.25">
      <c r="A1" s="1" t="s">
        <v>12</v>
      </c>
      <c r="B1" s="7" t="s">
        <v>22</v>
      </c>
      <c r="C1" s="36" t="s">
        <v>0</v>
      </c>
      <c r="D1" s="37"/>
      <c r="E1" s="37"/>
      <c r="F1" s="37"/>
      <c r="G1" s="38"/>
      <c r="H1" s="10" t="s">
        <v>2</v>
      </c>
      <c r="I1" s="8" t="s">
        <v>21</v>
      </c>
      <c r="J1" s="15" t="s">
        <v>41</v>
      </c>
      <c r="K1" s="15" t="s">
        <v>42</v>
      </c>
      <c r="M1" s="39" t="s">
        <v>10</v>
      </c>
      <c r="N1" s="39"/>
      <c r="O1" s="39"/>
    </row>
    <row r="2" spans="1:19" x14ac:dyDescent="0.25">
      <c r="A2" s="1">
        <f>30/100</f>
        <v>0.3</v>
      </c>
      <c r="B2" s="7">
        <f>A2^2</f>
        <v>0.09</v>
      </c>
      <c r="C2" s="3">
        <v>32.159999999999997</v>
      </c>
      <c r="D2" s="3">
        <v>32.950000000000003</v>
      </c>
      <c r="E2" s="3">
        <v>32.909999999999997</v>
      </c>
      <c r="F2" s="3">
        <v>32.130000000000003</v>
      </c>
      <c r="G2" s="3">
        <v>32.28</v>
      </c>
      <c r="H2" s="21">
        <f>(SUM(C2:G2)/25)</f>
        <v>6.4972000000000003</v>
      </c>
      <c r="I2" s="13">
        <f>H2^2</f>
        <v>42.213607840000002</v>
      </c>
      <c r="J2" s="55">
        <f>SQRT((((C2/5)-H2)^2+((D2/5)-H2)^2+((E2/5)-H2)^2+((F2/5)-H20)^2+((G2/5)-H2)^2)/20)</f>
        <v>1.437275675714301</v>
      </c>
      <c r="K2" s="55">
        <f>2*H2</f>
        <v>12.994400000000001</v>
      </c>
      <c r="M2" s="39">
        <f>0.3*2</f>
        <v>0.6</v>
      </c>
      <c r="N2" s="39"/>
      <c r="O2" s="39"/>
    </row>
    <row r="3" spans="1:19" ht="15" customHeight="1" x14ac:dyDescent="0.25">
      <c r="A3" s="1">
        <f>25/100</f>
        <v>0.25</v>
      </c>
      <c r="B3" s="7">
        <f t="shared" ref="B3:B7" si="0">A3^2</f>
        <v>6.25E-2</v>
      </c>
      <c r="C3" s="3">
        <v>27.14</v>
      </c>
      <c r="D3" s="3">
        <v>27.4</v>
      </c>
      <c r="E3" s="3">
        <v>27.94</v>
      </c>
      <c r="F3" s="3">
        <v>27.21</v>
      </c>
      <c r="G3" s="3">
        <v>27.37</v>
      </c>
      <c r="H3" s="21">
        <f>(SUM(C3:G3)/25)</f>
        <v>5.4824000000000002</v>
      </c>
      <c r="I3" s="13">
        <f t="shared" ref="I3:I7" si="1">H3^2</f>
        <v>30.05670976</v>
      </c>
      <c r="J3" s="55">
        <f t="shared" ref="J3:J4" si="2">SQRT((((C3/5)-H3)^2+((D3/5)-H3)^2+((E3/5)-H3)^2+((F3/5)-H21)^2+((G3/5)-H3)^2)/20)</f>
        <v>1.2171596247000638</v>
      </c>
      <c r="K3" s="55">
        <f>2*H3</f>
        <v>10.9648</v>
      </c>
      <c r="Q3" s="34" t="s">
        <v>25</v>
      </c>
      <c r="R3" s="34"/>
      <c r="S3" s="34"/>
    </row>
    <row r="4" spans="1:19" x14ac:dyDescent="0.25">
      <c r="A4" s="1">
        <f>20/100</f>
        <v>0.2</v>
      </c>
      <c r="B4" s="7">
        <f t="shared" si="0"/>
        <v>4.0000000000000008E-2</v>
      </c>
      <c r="C4" s="3">
        <v>22.54</v>
      </c>
      <c r="D4" s="3">
        <v>22.63</v>
      </c>
      <c r="E4" s="3">
        <v>22.55</v>
      </c>
      <c r="F4" s="3">
        <v>22.53</v>
      </c>
      <c r="G4" s="3">
        <v>22.54</v>
      </c>
      <c r="H4" s="21">
        <f>(SUM(C4:G4)/25)</f>
        <v>4.5115999999999996</v>
      </c>
      <c r="I4" s="13">
        <f t="shared" si="1"/>
        <v>20.354534559999998</v>
      </c>
      <c r="J4" s="55">
        <f t="shared" si="2"/>
        <v>1.007578082334069</v>
      </c>
      <c r="K4" s="55">
        <f>2*H4</f>
        <v>9.0231999999999992</v>
      </c>
      <c r="M4" s="35" t="s">
        <v>11</v>
      </c>
      <c r="N4" s="35"/>
      <c r="O4" s="35"/>
      <c r="Q4" s="34"/>
      <c r="R4" s="34"/>
      <c r="S4" s="34"/>
    </row>
    <row r="5" spans="1:19" x14ac:dyDescent="0.25">
      <c r="A5" s="1">
        <f>15/100</f>
        <v>0.15</v>
      </c>
      <c r="B5" s="7">
        <f t="shared" si="0"/>
        <v>2.2499999999999999E-2</v>
      </c>
      <c r="C5" s="3">
        <v>18.149999999999999</v>
      </c>
      <c r="D5" s="3">
        <v>18.239999999999998</v>
      </c>
      <c r="E5" s="3">
        <v>18.989999999999998</v>
      </c>
      <c r="F5" s="3" t="s">
        <v>5</v>
      </c>
      <c r="G5" s="3" t="s">
        <v>5</v>
      </c>
      <c r="H5" s="21">
        <f>(SUM(C5:E5)/15)</f>
        <v>3.6919999999999997</v>
      </c>
      <c r="I5" s="13">
        <f t="shared" si="1"/>
        <v>13.630863999999997</v>
      </c>
      <c r="J5" s="56">
        <f>SQRT((((C5/5)-H5)^2+((D5/5)-H5)^2+((E5/5)-H5)^2)/6)</f>
        <v>5.325410782277732E-2</v>
      </c>
      <c r="K5" s="59">
        <f>2*H5*0.05</f>
        <v>0.36919999999999997</v>
      </c>
      <c r="M5" s="2" t="s">
        <v>3</v>
      </c>
      <c r="N5" s="33">
        <f>235/1000</f>
        <v>0.23499999999999999</v>
      </c>
      <c r="O5" s="33"/>
      <c r="Q5" s="34"/>
      <c r="R5" s="34"/>
      <c r="S5" s="34"/>
    </row>
    <row r="6" spans="1:19" x14ac:dyDescent="0.25">
      <c r="A6" s="1">
        <f>10/100</f>
        <v>0.1</v>
      </c>
      <c r="B6" s="7">
        <f t="shared" si="0"/>
        <v>1.0000000000000002E-2</v>
      </c>
      <c r="C6" s="3">
        <v>14.19</v>
      </c>
      <c r="D6" s="3">
        <v>14.99</v>
      </c>
      <c r="E6" s="3">
        <v>13.9</v>
      </c>
      <c r="F6" s="4" t="s">
        <v>5</v>
      </c>
      <c r="G6" s="3" t="s">
        <v>5</v>
      </c>
      <c r="H6" s="21">
        <f>(SUM(C6:E6)/15)</f>
        <v>2.8719999999999999</v>
      </c>
      <c r="I6" s="13">
        <f t="shared" si="1"/>
        <v>8.2483839999999997</v>
      </c>
      <c r="J6" s="56">
        <f t="shared" ref="J6:J8" si="3">SQRT((((C6/5)-H6)^2+((D6/5)-H6)^2+((E6/5)-H6)^2)/6)</f>
        <v>6.5186910751571389E-2</v>
      </c>
      <c r="K6" s="59">
        <f t="shared" ref="K3:K8" si="4">2*H6*J6</f>
        <v>0.37443361535702602</v>
      </c>
      <c r="M6" s="2" t="s">
        <v>4</v>
      </c>
      <c r="N6" s="33">
        <f>236/1000</f>
        <v>0.23599999999999999</v>
      </c>
      <c r="O6" s="33"/>
      <c r="Q6" s="34"/>
      <c r="R6" s="34"/>
      <c r="S6" s="34"/>
    </row>
    <row r="7" spans="1:19" x14ac:dyDescent="0.25">
      <c r="A7" s="1">
        <f>5/100</f>
        <v>0.05</v>
      </c>
      <c r="B7" s="7">
        <f t="shared" si="0"/>
        <v>2.5000000000000005E-3</v>
      </c>
      <c r="C7" s="3">
        <v>11.13</v>
      </c>
      <c r="D7" s="3">
        <v>11.98</v>
      </c>
      <c r="E7" s="3">
        <v>10.84</v>
      </c>
      <c r="F7" s="4" t="s">
        <v>5</v>
      </c>
      <c r="G7" s="3" t="s">
        <v>5</v>
      </c>
      <c r="H7" s="21">
        <f>(SUM(C7:E7)/15)</f>
        <v>2.2633333333333336</v>
      </c>
      <c r="I7" s="13">
        <f t="shared" si="1"/>
        <v>5.1226777777777794</v>
      </c>
      <c r="J7" s="56">
        <f t="shared" si="3"/>
        <v>6.8413773791864724E-2</v>
      </c>
      <c r="K7" s="59">
        <f t="shared" si="4"/>
        <v>0.30968634936450767</v>
      </c>
      <c r="M7" s="2" t="s">
        <v>30</v>
      </c>
      <c r="N7" s="33">
        <f>132/1000</f>
        <v>0.13200000000000001</v>
      </c>
      <c r="O7" s="33"/>
      <c r="Q7" s="34"/>
      <c r="R7" s="34"/>
      <c r="S7" s="34"/>
    </row>
    <row r="8" spans="1:19" x14ac:dyDescent="0.25">
      <c r="A8" s="1" t="s">
        <v>1</v>
      </c>
      <c r="B8" s="7" t="s">
        <v>5</v>
      </c>
      <c r="C8" s="3">
        <v>9.44</v>
      </c>
      <c r="D8" s="3">
        <v>9.5299999999999994</v>
      </c>
      <c r="E8" s="3">
        <v>9.44</v>
      </c>
      <c r="F8" s="3" t="s">
        <v>5</v>
      </c>
      <c r="G8" s="3" t="s">
        <v>5</v>
      </c>
      <c r="H8" s="22">
        <f>(SUM(C8:E8)/15)</f>
        <v>1.8939999999999997</v>
      </c>
      <c r="I8" s="13" t="s">
        <v>5</v>
      </c>
      <c r="J8" s="57">
        <f>SQRT((((C8/5)-H8)^2+((D8/5)-H8)^2+((E8/5)-H8)^2)/6)</f>
        <v>6.0000000000000053E-3</v>
      </c>
      <c r="K8" s="56">
        <f t="shared" si="4"/>
        <v>2.2728000000000016E-2</v>
      </c>
      <c r="L8" s="11"/>
    </row>
    <row r="9" spans="1:19" x14ac:dyDescent="0.25">
      <c r="I9" s="11"/>
      <c r="M9" s="35" t="s">
        <v>20</v>
      </c>
      <c r="N9" s="35"/>
      <c r="O9" s="35"/>
      <c r="P9" s="28"/>
    </row>
    <row r="10" spans="1:19" x14ac:dyDescent="0.25">
      <c r="M10" s="33" t="s">
        <v>24</v>
      </c>
      <c r="N10" s="33"/>
      <c r="O10" s="33"/>
      <c r="P10" s="7">
        <v>421.64</v>
      </c>
    </row>
    <row r="11" spans="1:19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M11" s="33" t="s">
        <v>23</v>
      </c>
      <c r="N11" s="33"/>
      <c r="O11" s="33"/>
      <c r="P11" s="18">
        <f>(8*N5*PI()*PI())/P10</f>
        <v>4.400639473021533E-2</v>
      </c>
    </row>
    <row r="12" spans="1:19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17" t="s">
        <v>40</v>
      </c>
      <c r="K12" s="51">
        <f>1/1000</f>
        <v>1E-3</v>
      </c>
      <c r="L12" s="49"/>
      <c r="M12" s="49"/>
      <c r="N12" s="49"/>
      <c r="O12" s="49"/>
      <c r="P12" s="49"/>
      <c r="Q12" s="49"/>
      <c r="R12" s="49"/>
      <c r="S12" s="50"/>
    </row>
    <row r="13" spans="1:19" ht="18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50"/>
      <c r="L13" s="49"/>
      <c r="M13" s="52" t="s">
        <v>39</v>
      </c>
      <c r="N13" s="54">
        <f>(8*PI()*PI()*K12)/P10</f>
        <v>1.8726125417112908E-4</v>
      </c>
      <c r="O13" s="49"/>
      <c r="P13" s="49"/>
      <c r="Q13" s="49"/>
      <c r="R13" s="49"/>
      <c r="S13" s="50"/>
    </row>
    <row r="14" spans="1:19" x14ac:dyDescent="0.25">
      <c r="A14" s="20"/>
      <c r="B14" s="20"/>
      <c r="C14" s="20"/>
      <c r="D14" s="19"/>
      <c r="E14" s="19"/>
      <c r="F14" s="19"/>
      <c r="G14" s="19"/>
      <c r="H14" s="19"/>
      <c r="I14" s="19"/>
      <c r="J14" s="17" t="s">
        <v>46</v>
      </c>
      <c r="K14" s="53" t="s">
        <v>47</v>
      </c>
      <c r="L14" s="49"/>
      <c r="M14" s="49"/>
      <c r="N14" s="49"/>
      <c r="O14" s="49"/>
      <c r="P14" s="49"/>
      <c r="Q14" s="49"/>
      <c r="R14" s="49"/>
      <c r="S14" s="50"/>
    </row>
    <row r="15" spans="1:19" x14ac:dyDescent="0.25">
      <c r="A15" s="20"/>
      <c r="B15" s="20"/>
      <c r="C15" s="20"/>
      <c r="D15" s="19"/>
      <c r="E15" s="19"/>
      <c r="F15" s="19"/>
      <c r="G15" s="19"/>
      <c r="H15" s="19"/>
      <c r="I15" s="19"/>
      <c r="J15" s="17">
        <f>0.5/1000</f>
        <v>5.0000000000000001E-4</v>
      </c>
      <c r="K15" s="53">
        <f>2*A2*J15</f>
        <v>2.9999999999999997E-4</v>
      </c>
      <c r="L15" s="49"/>
      <c r="M15" s="49"/>
      <c r="N15" s="49"/>
      <c r="O15" s="49"/>
      <c r="P15" s="49"/>
      <c r="Q15" s="49"/>
      <c r="R15" s="49"/>
      <c r="S15" s="50"/>
    </row>
    <row r="16" spans="1:19" x14ac:dyDescent="0.25">
      <c r="J16" s="17">
        <f t="shared" ref="J16:J20" si="5">0.5/1000</f>
        <v>5.0000000000000001E-4</v>
      </c>
      <c r="K16" s="62">
        <f>2*A3*J16</f>
        <v>2.5000000000000001E-4</v>
      </c>
      <c r="L16" s="49"/>
      <c r="M16" s="49"/>
      <c r="N16" s="49"/>
      <c r="O16" s="49"/>
      <c r="P16" s="49"/>
      <c r="Q16" s="49"/>
      <c r="R16" s="49"/>
      <c r="S16" s="50"/>
    </row>
    <row r="17" spans="10:19" x14ac:dyDescent="0.25">
      <c r="J17" s="17">
        <f t="shared" si="5"/>
        <v>5.0000000000000001E-4</v>
      </c>
      <c r="K17" s="53">
        <f>2*A4*J17</f>
        <v>2.0000000000000001E-4</v>
      </c>
      <c r="L17" s="49"/>
      <c r="M17" s="49"/>
      <c r="N17" s="49"/>
      <c r="O17" s="49"/>
      <c r="P17" s="49"/>
      <c r="Q17" s="49"/>
      <c r="R17" s="49"/>
      <c r="S17" s="50"/>
    </row>
    <row r="18" spans="10:19" x14ac:dyDescent="0.25">
      <c r="J18" s="17">
        <f t="shared" si="5"/>
        <v>5.0000000000000001E-4</v>
      </c>
      <c r="K18" s="62">
        <f>2*A5*J18</f>
        <v>1.4999999999999999E-4</v>
      </c>
      <c r="L18" s="49"/>
      <c r="M18" s="49"/>
      <c r="N18" s="49"/>
      <c r="O18" s="49"/>
      <c r="P18" s="49"/>
      <c r="Q18" s="49"/>
      <c r="R18" s="49"/>
      <c r="S18" s="50"/>
    </row>
    <row r="19" spans="10:19" x14ac:dyDescent="0.25">
      <c r="J19" s="17">
        <f t="shared" si="5"/>
        <v>5.0000000000000001E-4</v>
      </c>
      <c r="K19" s="53">
        <f>2*A6*J19</f>
        <v>1E-4</v>
      </c>
      <c r="L19" s="50"/>
      <c r="M19" s="50"/>
      <c r="N19" s="50"/>
      <c r="O19" s="50"/>
      <c r="P19" s="50"/>
      <c r="Q19" s="50"/>
      <c r="R19" s="50"/>
      <c r="S19" s="50"/>
    </row>
    <row r="20" spans="10:19" x14ac:dyDescent="0.25">
      <c r="J20" s="17">
        <f t="shared" si="5"/>
        <v>5.0000000000000001E-4</v>
      </c>
      <c r="K20" s="53">
        <f>2*A7*J20</f>
        <v>5.0000000000000002E-5</v>
      </c>
      <c r="L20" s="50"/>
      <c r="M20" s="50"/>
      <c r="N20" s="50"/>
      <c r="O20" s="50"/>
      <c r="P20" s="50"/>
      <c r="Q20" s="50"/>
      <c r="R20" s="50"/>
      <c r="S20" s="50"/>
    </row>
  </sheetData>
  <mergeCells count="11">
    <mergeCell ref="M10:O10"/>
    <mergeCell ref="M11:O11"/>
    <mergeCell ref="Q3:S7"/>
    <mergeCell ref="M9:O9"/>
    <mergeCell ref="C1:G1"/>
    <mergeCell ref="M1:O1"/>
    <mergeCell ref="M2:O2"/>
    <mergeCell ref="M4:O4"/>
    <mergeCell ref="N5:O5"/>
    <mergeCell ref="N6:O6"/>
    <mergeCell ref="N7:O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8A39-AC27-463B-9D83-0C3E474AC710}">
  <dimension ref="A1:S19"/>
  <sheetViews>
    <sheetView workbookViewId="0">
      <selection activeCell="M16" sqref="M16"/>
    </sheetView>
  </sheetViews>
  <sheetFormatPr defaultRowHeight="15" x14ac:dyDescent="0.25"/>
  <cols>
    <col min="5" max="5" width="9.5703125" customWidth="1"/>
    <col min="6" max="6" width="11.28515625" customWidth="1"/>
    <col min="7" max="7" width="10.140625" customWidth="1"/>
    <col min="10" max="10" width="11.5703125" bestFit="1" customWidth="1"/>
  </cols>
  <sheetData>
    <row r="1" spans="1:19" ht="17.25" x14ac:dyDescent="0.25">
      <c r="A1" s="2" t="s">
        <v>15</v>
      </c>
      <c r="B1" s="8" t="s">
        <v>29</v>
      </c>
      <c r="C1" s="36" t="s">
        <v>6</v>
      </c>
      <c r="D1" s="37"/>
      <c r="E1" s="38"/>
      <c r="F1" s="2" t="s">
        <v>2</v>
      </c>
      <c r="G1" s="15" t="s">
        <v>45</v>
      </c>
      <c r="H1" s="9" t="s">
        <v>28</v>
      </c>
      <c r="I1" s="8" t="s">
        <v>13</v>
      </c>
      <c r="J1" s="15" t="s">
        <v>43</v>
      </c>
      <c r="O1" s="14"/>
      <c r="P1" s="14"/>
      <c r="Q1" s="14"/>
    </row>
    <row r="2" spans="1:19" x14ac:dyDescent="0.25">
      <c r="A2" s="2">
        <f>0/100</f>
        <v>0</v>
      </c>
      <c r="B2" s="7">
        <f>A2^2</f>
        <v>0</v>
      </c>
      <c r="C2" s="2">
        <v>10.73</v>
      </c>
      <c r="D2" s="2">
        <v>10.53</v>
      </c>
      <c r="E2" s="2">
        <v>10.31</v>
      </c>
      <c r="F2" s="13">
        <f>(SUM(C2:E2))/9</f>
        <v>3.5077777777777777</v>
      </c>
      <c r="G2" s="56">
        <f>SQRT((((C2/3)-F2)^2+((D2/3)-F2)^2+((E2/3)-F2)^2)/6)</f>
        <v>4.0429789774800461E-2</v>
      </c>
      <c r="H2" s="7">
        <f>(F2/(2*PI()))^2</f>
        <v>0.31167675111966731</v>
      </c>
      <c r="I2" s="27">
        <f>$M$5*H2</f>
        <v>1.3715770138003163E-2</v>
      </c>
      <c r="J2" s="61">
        <f>I2*((SQRT(($L$9/$M$5)^2+(G2/F2)^2)))</f>
        <v>1.6851473718859617E-4</v>
      </c>
      <c r="O2" s="19"/>
      <c r="P2" s="20"/>
      <c r="Q2" s="20"/>
    </row>
    <row r="3" spans="1:19" x14ac:dyDescent="0.25">
      <c r="A3" s="2">
        <f>4/100</f>
        <v>0.04</v>
      </c>
      <c r="B3" s="7">
        <f t="shared" ref="B3:B6" si="0">A3^2</f>
        <v>1.6000000000000001E-3</v>
      </c>
      <c r="C3" s="2">
        <v>10.87</v>
      </c>
      <c r="D3" s="2">
        <v>10.74</v>
      </c>
      <c r="E3" s="2">
        <v>10.47</v>
      </c>
      <c r="F3" s="13">
        <f t="shared" ref="F3:F6" si="1">(SUM(C3:E3))/9</f>
        <v>3.5644444444444443</v>
      </c>
      <c r="G3" s="56">
        <f t="shared" ref="G3:G6" si="2">SQRT((((C3/3)-F3)^2+((D3/3)-F3)^2+((E3/3)-F3)^2)/6)</f>
        <v>3.9267993437938298E-2</v>
      </c>
      <c r="H3" s="7">
        <f>(F3/(2*PI()))^2</f>
        <v>0.32182810174561099</v>
      </c>
      <c r="I3" s="27">
        <f>$M$5*H3</f>
        <v>1.4162494480693259E-2</v>
      </c>
      <c r="J3" s="61">
        <f t="shared" ref="J3:J6" si="3">I3*((SQRT(($L$9/$M$5)^2+(G3/F3)^2)))</f>
        <v>1.672570891775059E-4</v>
      </c>
      <c r="K3" s="35" t="s">
        <v>26</v>
      </c>
      <c r="L3" s="35"/>
      <c r="M3" s="30">
        <f>687/1000</f>
        <v>0.68700000000000006</v>
      </c>
      <c r="O3" s="19"/>
      <c r="P3" s="20"/>
      <c r="Q3" s="20"/>
    </row>
    <row r="4" spans="1:19" x14ac:dyDescent="0.25">
      <c r="A4" s="2">
        <f>8/100</f>
        <v>0.08</v>
      </c>
      <c r="B4" s="7">
        <f t="shared" si="0"/>
        <v>6.4000000000000003E-3</v>
      </c>
      <c r="C4" s="2">
        <v>12.99</v>
      </c>
      <c r="D4" s="2">
        <v>12.11</v>
      </c>
      <c r="E4" s="2">
        <v>12.15</v>
      </c>
      <c r="F4" s="60">
        <f t="shared" si="1"/>
        <v>4.1388888888888893</v>
      </c>
      <c r="G4" s="59">
        <f>SQRT((((C4/3)-F4)^2+((D4/3)-F4)^2+((E4/3)-F4)^2)/6)</f>
        <v>9.5633043517111313E-2</v>
      </c>
      <c r="H4" s="7">
        <f>(F4/(2*PI()))^2</f>
        <v>0.43391813233864618</v>
      </c>
      <c r="I4" s="27">
        <f>$M$5*H4</f>
        <v>1.9095172612292276E-2</v>
      </c>
      <c r="J4" s="61">
        <f t="shared" si="3"/>
        <v>4.4863237486988245E-4</v>
      </c>
      <c r="K4" s="36" t="s">
        <v>27</v>
      </c>
      <c r="L4" s="38"/>
      <c r="M4" s="7">
        <v>0.2</v>
      </c>
      <c r="O4" s="19"/>
      <c r="P4" s="20"/>
      <c r="Q4" s="20"/>
    </row>
    <row r="5" spans="1:19" x14ac:dyDescent="0.25">
      <c r="A5" s="2">
        <f>12/100</f>
        <v>0.12</v>
      </c>
      <c r="B5" s="7">
        <f t="shared" si="0"/>
        <v>1.44E-2</v>
      </c>
      <c r="C5" s="2">
        <v>13.78</v>
      </c>
      <c r="D5" s="2">
        <v>13.47</v>
      </c>
      <c r="E5" s="2">
        <v>13.76</v>
      </c>
      <c r="F5" s="13">
        <f t="shared" si="1"/>
        <v>4.5566666666666666</v>
      </c>
      <c r="G5" s="56">
        <f t="shared" si="2"/>
        <v>3.3388842669592578E-2</v>
      </c>
      <c r="H5" s="7">
        <f>(F5/(2*PI()))^2</f>
        <v>0.52593828149837929</v>
      </c>
      <c r="I5" s="27">
        <f>$M$5*H5</f>
        <v>2.3144647619348785E-2</v>
      </c>
      <c r="J5" s="61">
        <f t="shared" si="3"/>
        <v>1.9611531047211613E-4</v>
      </c>
      <c r="K5" s="35" t="s">
        <v>19</v>
      </c>
      <c r="L5" s="35"/>
      <c r="M5" s="7">
        <f>'Parte 1'!P11</f>
        <v>4.400639473021533E-2</v>
      </c>
      <c r="O5" s="24"/>
      <c r="P5" s="20"/>
      <c r="Q5" s="20"/>
    </row>
    <row r="6" spans="1:19" x14ac:dyDescent="0.25">
      <c r="A6" s="2">
        <f>16/100</f>
        <v>0.16</v>
      </c>
      <c r="B6" s="7">
        <f t="shared" si="0"/>
        <v>2.5600000000000001E-2</v>
      </c>
      <c r="C6" s="2">
        <v>15.38</v>
      </c>
      <c r="D6" s="2">
        <v>15.5</v>
      </c>
      <c r="E6" s="2">
        <v>15.41</v>
      </c>
      <c r="F6" s="13">
        <f t="shared" si="1"/>
        <v>5.1433333333333344</v>
      </c>
      <c r="G6" s="56">
        <f t="shared" si="2"/>
        <v>1.2018504251546663E-2</v>
      </c>
      <c r="H6" s="7">
        <f>(F6/(2*PI()))^2</f>
        <v>0.67008455209354545</v>
      </c>
      <c r="I6" s="27">
        <f>$M$5*H6</f>
        <v>2.9488005302048099E-2</v>
      </c>
      <c r="J6" s="61">
        <f t="shared" si="3"/>
        <v>1.4315501253392844E-4</v>
      </c>
      <c r="O6" s="24"/>
      <c r="P6" s="20"/>
      <c r="Q6" s="20"/>
    </row>
    <row r="7" spans="1:19" x14ac:dyDescent="0.25">
      <c r="K7" s="33" t="s">
        <v>31</v>
      </c>
      <c r="L7" s="33"/>
      <c r="M7" s="7">
        <v>1.4E-2</v>
      </c>
    </row>
    <row r="9" spans="1:19" x14ac:dyDescent="0.25">
      <c r="A9" s="11"/>
      <c r="B9" s="11"/>
      <c r="C9" s="11"/>
      <c r="D9" s="11"/>
      <c r="E9" s="11"/>
      <c r="K9" s="17" t="s">
        <v>44</v>
      </c>
      <c r="L9" s="17">
        <f>'Parte 1'!N13</f>
        <v>1.8726125417112908E-4</v>
      </c>
    </row>
    <row r="10" spans="1:19" x14ac:dyDescent="0.25">
      <c r="A10" s="19"/>
      <c r="B10" s="20"/>
      <c r="C10" s="20"/>
      <c r="D10" s="20"/>
      <c r="E10" s="20"/>
    </row>
    <row r="11" spans="1:19" x14ac:dyDescent="0.25">
      <c r="A11" s="19"/>
      <c r="B11" s="19"/>
      <c r="C11" s="19"/>
      <c r="D11" s="19"/>
      <c r="E11" s="19"/>
      <c r="J11" s="17" t="s">
        <v>48</v>
      </c>
      <c r="K11" s="17" t="s">
        <v>49</v>
      </c>
      <c r="M11" s="25"/>
      <c r="N11" s="25"/>
      <c r="O11" s="25"/>
      <c r="P11" s="25"/>
      <c r="Q11" s="25"/>
      <c r="R11" s="25"/>
      <c r="S11" s="25"/>
    </row>
    <row r="12" spans="1:19" x14ac:dyDescent="0.25">
      <c r="J12" s="17">
        <f>0.5/1000</f>
        <v>5.0000000000000001E-4</v>
      </c>
      <c r="K12" s="17">
        <f>2*A2*J12</f>
        <v>0</v>
      </c>
      <c r="M12" s="25"/>
      <c r="N12" s="25"/>
      <c r="O12" s="25"/>
      <c r="P12" s="25"/>
      <c r="Q12" s="25"/>
      <c r="R12" s="25"/>
      <c r="S12" s="25"/>
    </row>
    <row r="13" spans="1:19" x14ac:dyDescent="0.25">
      <c r="J13" s="17">
        <f t="shared" ref="J13:J16" si="4">0.5/1000</f>
        <v>5.0000000000000001E-4</v>
      </c>
      <c r="K13" s="17">
        <f t="shared" ref="K13:K16" si="5">2*A3*J13</f>
        <v>4.0000000000000003E-5</v>
      </c>
      <c r="M13" s="25"/>
      <c r="N13" s="25"/>
      <c r="O13" s="25"/>
      <c r="P13" s="25"/>
      <c r="Q13" s="25"/>
      <c r="R13" s="25"/>
      <c r="S13" s="25"/>
    </row>
    <row r="14" spans="1:19" x14ac:dyDescent="0.25">
      <c r="J14" s="17">
        <f t="shared" si="4"/>
        <v>5.0000000000000001E-4</v>
      </c>
      <c r="K14" s="17">
        <f t="shared" si="5"/>
        <v>8.0000000000000007E-5</v>
      </c>
      <c r="M14" s="25"/>
      <c r="N14" s="25"/>
      <c r="O14" s="25"/>
      <c r="P14" s="25"/>
      <c r="Q14" s="25"/>
      <c r="R14" s="25"/>
      <c r="S14" s="25"/>
    </row>
    <row r="15" spans="1:19" x14ac:dyDescent="0.25">
      <c r="J15" s="17">
        <f t="shared" si="4"/>
        <v>5.0000000000000001E-4</v>
      </c>
      <c r="K15" s="58">
        <f t="shared" si="5"/>
        <v>1.2E-4</v>
      </c>
      <c r="M15" s="25"/>
      <c r="N15" s="25"/>
      <c r="O15" s="25"/>
      <c r="P15" s="25"/>
      <c r="Q15" s="25"/>
      <c r="R15" s="25"/>
      <c r="S15" s="25"/>
    </row>
    <row r="16" spans="1:19" x14ac:dyDescent="0.25">
      <c r="J16" s="17">
        <f t="shared" si="4"/>
        <v>5.0000000000000001E-4</v>
      </c>
      <c r="K16" s="58">
        <f t="shared" si="5"/>
        <v>1.6000000000000001E-4</v>
      </c>
      <c r="M16" s="25"/>
      <c r="N16" s="25"/>
      <c r="O16" s="25"/>
      <c r="P16" s="25"/>
      <c r="Q16" s="25"/>
      <c r="R16" s="25"/>
      <c r="S16" s="25"/>
    </row>
    <row r="17" spans="13:19" x14ac:dyDescent="0.25">
      <c r="M17" s="25"/>
      <c r="N17" s="25"/>
      <c r="O17" s="25"/>
      <c r="P17" s="25"/>
      <c r="Q17" s="25"/>
      <c r="R17" s="25"/>
      <c r="S17" s="25"/>
    </row>
    <row r="18" spans="13:19" x14ac:dyDescent="0.25">
      <c r="M18" s="25"/>
      <c r="N18" s="25"/>
      <c r="O18" s="25"/>
      <c r="P18" s="25"/>
      <c r="Q18" s="25"/>
      <c r="R18" s="25"/>
      <c r="S18" s="25"/>
    </row>
    <row r="19" spans="13:19" x14ac:dyDescent="0.25">
      <c r="M19" s="25"/>
      <c r="N19" s="25"/>
      <c r="O19" s="25"/>
      <c r="P19" s="25"/>
      <c r="Q19" s="25"/>
      <c r="R19" s="25"/>
      <c r="S19" s="25"/>
    </row>
  </sheetData>
  <mergeCells count="5">
    <mergeCell ref="C1:E1"/>
    <mergeCell ref="K4:L4"/>
    <mergeCell ref="K7:L7"/>
    <mergeCell ref="K5:L5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B07C-9348-4EF5-95D4-6150E6CF1CAF}">
  <dimension ref="A1:S20"/>
  <sheetViews>
    <sheetView workbookViewId="0">
      <selection activeCell="K8" sqref="K8"/>
    </sheetView>
  </sheetViews>
  <sheetFormatPr defaultRowHeight="15" x14ac:dyDescent="0.25"/>
  <cols>
    <col min="1" max="1" width="15.5703125" customWidth="1"/>
    <col min="2" max="2" width="11.42578125" customWidth="1"/>
    <col min="5" max="5" width="9.5703125" customWidth="1"/>
    <col min="7" max="7" width="9.28515625" customWidth="1"/>
    <col min="8" max="8" width="9.5703125" bestFit="1" customWidth="1"/>
    <col min="10" max="10" width="10.140625" customWidth="1"/>
  </cols>
  <sheetData>
    <row r="1" spans="1:19" ht="18.75" customHeight="1" x14ac:dyDescent="0.25">
      <c r="A1" s="2" t="s">
        <v>7</v>
      </c>
      <c r="B1" s="2" t="s">
        <v>14</v>
      </c>
      <c r="C1" s="2" t="s">
        <v>12</v>
      </c>
      <c r="D1" s="35" t="s">
        <v>0</v>
      </c>
      <c r="E1" s="35"/>
      <c r="F1" s="35"/>
      <c r="G1" s="2" t="s">
        <v>2</v>
      </c>
      <c r="I1" s="15" t="s">
        <v>34</v>
      </c>
      <c r="K1" s="5">
        <f>8.7/200</f>
        <v>4.3499999999999997E-2</v>
      </c>
      <c r="L1" s="35" t="s">
        <v>37</v>
      </c>
      <c r="M1" s="35"/>
    </row>
    <row r="2" spans="1:19" ht="19.5" customHeight="1" x14ac:dyDescent="0.25">
      <c r="A2" s="2" t="s">
        <v>8</v>
      </c>
      <c r="B2" s="2">
        <f>332/1000</f>
        <v>0.33200000000000002</v>
      </c>
      <c r="C2" s="2">
        <f>8.9/200</f>
        <v>4.4500000000000005E-2</v>
      </c>
      <c r="D2" s="2">
        <v>3.65</v>
      </c>
      <c r="E2" s="2">
        <v>3.33</v>
      </c>
      <c r="F2" s="2">
        <v>3.43</v>
      </c>
      <c r="G2" s="12">
        <f>(SUM(D2:F2))/15</f>
        <v>0.69400000000000006</v>
      </c>
      <c r="I2" s="18">
        <f>(G2/(2*PI()))^2</f>
        <v>1.2199982401190251E-2</v>
      </c>
      <c r="K2" s="6">
        <f>9/200</f>
        <v>4.4999999999999998E-2</v>
      </c>
      <c r="L2" s="35" t="s">
        <v>38</v>
      </c>
      <c r="M2" s="35"/>
      <c r="O2" s="40" t="s">
        <v>33</v>
      </c>
      <c r="P2" s="41"/>
      <c r="Q2" s="42"/>
      <c r="R2" s="25"/>
    </row>
    <row r="3" spans="1:19" ht="18" customHeight="1" x14ac:dyDescent="0.25">
      <c r="A3" s="8" t="s">
        <v>9</v>
      </c>
      <c r="B3" s="8">
        <f>401/1000</f>
        <v>0.40100000000000002</v>
      </c>
      <c r="C3" s="29">
        <f>(K1+K2)/2</f>
        <v>4.4249999999999998E-2</v>
      </c>
      <c r="D3" s="8">
        <v>4.6399999999999997</v>
      </c>
      <c r="E3" s="8">
        <v>4.38</v>
      </c>
      <c r="F3" s="8">
        <v>4.5599999999999996</v>
      </c>
      <c r="G3" s="16">
        <f>(SUM(D3:F3))/15</f>
        <v>0.90533333333333321</v>
      </c>
      <c r="I3" s="18">
        <f>(G3/(2*PI()))^2</f>
        <v>2.0761431034509795E-2</v>
      </c>
      <c r="O3" s="43"/>
      <c r="P3" s="44"/>
      <c r="Q3" s="45"/>
      <c r="R3" s="25"/>
    </row>
    <row r="4" spans="1:19" x14ac:dyDescent="0.25">
      <c r="A4" s="15" t="s">
        <v>32</v>
      </c>
      <c r="B4" s="8">
        <v>0.13300000000000001</v>
      </c>
      <c r="C4" s="8">
        <f>0.044375/2</f>
        <v>2.2187499999999999E-2</v>
      </c>
      <c r="D4" s="26">
        <v>2.2999999999999998</v>
      </c>
      <c r="E4" s="8" t="s">
        <v>5</v>
      </c>
      <c r="F4" s="8" t="s">
        <v>5</v>
      </c>
      <c r="G4" s="7">
        <f>D4/5</f>
        <v>0.45999999999999996</v>
      </c>
      <c r="I4" s="18">
        <f>(G4/(2*PI()))^2</f>
        <v>5.3598906146796682E-3</v>
      </c>
      <c r="K4" s="8" t="s">
        <v>19</v>
      </c>
      <c r="L4" s="7">
        <f>'Parte 1'!P11</f>
        <v>4.400639473021533E-2</v>
      </c>
      <c r="O4" s="46"/>
      <c r="P4" s="47"/>
      <c r="Q4" s="48"/>
      <c r="R4" s="25"/>
    </row>
    <row r="5" spans="1:19" x14ac:dyDescent="0.25">
      <c r="M5" s="25"/>
      <c r="N5" s="25"/>
      <c r="O5" s="25"/>
      <c r="P5" s="25"/>
      <c r="Q5" s="25"/>
      <c r="R5" s="25"/>
    </row>
    <row r="6" spans="1:19" x14ac:dyDescent="0.25">
      <c r="M6" s="25"/>
      <c r="N6" s="25"/>
      <c r="O6" s="34" t="s">
        <v>35</v>
      </c>
      <c r="P6" s="34"/>
      <c r="Q6" s="34"/>
      <c r="R6" s="25"/>
    </row>
    <row r="7" spans="1:19" x14ac:dyDescent="0.25">
      <c r="A7" s="8" t="s">
        <v>7</v>
      </c>
      <c r="B7" s="8" t="s">
        <v>36</v>
      </c>
      <c r="C7" s="8" t="s">
        <v>16</v>
      </c>
      <c r="D7" s="8" t="s">
        <v>17</v>
      </c>
      <c r="E7" s="8" t="s">
        <v>18</v>
      </c>
      <c r="M7" s="25"/>
      <c r="N7" s="25"/>
      <c r="O7" s="34"/>
      <c r="P7" s="34"/>
      <c r="Q7" s="34"/>
      <c r="R7" s="25"/>
    </row>
    <row r="8" spans="1:19" x14ac:dyDescent="0.25">
      <c r="A8" s="8" t="s">
        <v>8</v>
      </c>
      <c r="B8" s="8">
        <f>(L4*I2)-B10</f>
        <v>3.010077791480885E-4</v>
      </c>
      <c r="C8" s="31">
        <f>(B2*(C2^2))</f>
        <v>6.5744300000000007E-4</v>
      </c>
      <c r="D8" s="31">
        <f>B8/C8</f>
        <v>0.45784619981973868</v>
      </c>
      <c r="E8" s="31">
        <f>1/2</f>
        <v>0.5</v>
      </c>
      <c r="G8" s="32"/>
      <c r="H8" s="32"/>
      <c r="I8" s="32"/>
      <c r="J8" s="32"/>
      <c r="K8" s="32"/>
      <c r="M8" s="25"/>
      <c r="N8" s="25"/>
      <c r="O8" s="34"/>
      <c r="P8" s="34"/>
      <c r="Q8" s="34"/>
      <c r="R8" s="25"/>
    </row>
    <row r="9" spans="1:19" x14ac:dyDescent="0.25">
      <c r="A9" s="8" t="s">
        <v>9</v>
      </c>
      <c r="B9" s="8">
        <f>(L4*I3)-B10</f>
        <v>6.7776626716841088E-4</v>
      </c>
      <c r="C9" s="31">
        <f>(B3*(C3^2))</f>
        <v>7.8518306249999992E-4</v>
      </c>
      <c r="D9" s="31">
        <f>B9/C9</f>
        <v>0.86319522101052826</v>
      </c>
      <c r="E9" s="31">
        <v>1</v>
      </c>
      <c r="G9" s="32"/>
      <c r="H9" s="32"/>
      <c r="I9" s="32"/>
      <c r="J9" s="32"/>
      <c r="K9" s="32"/>
      <c r="M9" s="25"/>
      <c r="N9" s="25"/>
      <c r="O9" s="34"/>
      <c r="P9" s="34"/>
      <c r="Q9" s="34"/>
      <c r="R9" s="25"/>
    </row>
    <row r="10" spans="1:19" x14ac:dyDescent="0.25">
      <c r="A10" s="15" t="s">
        <v>32</v>
      </c>
      <c r="B10" s="8">
        <f>L4*I4</f>
        <v>2.3586946210036995E-4</v>
      </c>
      <c r="C10" s="8" t="s">
        <v>5</v>
      </c>
      <c r="D10" s="8" t="s">
        <v>5</v>
      </c>
      <c r="E10" s="8" t="s">
        <v>5</v>
      </c>
      <c r="G10" s="32"/>
      <c r="H10" s="32"/>
      <c r="I10" s="32"/>
      <c r="J10" s="32"/>
      <c r="K10" s="32"/>
      <c r="M10" s="25"/>
      <c r="N10" s="25"/>
      <c r="O10" s="34"/>
      <c r="P10" s="34"/>
      <c r="Q10" s="34"/>
      <c r="R10" s="25"/>
    </row>
    <row r="11" spans="1:19" x14ac:dyDescent="0.25">
      <c r="A11" s="23"/>
      <c r="B11" s="23"/>
      <c r="C11" s="23"/>
      <c r="D11" s="23"/>
      <c r="G11" s="32"/>
      <c r="H11" s="32"/>
      <c r="I11" s="32"/>
      <c r="J11" s="32"/>
      <c r="K11" s="32"/>
      <c r="L11" s="25"/>
      <c r="M11" s="25"/>
      <c r="N11" s="25"/>
      <c r="O11" s="25"/>
      <c r="P11" s="25"/>
      <c r="Q11" s="25"/>
      <c r="R11" s="25"/>
      <c r="S11" s="25"/>
    </row>
    <row r="12" spans="1:19" x14ac:dyDescent="0.25">
      <c r="G12" s="32"/>
      <c r="H12" s="32"/>
      <c r="I12" s="32"/>
      <c r="J12" s="32"/>
      <c r="K12" s="32"/>
      <c r="L12" s="25"/>
      <c r="M12" s="25"/>
      <c r="N12" s="25"/>
      <c r="O12" s="25"/>
      <c r="P12" s="25"/>
      <c r="Q12" s="25"/>
      <c r="R12" s="25"/>
      <c r="S12" s="25"/>
    </row>
    <row r="13" spans="1:19" x14ac:dyDescent="0.25">
      <c r="G13" s="32"/>
      <c r="H13" s="32"/>
      <c r="I13" s="32"/>
      <c r="J13" s="32"/>
      <c r="K13" s="32"/>
      <c r="L13" s="25"/>
      <c r="M13" s="25"/>
      <c r="N13" s="25"/>
      <c r="O13" s="25"/>
      <c r="P13" s="25"/>
      <c r="Q13" s="25"/>
      <c r="R13" s="25"/>
      <c r="S13" s="25"/>
    </row>
    <row r="14" spans="1:19" x14ac:dyDescent="0.25">
      <c r="G14" s="32"/>
      <c r="H14" s="32"/>
      <c r="I14" s="32"/>
      <c r="J14" s="32"/>
      <c r="K14" s="32"/>
      <c r="L14" s="25"/>
      <c r="M14" s="25"/>
      <c r="N14" s="25"/>
      <c r="O14" s="25"/>
      <c r="P14" s="25"/>
      <c r="Q14" s="25"/>
      <c r="R14" s="25"/>
      <c r="S14" s="25"/>
    </row>
    <row r="15" spans="1:19" x14ac:dyDescent="0.25">
      <c r="L15" s="25"/>
      <c r="M15" s="25"/>
      <c r="N15" s="25"/>
      <c r="O15" s="25"/>
      <c r="P15" s="25"/>
      <c r="Q15" s="25"/>
      <c r="R15" s="25"/>
      <c r="S15" s="25"/>
    </row>
    <row r="16" spans="1:19" x14ac:dyDescent="0.25">
      <c r="L16" s="25"/>
      <c r="M16" s="25"/>
      <c r="N16" s="25"/>
      <c r="O16" s="25"/>
      <c r="P16" s="25"/>
      <c r="Q16" s="25"/>
      <c r="R16" s="25"/>
      <c r="S16" s="25"/>
    </row>
    <row r="17" spans="12:19" x14ac:dyDescent="0.25">
      <c r="L17" s="25"/>
      <c r="M17" s="25"/>
      <c r="N17" s="25"/>
      <c r="O17" s="25"/>
      <c r="P17" s="25"/>
      <c r="Q17" s="25"/>
      <c r="R17" s="25"/>
      <c r="S17" s="25"/>
    </row>
    <row r="18" spans="12:19" x14ac:dyDescent="0.25">
      <c r="L18" s="25"/>
      <c r="M18" s="25"/>
      <c r="N18" s="25"/>
      <c r="O18" s="25"/>
      <c r="P18" s="25"/>
      <c r="Q18" s="25"/>
      <c r="R18" s="25"/>
      <c r="S18" s="25"/>
    </row>
    <row r="19" spans="12:19" x14ac:dyDescent="0.25">
      <c r="L19" s="25"/>
      <c r="M19" s="25"/>
      <c r="N19" s="25"/>
      <c r="O19" s="25"/>
      <c r="P19" s="25"/>
      <c r="Q19" s="25"/>
      <c r="R19" s="25"/>
      <c r="S19" s="25"/>
    </row>
    <row r="20" spans="12:19" x14ac:dyDescent="0.25">
      <c r="L20" s="25"/>
      <c r="M20" s="25"/>
      <c r="N20" s="25"/>
      <c r="O20" s="25"/>
      <c r="P20" s="25"/>
      <c r="Q20" s="25"/>
      <c r="R20" s="25"/>
      <c r="S20" s="25"/>
    </row>
  </sheetData>
  <mergeCells count="5">
    <mergeCell ref="L1:M1"/>
    <mergeCell ref="L2:M2"/>
    <mergeCell ref="O2:Q4"/>
    <mergeCell ref="O6:Q10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1</vt:lpstr>
      <vt:lpstr>Parte 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de Almeida</dc:creator>
  <cp:lastModifiedBy>Lucas Moura de Almeida</cp:lastModifiedBy>
  <dcterms:created xsi:type="dcterms:W3CDTF">2019-10-16T00:59:36Z</dcterms:created>
  <dcterms:modified xsi:type="dcterms:W3CDTF">2019-10-21T02:22:03Z</dcterms:modified>
</cp:coreProperties>
</file>