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1505" windowHeight="2880" firstSheet="1" activeTab="6"/>
  </bookViews>
  <sheets>
    <sheet name="Macro" sheetId="1" r:id="rId1"/>
    <sheet name="Gerencial" sheetId="2" r:id="rId2"/>
    <sheet name="Operacional" sheetId="3" r:id="rId3"/>
    <sheet name="Gerencial Anual" sheetId="5" r:id="rId4"/>
    <sheet name="Multiplos" sheetId="11" r:id="rId5"/>
    <sheet name="Premissas" sheetId="8" r:id="rId6"/>
    <sheet name="DF" sheetId="6" r:id="rId7"/>
    <sheet name="Depreciação" sheetId="10" r:id="rId8"/>
    <sheet name="NCG" sheetId="9" r:id="rId9"/>
    <sheet name="Tabela Sensibilidade" sheetId="12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" i="6" l="1"/>
  <c r="C72" i="6"/>
  <c r="F23" i="6"/>
  <c r="G23" i="6" s="1"/>
  <c r="H23" i="6" s="1"/>
  <c r="I23" i="6" s="1"/>
  <c r="J23" i="6" s="1"/>
  <c r="K23" i="6" s="1"/>
  <c r="L23" i="6" s="1"/>
  <c r="M23" i="6" s="1"/>
  <c r="N23" i="6" s="1"/>
  <c r="O23" i="6" s="1"/>
  <c r="P23" i="6" s="1"/>
  <c r="C65" i="6"/>
  <c r="F10" i="6" l="1"/>
  <c r="G10" i="6" s="1"/>
  <c r="H10" i="6" s="1"/>
  <c r="I10" i="6" s="1"/>
  <c r="J10" i="6" s="1"/>
  <c r="H8" i="12"/>
  <c r="G8" i="12"/>
  <c r="F8" i="12"/>
  <c r="E8" i="12"/>
  <c r="D8" i="12"/>
  <c r="H7" i="12"/>
  <c r="G7" i="12"/>
  <c r="F7" i="12"/>
  <c r="E7" i="12"/>
  <c r="D7" i="12"/>
  <c r="H6" i="12"/>
  <c r="G6" i="12"/>
  <c r="F6" i="12"/>
  <c r="E6" i="12"/>
  <c r="D6" i="12"/>
  <c r="H5" i="12"/>
  <c r="G5" i="12"/>
  <c r="F5" i="12"/>
  <c r="E5" i="12"/>
  <c r="D5" i="12"/>
  <c r="H4" i="12"/>
  <c r="G4" i="12"/>
  <c r="F4" i="12"/>
  <c r="E4" i="12"/>
  <c r="D4" i="12"/>
  <c r="K10" i="6" l="1"/>
  <c r="L10" i="6" s="1"/>
  <c r="M10" i="6" s="1"/>
  <c r="N10" i="6" s="1"/>
  <c r="O10" i="6" s="1"/>
  <c r="P10" i="6" s="1"/>
  <c r="B95" i="6" l="1"/>
  <c r="B96" i="6" s="1"/>
  <c r="B93" i="6"/>
  <c r="B92" i="6" s="1"/>
  <c r="F91" i="6"/>
  <c r="G91" i="6" s="1"/>
  <c r="D91" i="6"/>
  <c r="C91" i="6" s="1"/>
  <c r="F83" i="6" l="1"/>
  <c r="G83" i="6" s="1"/>
  <c r="D83" i="6"/>
  <c r="C83" i="6" s="1"/>
  <c r="B87" i="6"/>
  <c r="B88" i="6" s="1"/>
  <c r="B85" i="6"/>
  <c r="B84" i="6" s="1"/>
  <c r="C7" i="11"/>
  <c r="T65" i="6" l="1"/>
  <c r="T64" i="6"/>
  <c r="T63" i="6"/>
  <c r="T62" i="6"/>
  <c r="T61" i="6"/>
  <c r="T60" i="6"/>
  <c r="T59" i="6"/>
  <c r="G79" i="6" l="1"/>
  <c r="C69" i="6"/>
  <c r="C68" i="6" s="1"/>
  <c r="C70" i="6"/>
  <c r="F20" i="6" l="1"/>
  <c r="G20" i="6" s="1"/>
  <c r="H20" i="6" s="1"/>
  <c r="I20" i="6" s="1"/>
  <c r="J20" i="6" s="1"/>
  <c r="K20" i="6" s="1"/>
  <c r="L20" i="6" s="1"/>
  <c r="M20" i="6" s="1"/>
  <c r="N20" i="6" s="1"/>
  <c r="O20" i="6" s="1"/>
  <c r="P20" i="6" s="1"/>
  <c r="G21" i="6"/>
  <c r="L16" i="8" l="1"/>
  <c r="K16" i="8"/>
  <c r="J16" i="8"/>
  <c r="F8" i="10" l="1"/>
  <c r="G9" i="10" s="1"/>
  <c r="H10" i="10" s="1"/>
  <c r="I11" i="10" s="1"/>
  <c r="J12" i="10" s="1"/>
  <c r="K13" i="10" s="1"/>
  <c r="L14" i="10" s="1"/>
  <c r="M15" i="10" s="1"/>
  <c r="N16" i="10" s="1"/>
  <c r="O6" i="10"/>
  <c r="N6" i="10"/>
  <c r="M6" i="10"/>
  <c r="L6" i="10"/>
  <c r="K6" i="10"/>
  <c r="J6" i="10"/>
  <c r="I6" i="10"/>
  <c r="H6" i="10"/>
  <c r="G6" i="10"/>
  <c r="F6" i="10"/>
  <c r="E6" i="10"/>
  <c r="F7" i="10" s="1"/>
  <c r="G8" i="10" s="1"/>
  <c r="H9" i="10" s="1"/>
  <c r="I10" i="10" s="1"/>
  <c r="J11" i="10" s="1"/>
  <c r="K12" i="10" s="1"/>
  <c r="L13" i="10" s="1"/>
  <c r="M14" i="10" s="1"/>
  <c r="N15" i="10" s="1"/>
  <c r="O16" i="10" s="1"/>
  <c r="D3" i="10"/>
  <c r="M4" i="10" s="1"/>
  <c r="B3" i="10"/>
  <c r="B17" i="10" s="1"/>
  <c r="E4" i="10" l="1"/>
  <c r="E3" i="10" s="1"/>
  <c r="E17" i="10" s="1"/>
  <c r="I4" i="10"/>
  <c r="F4" i="10"/>
  <c r="J4" i="10"/>
  <c r="N4" i="10"/>
  <c r="G7" i="10"/>
  <c r="G4" i="10"/>
  <c r="K4" i="10"/>
  <c r="O4" i="10"/>
  <c r="H4" i="10"/>
  <c r="L4" i="10"/>
  <c r="E27" i="6"/>
  <c r="D27" i="6"/>
  <c r="F22" i="6"/>
  <c r="P22" i="6"/>
  <c r="E28" i="6"/>
  <c r="D28" i="6"/>
  <c r="F13" i="6"/>
  <c r="G13" i="6" s="1"/>
  <c r="H13" i="6" s="1"/>
  <c r="I13" i="6" s="1"/>
  <c r="J13" i="6" s="1"/>
  <c r="K13" i="6" s="1"/>
  <c r="L13" i="6" s="1"/>
  <c r="M13" i="6" s="1"/>
  <c r="N13" i="6" s="1"/>
  <c r="O13" i="6" s="1"/>
  <c r="P13" i="6" s="1"/>
  <c r="F11" i="6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F12" i="6"/>
  <c r="G12" i="6" s="1"/>
  <c r="H12" i="6" s="1"/>
  <c r="I12" i="6" s="1"/>
  <c r="J12" i="6" s="1"/>
  <c r="K12" i="6" s="1"/>
  <c r="L12" i="6" s="1"/>
  <c r="M12" i="6" s="1"/>
  <c r="N12" i="6" s="1"/>
  <c r="O12" i="6" s="1"/>
  <c r="P12" i="6" s="1"/>
  <c r="F15" i="6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H21" i="6"/>
  <c r="I21" i="6" s="1"/>
  <c r="J21" i="6" s="1"/>
  <c r="K21" i="6" s="1"/>
  <c r="L21" i="6" s="1"/>
  <c r="M21" i="6" s="1"/>
  <c r="N21" i="6" s="1"/>
  <c r="O21" i="6" s="1"/>
  <c r="P21" i="6" s="1"/>
  <c r="F25" i="6"/>
  <c r="G25" i="6" s="1"/>
  <c r="H25" i="6" s="1"/>
  <c r="I25" i="6" s="1"/>
  <c r="J25" i="6" s="1"/>
  <c r="K25" i="6" s="1"/>
  <c r="L25" i="6" s="1"/>
  <c r="M25" i="6" s="1"/>
  <c r="N25" i="6" s="1"/>
  <c r="O25" i="6" s="1"/>
  <c r="P25" i="6" s="1"/>
  <c r="I22" i="6" l="1"/>
  <c r="M22" i="6"/>
  <c r="H22" i="6"/>
  <c r="J22" i="6"/>
  <c r="N22" i="6"/>
  <c r="L22" i="6"/>
  <c r="G22" i="6"/>
  <c r="K22" i="6"/>
  <c r="O22" i="6"/>
  <c r="F14" i="6"/>
  <c r="F8" i="6" s="1"/>
  <c r="F3" i="10"/>
  <c r="F17" i="10" s="1"/>
  <c r="G3" i="10"/>
  <c r="H7" i="10"/>
  <c r="H8" i="10"/>
  <c r="I9" i="10" s="1"/>
  <c r="J10" i="10" s="1"/>
  <c r="K11" i="10" s="1"/>
  <c r="L12" i="10" s="1"/>
  <c r="M13" i="10" s="1"/>
  <c r="N14" i="10" s="1"/>
  <c r="O15" i="10" s="1"/>
  <c r="G14" i="6" l="1"/>
  <c r="G8" i="6" s="1"/>
  <c r="H3" i="10"/>
  <c r="G17" i="10"/>
  <c r="I7" i="10"/>
  <c r="I8" i="10"/>
  <c r="J9" i="10" s="1"/>
  <c r="K10" i="10" s="1"/>
  <c r="L11" i="10" s="1"/>
  <c r="M12" i="10" s="1"/>
  <c r="N13" i="10" s="1"/>
  <c r="O14" i="10" s="1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H14" i="6" l="1"/>
  <c r="H8" i="6" s="1"/>
  <c r="I3" i="10"/>
  <c r="H17" i="10"/>
  <c r="J7" i="10"/>
  <c r="J8" i="10"/>
  <c r="K9" i="10" s="1"/>
  <c r="L10" i="10" s="1"/>
  <c r="M11" i="10" s="1"/>
  <c r="N12" i="10" s="1"/>
  <c r="O13" i="10" s="1"/>
  <c r="E10" i="9"/>
  <c r="D10" i="9"/>
  <c r="C10" i="9"/>
  <c r="B10" i="9"/>
  <c r="P2" i="9"/>
  <c r="P9" i="9" s="1"/>
  <c r="O2" i="9"/>
  <c r="O9" i="9" s="1"/>
  <c r="N2" i="9"/>
  <c r="N9" i="9" s="1"/>
  <c r="M2" i="9"/>
  <c r="M9" i="9" s="1"/>
  <c r="L2" i="9"/>
  <c r="L9" i="9" s="1"/>
  <c r="K2" i="9"/>
  <c r="K9" i="9" s="1"/>
  <c r="J2" i="9"/>
  <c r="J9" i="9" s="1"/>
  <c r="I2" i="9"/>
  <c r="I9" i="9" s="1"/>
  <c r="H2" i="9"/>
  <c r="H9" i="9" s="1"/>
  <c r="G2" i="9"/>
  <c r="G9" i="9" s="1"/>
  <c r="F2" i="9"/>
  <c r="F9" i="9" s="1"/>
  <c r="E2" i="9"/>
  <c r="E9" i="9" s="1"/>
  <c r="D2" i="9"/>
  <c r="D9" i="9" s="1"/>
  <c r="C2" i="9"/>
  <c r="C9" i="9" s="1"/>
  <c r="E6" i="9"/>
  <c r="E7" i="9" s="1"/>
  <c r="F7" i="9" s="1"/>
  <c r="D6" i="9"/>
  <c r="D7" i="9" s="1"/>
  <c r="C6" i="9"/>
  <c r="C7" i="9" s="1"/>
  <c r="B6" i="9"/>
  <c r="E3" i="9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D3" i="9"/>
  <c r="D4" i="9" s="1"/>
  <c r="C3" i="9"/>
  <c r="C4" i="9" s="1"/>
  <c r="B3" i="9"/>
  <c r="F18" i="6" l="1"/>
  <c r="F17" i="6" s="1"/>
  <c r="E11" i="9"/>
  <c r="F11" i="9" s="1"/>
  <c r="G11" i="9" s="1"/>
  <c r="H11" i="9" s="1"/>
  <c r="I11" i="9" s="1"/>
  <c r="J11" i="9" s="1"/>
  <c r="K11" i="9" s="1"/>
  <c r="L11" i="9" s="1"/>
  <c r="M11" i="9" s="1"/>
  <c r="N11" i="9" s="1"/>
  <c r="O11" i="9" s="1"/>
  <c r="P11" i="9" s="1"/>
  <c r="G18" i="6"/>
  <c r="G17" i="6" s="1"/>
  <c r="I14" i="6"/>
  <c r="I8" i="6" s="1"/>
  <c r="J3" i="10"/>
  <c r="I17" i="10"/>
  <c r="K7" i="10"/>
  <c r="K8" i="10"/>
  <c r="L9" i="10" s="1"/>
  <c r="M10" i="10" s="1"/>
  <c r="N11" i="10" s="1"/>
  <c r="O12" i="10" s="1"/>
  <c r="C11" i="9"/>
  <c r="H18" i="6"/>
  <c r="H17" i="6" s="1"/>
  <c r="D11" i="9"/>
  <c r="G7" i="9"/>
  <c r="J14" i="6" l="1"/>
  <c r="J8" i="6" s="1"/>
  <c r="K3" i="10"/>
  <c r="J17" i="10"/>
  <c r="L7" i="10"/>
  <c r="L8" i="10"/>
  <c r="M9" i="10" s="1"/>
  <c r="N10" i="10" s="1"/>
  <c r="O11" i="10" s="1"/>
  <c r="H7" i="9"/>
  <c r="K14" i="6" l="1"/>
  <c r="K8" i="6" s="1"/>
  <c r="L3" i="10"/>
  <c r="K17" i="10"/>
  <c r="M7" i="10"/>
  <c r="M8" i="10"/>
  <c r="N9" i="10" s="1"/>
  <c r="O10" i="10" s="1"/>
  <c r="I7" i="9"/>
  <c r="L14" i="6" l="1"/>
  <c r="L8" i="6" s="1"/>
  <c r="M3" i="10"/>
  <c r="L17" i="10"/>
  <c r="N7" i="10"/>
  <c r="N8" i="10"/>
  <c r="O9" i="10" s="1"/>
  <c r="J7" i="9"/>
  <c r="F40" i="6"/>
  <c r="F50" i="6" s="1"/>
  <c r="K7" i="5"/>
  <c r="K12" i="8"/>
  <c r="L12" i="8" s="1"/>
  <c r="M12" i="8" s="1"/>
  <c r="N12" i="8" s="1"/>
  <c r="O12" i="8" s="1"/>
  <c r="N7" i="8"/>
  <c r="M7" i="8"/>
  <c r="L7" i="8"/>
  <c r="J7" i="8"/>
  <c r="H7" i="8"/>
  <c r="F7" i="8"/>
  <c r="E7" i="8"/>
  <c r="C7" i="8"/>
  <c r="J3" i="1"/>
  <c r="I4" i="1"/>
  <c r="J4" i="1" s="1"/>
  <c r="K4" i="1" s="1"/>
  <c r="L4" i="1" s="1"/>
  <c r="M4" i="1" s="1"/>
  <c r="I3" i="1"/>
  <c r="M16" i="8" s="1"/>
  <c r="K3" i="1" l="1"/>
  <c r="N16" i="8"/>
  <c r="L7" i="5"/>
  <c r="G40" i="6"/>
  <c r="H40" i="6" s="1"/>
  <c r="M14" i="6"/>
  <c r="M8" i="6" s="1"/>
  <c r="N3" i="10"/>
  <c r="M17" i="10"/>
  <c r="O7" i="10"/>
  <c r="O8" i="10"/>
  <c r="K7" i="9"/>
  <c r="M7" i="5"/>
  <c r="L3" i="1" l="1"/>
  <c r="O16" i="8"/>
  <c r="G50" i="6"/>
  <c r="I40" i="6"/>
  <c r="H50" i="6"/>
  <c r="N14" i="6"/>
  <c r="N8" i="6" s="1"/>
  <c r="O3" i="10"/>
  <c r="O17" i="10" s="1"/>
  <c r="N17" i="10"/>
  <c r="L7" i="9"/>
  <c r="N7" i="5"/>
  <c r="B47" i="3"/>
  <c r="B46" i="3"/>
  <c r="G34" i="3"/>
  <c r="C34" i="3"/>
  <c r="B34" i="3"/>
  <c r="B25" i="3"/>
  <c r="E39" i="3"/>
  <c r="E40" i="3" s="1"/>
  <c r="H38" i="3"/>
  <c r="N36" i="3"/>
  <c r="F36" i="3"/>
  <c r="I35" i="3"/>
  <c r="E30" i="3"/>
  <c r="E31" i="3" s="1"/>
  <c r="N27" i="3"/>
  <c r="F27" i="3"/>
  <c r="I26" i="3"/>
  <c r="N25" i="3"/>
  <c r="N34" i="3" s="1"/>
  <c r="M25" i="3"/>
  <c r="M34" i="3" s="1"/>
  <c r="L25" i="3"/>
  <c r="L34" i="3" s="1"/>
  <c r="K25" i="3"/>
  <c r="K34" i="3" s="1"/>
  <c r="J25" i="3"/>
  <c r="J34" i="3" s="1"/>
  <c r="I25" i="3"/>
  <c r="I34" i="3" s="1"/>
  <c r="H25" i="3"/>
  <c r="H34" i="3" s="1"/>
  <c r="G25" i="3"/>
  <c r="F25" i="3"/>
  <c r="F34" i="3" s="1"/>
  <c r="E25" i="3"/>
  <c r="E34" i="3" s="1"/>
  <c r="D25" i="3"/>
  <c r="D34" i="3" s="1"/>
  <c r="C25" i="3"/>
  <c r="BA22" i="3"/>
  <c r="AK22" i="3"/>
  <c r="U22" i="3"/>
  <c r="E22" i="3"/>
  <c r="BJ21" i="3"/>
  <c r="N39" i="3" s="1"/>
  <c r="N40" i="3" s="1"/>
  <c r="BI21" i="3"/>
  <c r="M39" i="3" s="1"/>
  <c r="M40" i="3" s="1"/>
  <c r="BH21" i="3"/>
  <c r="L39" i="3" s="1"/>
  <c r="L40" i="3" s="1"/>
  <c r="BG21" i="3"/>
  <c r="K39" i="3" s="1"/>
  <c r="K40" i="3" s="1"/>
  <c r="BF21" i="3"/>
  <c r="J39" i="3" s="1"/>
  <c r="J40" i="3" s="1"/>
  <c r="BE21" i="3"/>
  <c r="I39" i="3" s="1"/>
  <c r="I40" i="3" s="1"/>
  <c r="BD21" i="3"/>
  <c r="H39" i="3" s="1"/>
  <c r="H40" i="3" s="1"/>
  <c r="BC21" i="3"/>
  <c r="G39" i="3" s="1"/>
  <c r="G40" i="3" s="1"/>
  <c r="BB21" i="3"/>
  <c r="F39" i="3" s="1"/>
  <c r="F40" i="3" s="1"/>
  <c r="BA21" i="3"/>
  <c r="AZ21" i="3"/>
  <c r="D39" i="3" s="1"/>
  <c r="D40" i="3" s="1"/>
  <c r="AY21" i="3"/>
  <c r="C39" i="3" s="1"/>
  <c r="C40" i="3" s="1"/>
  <c r="AX21" i="3"/>
  <c r="N38" i="3" s="1"/>
  <c r="AW21" i="3"/>
  <c r="M38" i="3" s="1"/>
  <c r="AV21" i="3"/>
  <c r="L38" i="3" s="1"/>
  <c r="AU21" i="3"/>
  <c r="K38" i="3" s="1"/>
  <c r="AT21" i="3"/>
  <c r="J38" i="3" s="1"/>
  <c r="AS21" i="3"/>
  <c r="I38" i="3" s="1"/>
  <c r="AR21" i="3"/>
  <c r="AQ21" i="3"/>
  <c r="G38" i="3" s="1"/>
  <c r="AP21" i="3"/>
  <c r="F38" i="3" s="1"/>
  <c r="AO21" i="3"/>
  <c r="E38" i="3" s="1"/>
  <c r="AN21" i="3"/>
  <c r="AM21" i="3"/>
  <c r="AM22" i="3" s="1"/>
  <c r="AL21" i="3"/>
  <c r="N37" i="3" s="1"/>
  <c r="AK21" i="3"/>
  <c r="M37" i="3" s="1"/>
  <c r="AJ21" i="3"/>
  <c r="AI21" i="3"/>
  <c r="AI22" i="3" s="1"/>
  <c r="AH21" i="3"/>
  <c r="J37" i="3" s="1"/>
  <c r="AG21" i="3"/>
  <c r="I37" i="3" s="1"/>
  <c r="AF21" i="3"/>
  <c r="AE21" i="3"/>
  <c r="G37" i="3" s="1"/>
  <c r="AD21" i="3"/>
  <c r="F37" i="3" s="1"/>
  <c r="AC21" i="3"/>
  <c r="E37" i="3" s="1"/>
  <c r="AB21" i="3"/>
  <c r="AA21" i="3"/>
  <c r="AA22" i="3" s="1"/>
  <c r="Z21" i="3"/>
  <c r="Y21" i="3"/>
  <c r="M36" i="3" s="1"/>
  <c r="X21" i="3"/>
  <c r="W21" i="3"/>
  <c r="W22" i="3" s="1"/>
  <c r="V21" i="3"/>
  <c r="U21" i="3"/>
  <c r="I36" i="3" s="1"/>
  <c r="T21" i="3"/>
  <c r="S21" i="3"/>
  <c r="S22" i="3" s="1"/>
  <c r="R21" i="3"/>
  <c r="Q21" i="3"/>
  <c r="E36" i="3" s="1"/>
  <c r="P21" i="3"/>
  <c r="O21" i="3"/>
  <c r="C36" i="3" s="1"/>
  <c r="N21" i="3"/>
  <c r="N35" i="3" s="1"/>
  <c r="M21" i="3"/>
  <c r="M35" i="3" s="1"/>
  <c r="L21" i="3"/>
  <c r="L35" i="3" s="1"/>
  <c r="K21" i="3"/>
  <c r="K35" i="3" s="1"/>
  <c r="J21" i="3"/>
  <c r="J35" i="3" s="1"/>
  <c r="I21" i="3"/>
  <c r="I22" i="3" s="1"/>
  <c r="H21" i="3"/>
  <c r="H35" i="3" s="1"/>
  <c r="G21" i="3"/>
  <c r="G35" i="3" s="1"/>
  <c r="F21" i="3"/>
  <c r="F35" i="3" s="1"/>
  <c r="E21" i="3"/>
  <c r="E35" i="3" s="1"/>
  <c r="D21" i="3"/>
  <c r="D35" i="3" s="1"/>
  <c r="C21" i="3"/>
  <c r="C35" i="3" s="1"/>
  <c r="BJ19" i="3"/>
  <c r="BI19" i="3"/>
  <c r="BI20" i="3" s="1"/>
  <c r="BH19" i="3"/>
  <c r="L30" i="3" s="1"/>
  <c r="L31" i="3" s="1"/>
  <c r="BG19" i="3"/>
  <c r="BG20" i="3" s="1"/>
  <c r="BF19" i="3"/>
  <c r="BE19" i="3"/>
  <c r="BE20" i="3" s="1"/>
  <c r="BD19" i="3"/>
  <c r="H30" i="3" s="1"/>
  <c r="H31" i="3" s="1"/>
  <c r="BC19" i="3"/>
  <c r="BC20" i="3" s="1"/>
  <c r="BB19" i="3"/>
  <c r="BA19" i="3"/>
  <c r="BA20" i="3" s="1"/>
  <c r="AZ19" i="3"/>
  <c r="D30" i="3" s="1"/>
  <c r="D31" i="3" s="1"/>
  <c r="AY19" i="3"/>
  <c r="AY20" i="3" s="1"/>
  <c r="AX19" i="3"/>
  <c r="N29" i="3" s="1"/>
  <c r="AW19" i="3"/>
  <c r="M29" i="3" s="1"/>
  <c r="AV19" i="3"/>
  <c r="L29" i="3" s="1"/>
  <c r="AU19" i="3"/>
  <c r="K29" i="3" s="1"/>
  <c r="AT19" i="3"/>
  <c r="J29" i="3" s="1"/>
  <c r="AS19" i="3"/>
  <c r="I29" i="3" s="1"/>
  <c r="AR19" i="3"/>
  <c r="H29" i="3" s="1"/>
  <c r="AQ19" i="3"/>
  <c r="G29" i="3" s="1"/>
  <c r="AP19" i="3"/>
  <c r="F29" i="3" s="1"/>
  <c r="AO19" i="3"/>
  <c r="E29" i="3" s="1"/>
  <c r="AN19" i="3"/>
  <c r="D29" i="3" s="1"/>
  <c r="AM19" i="3"/>
  <c r="AM20" i="3" s="1"/>
  <c r="AL19" i="3"/>
  <c r="N28" i="3" s="1"/>
  <c r="AK19" i="3"/>
  <c r="M28" i="3" s="1"/>
  <c r="AJ19" i="3"/>
  <c r="L28" i="3" s="1"/>
  <c r="AI19" i="3"/>
  <c r="AI20" i="3" s="1"/>
  <c r="AH19" i="3"/>
  <c r="J28" i="3" s="1"/>
  <c r="AG19" i="3"/>
  <c r="I28" i="3" s="1"/>
  <c r="AF19" i="3"/>
  <c r="H28" i="3" s="1"/>
  <c r="AE19" i="3"/>
  <c r="AE20" i="3" s="1"/>
  <c r="AD19" i="3"/>
  <c r="F28" i="3" s="1"/>
  <c r="AC19" i="3"/>
  <c r="E28" i="3" s="1"/>
  <c r="AB19" i="3"/>
  <c r="D28" i="3" s="1"/>
  <c r="AA19" i="3"/>
  <c r="AA20" i="3" s="1"/>
  <c r="Z19" i="3"/>
  <c r="Y19" i="3"/>
  <c r="M27" i="3" s="1"/>
  <c r="X19" i="3"/>
  <c r="L27" i="3" s="1"/>
  <c r="W19" i="3"/>
  <c r="W20" i="3" s="1"/>
  <c r="V19" i="3"/>
  <c r="U19" i="3"/>
  <c r="I27" i="3" s="1"/>
  <c r="T19" i="3"/>
  <c r="H27" i="3" s="1"/>
  <c r="S19" i="3"/>
  <c r="S20" i="3" s="1"/>
  <c r="R19" i="3"/>
  <c r="Q19" i="3"/>
  <c r="E27" i="3" s="1"/>
  <c r="P19" i="3"/>
  <c r="D27" i="3" s="1"/>
  <c r="O19" i="3"/>
  <c r="C27" i="3" s="1"/>
  <c r="N19" i="3"/>
  <c r="M19" i="3"/>
  <c r="M20" i="3" s="1"/>
  <c r="L19" i="3"/>
  <c r="L26" i="3" s="1"/>
  <c r="K19" i="3"/>
  <c r="K20" i="3" s="1"/>
  <c r="J19" i="3"/>
  <c r="I19" i="3"/>
  <c r="I20" i="3" s="1"/>
  <c r="H19" i="3"/>
  <c r="H26" i="3" s="1"/>
  <c r="G19" i="3"/>
  <c r="G20" i="3" s="1"/>
  <c r="F19" i="3"/>
  <c r="E19" i="3"/>
  <c r="E20" i="3" s="1"/>
  <c r="D19" i="3"/>
  <c r="D26" i="3" s="1"/>
  <c r="C19" i="3"/>
  <c r="C26" i="3" s="1"/>
  <c r="CH18" i="3"/>
  <c r="Z44" i="3" s="1"/>
  <c r="CG18" i="3"/>
  <c r="Y44" i="3" s="1"/>
  <c r="CF18" i="3"/>
  <c r="X44" i="3" s="1"/>
  <c r="CE18" i="3"/>
  <c r="W44" i="3" s="1"/>
  <c r="CD18" i="3"/>
  <c r="V44" i="3" s="1"/>
  <c r="CC18" i="3"/>
  <c r="U44" i="3" s="1"/>
  <c r="CB18" i="3"/>
  <c r="T44" i="3" s="1"/>
  <c r="CA18" i="3"/>
  <c r="S44" i="3" s="1"/>
  <c r="BZ18" i="3"/>
  <c r="R44" i="3" s="1"/>
  <c r="BY18" i="3"/>
  <c r="Q44" i="3" s="1"/>
  <c r="BX18" i="3"/>
  <c r="P44" i="3" s="1"/>
  <c r="BW18" i="3"/>
  <c r="O44" i="3" s="1"/>
  <c r="BV18" i="3"/>
  <c r="N44" i="3" s="1"/>
  <c r="BU18" i="3"/>
  <c r="M44" i="3" s="1"/>
  <c r="BT18" i="3"/>
  <c r="L44" i="3" s="1"/>
  <c r="BS18" i="3"/>
  <c r="K44" i="3" s="1"/>
  <c r="BR18" i="3"/>
  <c r="J44" i="3" s="1"/>
  <c r="BQ18" i="3"/>
  <c r="I44" i="3" s="1"/>
  <c r="BP18" i="3"/>
  <c r="H44" i="3" s="1"/>
  <c r="BO18" i="3"/>
  <c r="G44" i="3" s="1"/>
  <c r="BN18" i="3"/>
  <c r="F44" i="3" s="1"/>
  <c r="BM18" i="3"/>
  <c r="E44" i="3" s="1"/>
  <c r="BL18" i="3"/>
  <c r="D44" i="3" s="1"/>
  <c r="BK18" i="3"/>
  <c r="C44" i="3" s="1"/>
  <c r="M22" i="3" l="1"/>
  <c r="AC22" i="3"/>
  <c r="AS22" i="3"/>
  <c r="BI22" i="3"/>
  <c r="M30" i="3"/>
  <c r="M31" i="3" s="1"/>
  <c r="F20" i="3"/>
  <c r="J20" i="3"/>
  <c r="N20" i="3"/>
  <c r="R20" i="3"/>
  <c r="V20" i="3"/>
  <c r="Z20" i="3"/>
  <c r="BB20" i="3"/>
  <c r="BF20" i="3"/>
  <c r="BJ20" i="3"/>
  <c r="R22" i="3"/>
  <c r="V22" i="3"/>
  <c r="Z22" i="3"/>
  <c r="Q22" i="3"/>
  <c r="AG22" i="3"/>
  <c r="AW22" i="3"/>
  <c r="E26" i="3"/>
  <c r="J27" i="3"/>
  <c r="J36" i="3"/>
  <c r="P22" i="3"/>
  <c r="T22" i="3"/>
  <c r="X22" i="3"/>
  <c r="AB22" i="3"/>
  <c r="AF22" i="3"/>
  <c r="AJ22" i="3"/>
  <c r="AN22" i="3"/>
  <c r="AR22" i="3"/>
  <c r="AV22" i="3"/>
  <c r="Y22" i="3"/>
  <c r="AO22" i="3"/>
  <c r="BE22" i="3"/>
  <c r="M26" i="3"/>
  <c r="I30" i="3"/>
  <c r="I31" i="3" s="1"/>
  <c r="D38" i="3"/>
  <c r="P16" i="8"/>
  <c r="M3" i="1"/>
  <c r="J40" i="6"/>
  <c r="I50" i="6"/>
  <c r="P14" i="6"/>
  <c r="P8" i="6" s="1"/>
  <c r="O14" i="6"/>
  <c r="O8" i="6" s="1"/>
  <c r="M7" i="9"/>
  <c r="O7" i="5"/>
  <c r="C41" i="3"/>
  <c r="BW21" i="3" s="1"/>
  <c r="O47" i="3" s="1"/>
  <c r="L20" i="3"/>
  <c r="X20" i="3"/>
  <c r="AJ20" i="3"/>
  <c r="AV20" i="3"/>
  <c r="BD20" i="3"/>
  <c r="K28" i="3"/>
  <c r="C37" i="3"/>
  <c r="K37" i="3"/>
  <c r="Q20" i="3"/>
  <c r="U20" i="3"/>
  <c r="Y20" i="3"/>
  <c r="AC20" i="3"/>
  <c r="AG20" i="3"/>
  <c r="AK20" i="3"/>
  <c r="AO20" i="3"/>
  <c r="AS20" i="3"/>
  <c r="AW20" i="3"/>
  <c r="F22" i="3"/>
  <c r="J22" i="3"/>
  <c r="N22" i="3"/>
  <c r="AD22" i="3"/>
  <c r="AH22" i="3"/>
  <c r="AL22" i="3"/>
  <c r="AP22" i="3"/>
  <c r="AT22" i="3"/>
  <c r="AX22" i="3"/>
  <c r="BB22" i="3"/>
  <c r="BF22" i="3"/>
  <c r="BJ22" i="3"/>
  <c r="C29" i="3"/>
  <c r="F26" i="3"/>
  <c r="J26" i="3"/>
  <c r="N26" i="3"/>
  <c r="G27" i="3"/>
  <c r="K27" i="3"/>
  <c r="F30" i="3"/>
  <c r="F31" i="3" s="1"/>
  <c r="J30" i="3"/>
  <c r="J31" i="3" s="1"/>
  <c r="N30" i="3"/>
  <c r="N31" i="3" s="1"/>
  <c r="C38" i="3"/>
  <c r="G36" i="3"/>
  <c r="K36" i="3"/>
  <c r="D37" i="3"/>
  <c r="H37" i="3"/>
  <c r="L37" i="3"/>
  <c r="D20" i="3"/>
  <c r="P20" i="3"/>
  <c r="AB20" i="3"/>
  <c r="AN20" i="3"/>
  <c r="AZ20" i="3"/>
  <c r="BH20" i="3"/>
  <c r="AD20" i="3"/>
  <c r="AH20" i="3"/>
  <c r="AL20" i="3"/>
  <c r="AP20" i="3"/>
  <c r="AT20" i="3"/>
  <c r="AX20" i="3"/>
  <c r="G22" i="3"/>
  <c r="K22" i="3"/>
  <c r="O22" i="3"/>
  <c r="AE22" i="3"/>
  <c r="AQ22" i="3"/>
  <c r="AU22" i="3"/>
  <c r="AY22" i="3"/>
  <c r="BC22" i="3"/>
  <c r="BG22" i="3"/>
  <c r="C30" i="3"/>
  <c r="C31" i="3" s="1"/>
  <c r="G26" i="3"/>
  <c r="K26" i="3"/>
  <c r="G30" i="3"/>
  <c r="G31" i="3" s="1"/>
  <c r="K30" i="3"/>
  <c r="K31" i="3" s="1"/>
  <c r="D36" i="3"/>
  <c r="H36" i="3"/>
  <c r="L36" i="3"/>
  <c r="H20" i="3"/>
  <c r="T20" i="3"/>
  <c r="AF20" i="3"/>
  <c r="AR20" i="3"/>
  <c r="C28" i="3"/>
  <c r="G28" i="3"/>
  <c r="O20" i="3"/>
  <c r="AQ20" i="3"/>
  <c r="AU20" i="3"/>
  <c r="D22" i="3"/>
  <c r="H22" i="3"/>
  <c r="L22" i="3"/>
  <c r="AZ22" i="3"/>
  <c r="BD22" i="3"/>
  <c r="BH22" i="3"/>
  <c r="BK21" i="3"/>
  <c r="C47" i="3" s="1"/>
  <c r="BL21" i="3"/>
  <c r="D47" i="3" s="1"/>
  <c r="E35" i="6"/>
  <c r="D35" i="6"/>
  <c r="C35" i="6"/>
  <c r="Q16" i="8" l="1"/>
  <c r="K40" i="6"/>
  <c r="J50" i="6"/>
  <c r="N7" i="9"/>
  <c r="P7" i="5"/>
  <c r="D41" i="3"/>
  <c r="BX21" i="3" s="1"/>
  <c r="P47" i="3" s="1"/>
  <c r="BM21" i="3"/>
  <c r="E47" i="3" s="1"/>
  <c r="H62" i="5"/>
  <c r="I62" i="5" s="1"/>
  <c r="J62" i="5" s="1"/>
  <c r="K62" i="5" s="1"/>
  <c r="L62" i="5" s="1"/>
  <c r="M62" i="5" s="1"/>
  <c r="N62" i="5" s="1"/>
  <c r="O62" i="5" s="1"/>
  <c r="P62" i="5" s="1"/>
  <c r="Q62" i="5" s="1"/>
  <c r="R62" i="5" s="1"/>
  <c r="G62" i="5"/>
  <c r="F62" i="5"/>
  <c r="E62" i="5"/>
  <c r="H61" i="5"/>
  <c r="I61" i="5" s="1"/>
  <c r="J61" i="5" s="1"/>
  <c r="K61" i="5" s="1"/>
  <c r="L61" i="5" s="1"/>
  <c r="M61" i="5" s="1"/>
  <c r="N61" i="5" s="1"/>
  <c r="O61" i="5" s="1"/>
  <c r="P61" i="5" s="1"/>
  <c r="Q61" i="5" s="1"/>
  <c r="R61" i="5" s="1"/>
  <c r="G61" i="5"/>
  <c r="F61" i="5"/>
  <c r="E61" i="5"/>
  <c r="H60" i="5"/>
  <c r="I60" i="5" s="1"/>
  <c r="J60" i="5" s="1"/>
  <c r="K60" i="5" s="1"/>
  <c r="L60" i="5" s="1"/>
  <c r="M60" i="5" s="1"/>
  <c r="N60" i="5" s="1"/>
  <c r="O60" i="5" s="1"/>
  <c r="P60" i="5" s="1"/>
  <c r="Q60" i="5" s="1"/>
  <c r="R60" i="5" s="1"/>
  <c r="G60" i="5"/>
  <c r="F60" i="5"/>
  <c r="E60" i="5"/>
  <c r="H59" i="5"/>
  <c r="I59" i="5" s="1"/>
  <c r="J59" i="5" s="1"/>
  <c r="K59" i="5" s="1"/>
  <c r="L59" i="5" s="1"/>
  <c r="M59" i="5" s="1"/>
  <c r="N59" i="5" s="1"/>
  <c r="O59" i="5" s="1"/>
  <c r="P59" i="5" s="1"/>
  <c r="Q59" i="5" s="1"/>
  <c r="R59" i="5" s="1"/>
  <c r="G59" i="5"/>
  <c r="F59" i="5"/>
  <c r="E59" i="5"/>
  <c r="H58" i="5"/>
  <c r="G58" i="5"/>
  <c r="G63" i="5" s="1"/>
  <c r="F58" i="5"/>
  <c r="F63" i="5" s="1"/>
  <c r="E58" i="5"/>
  <c r="E63" i="5" s="1"/>
  <c r="H55" i="5"/>
  <c r="I55" i="5" s="1"/>
  <c r="J55" i="5" s="1"/>
  <c r="K55" i="5" s="1"/>
  <c r="L55" i="5" s="1"/>
  <c r="M55" i="5" s="1"/>
  <c r="N55" i="5" s="1"/>
  <c r="O55" i="5" s="1"/>
  <c r="P55" i="5" s="1"/>
  <c r="Q55" i="5" s="1"/>
  <c r="R55" i="5" s="1"/>
  <c r="G55" i="5"/>
  <c r="F55" i="5"/>
  <c r="E55" i="5"/>
  <c r="H54" i="5"/>
  <c r="G54" i="5"/>
  <c r="F54" i="5"/>
  <c r="E54" i="5"/>
  <c r="H53" i="5"/>
  <c r="G53" i="5"/>
  <c r="F53" i="5"/>
  <c r="E53" i="5"/>
  <c r="H52" i="5"/>
  <c r="F36" i="6" s="1"/>
  <c r="G52" i="5"/>
  <c r="G56" i="5" s="1"/>
  <c r="F52" i="5"/>
  <c r="F56" i="5" s="1"/>
  <c r="E52" i="5"/>
  <c r="E56" i="5" s="1"/>
  <c r="H49" i="5"/>
  <c r="I49" i="5" s="1"/>
  <c r="J49" i="5" s="1"/>
  <c r="K49" i="5" s="1"/>
  <c r="L49" i="5" s="1"/>
  <c r="M49" i="5" s="1"/>
  <c r="N49" i="5" s="1"/>
  <c r="O49" i="5" s="1"/>
  <c r="P49" i="5" s="1"/>
  <c r="Q49" i="5" s="1"/>
  <c r="R49" i="5" s="1"/>
  <c r="G49" i="5"/>
  <c r="F49" i="5"/>
  <c r="E49" i="5"/>
  <c r="H48" i="5"/>
  <c r="I48" i="5" s="1"/>
  <c r="J48" i="5" s="1"/>
  <c r="K48" i="5" s="1"/>
  <c r="L48" i="5" s="1"/>
  <c r="M48" i="5" s="1"/>
  <c r="N48" i="5" s="1"/>
  <c r="O48" i="5" s="1"/>
  <c r="P48" i="5" s="1"/>
  <c r="Q48" i="5" s="1"/>
  <c r="R48" i="5" s="1"/>
  <c r="G48" i="5"/>
  <c r="F48" i="5"/>
  <c r="E48" i="5"/>
  <c r="H47" i="5"/>
  <c r="G47" i="5"/>
  <c r="G50" i="5" s="1"/>
  <c r="F47" i="5"/>
  <c r="F50" i="5" s="1"/>
  <c r="E47" i="5"/>
  <c r="E50" i="5" s="1"/>
  <c r="H44" i="5"/>
  <c r="G44" i="5"/>
  <c r="F44" i="5"/>
  <c r="E44" i="5"/>
  <c r="H43" i="5"/>
  <c r="I43" i="5" s="1"/>
  <c r="J43" i="5" s="1"/>
  <c r="K43" i="5" s="1"/>
  <c r="L43" i="5" s="1"/>
  <c r="M43" i="5" s="1"/>
  <c r="N43" i="5" s="1"/>
  <c r="O43" i="5" s="1"/>
  <c r="P43" i="5" s="1"/>
  <c r="Q43" i="5" s="1"/>
  <c r="R43" i="5" s="1"/>
  <c r="G43" i="5"/>
  <c r="F43" i="5"/>
  <c r="E43" i="5"/>
  <c r="H42" i="5"/>
  <c r="G42" i="5"/>
  <c r="G45" i="5" s="1"/>
  <c r="F42" i="5"/>
  <c r="F45" i="5" s="1"/>
  <c r="E42" i="5"/>
  <c r="E45" i="5" s="1"/>
  <c r="H39" i="5"/>
  <c r="I39" i="5" s="1"/>
  <c r="J39" i="5" s="1"/>
  <c r="K39" i="5" s="1"/>
  <c r="L39" i="5" s="1"/>
  <c r="M39" i="5" s="1"/>
  <c r="N39" i="5" s="1"/>
  <c r="O39" i="5" s="1"/>
  <c r="P39" i="5" s="1"/>
  <c r="Q39" i="5" s="1"/>
  <c r="R39" i="5" s="1"/>
  <c r="G39" i="5"/>
  <c r="F39" i="5"/>
  <c r="E39" i="5"/>
  <c r="H38" i="5"/>
  <c r="I38" i="5" s="1"/>
  <c r="J38" i="5" s="1"/>
  <c r="K38" i="5" s="1"/>
  <c r="L38" i="5" s="1"/>
  <c r="M38" i="5" s="1"/>
  <c r="N38" i="5" s="1"/>
  <c r="O38" i="5" s="1"/>
  <c r="P38" i="5" s="1"/>
  <c r="Q38" i="5" s="1"/>
  <c r="R38" i="5" s="1"/>
  <c r="G38" i="5"/>
  <c r="F38" i="5"/>
  <c r="E38" i="5"/>
  <c r="H37" i="5"/>
  <c r="I37" i="5" s="1"/>
  <c r="J37" i="5" s="1"/>
  <c r="K37" i="5" s="1"/>
  <c r="L37" i="5" s="1"/>
  <c r="M37" i="5" s="1"/>
  <c r="N37" i="5" s="1"/>
  <c r="O37" i="5" s="1"/>
  <c r="P37" i="5" s="1"/>
  <c r="Q37" i="5" s="1"/>
  <c r="R37" i="5" s="1"/>
  <c r="G37" i="5"/>
  <c r="F37" i="5"/>
  <c r="E37" i="5"/>
  <c r="H36" i="5"/>
  <c r="H40" i="5" s="1"/>
  <c r="G36" i="5"/>
  <c r="G40" i="5" s="1"/>
  <c r="F36" i="5"/>
  <c r="F40" i="5" s="1"/>
  <c r="E36" i="5"/>
  <c r="E40" i="5" s="1"/>
  <c r="H32" i="5"/>
  <c r="G32" i="5"/>
  <c r="F32" i="5"/>
  <c r="E32" i="5"/>
  <c r="H31" i="5"/>
  <c r="G31" i="5"/>
  <c r="F31" i="5"/>
  <c r="E31" i="5"/>
  <c r="H30" i="5"/>
  <c r="G30" i="5"/>
  <c r="F30" i="5"/>
  <c r="E30" i="5"/>
  <c r="H29" i="5"/>
  <c r="G29" i="5"/>
  <c r="F29" i="5"/>
  <c r="E29" i="5"/>
  <c r="H28" i="5"/>
  <c r="H33" i="5" s="1"/>
  <c r="F31" i="6" s="1"/>
  <c r="G28" i="5"/>
  <c r="G33" i="5" s="1"/>
  <c r="F28" i="5"/>
  <c r="F33" i="5" s="1"/>
  <c r="E28" i="5"/>
  <c r="E33" i="5" s="1"/>
  <c r="H25" i="5"/>
  <c r="I25" i="5" s="1"/>
  <c r="J25" i="5" s="1"/>
  <c r="K25" i="5" s="1"/>
  <c r="L25" i="5" s="1"/>
  <c r="M25" i="5" s="1"/>
  <c r="N25" i="5" s="1"/>
  <c r="O25" i="5" s="1"/>
  <c r="P25" i="5" s="1"/>
  <c r="Q25" i="5" s="1"/>
  <c r="R25" i="5" s="1"/>
  <c r="G25" i="5"/>
  <c r="F25" i="5"/>
  <c r="E25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G24" i="5"/>
  <c r="F24" i="5"/>
  <c r="E24" i="5"/>
  <c r="H23" i="5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G23" i="5"/>
  <c r="F23" i="5"/>
  <c r="E23" i="5"/>
  <c r="H22" i="5"/>
  <c r="G22" i="5"/>
  <c r="F22" i="5"/>
  <c r="E22" i="5"/>
  <c r="H21" i="5"/>
  <c r="I21" i="5" s="1"/>
  <c r="J21" i="5" s="1"/>
  <c r="K21" i="5" s="1"/>
  <c r="L21" i="5" s="1"/>
  <c r="M21" i="5" s="1"/>
  <c r="N21" i="5" s="1"/>
  <c r="O21" i="5" s="1"/>
  <c r="P21" i="5" s="1"/>
  <c r="Q21" i="5" s="1"/>
  <c r="R21" i="5" s="1"/>
  <c r="G21" i="5"/>
  <c r="F21" i="5"/>
  <c r="E21" i="5"/>
  <c r="H20" i="5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G20" i="5"/>
  <c r="F20" i="5"/>
  <c r="E20" i="5"/>
  <c r="H19" i="5"/>
  <c r="G19" i="5"/>
  <c r="F19" i="5"/>
  <c r="E19" i="5"/>
  <c r="H18" i="5"/>
  <c r="I18" i="5" s="1"/>
  <c r="J18" i="5" s="1"/>
  <c r="K18" i="5" s="1"/>
  <c r="L18" i="5" s="1"/>
  <c r="M18" i="5" s="1"/>
  <c r="N18" i="5" s="1"/>
  <c r="O18" i="5" s="1"/>
  <c r="P18" i="5" s="1"/>
  <c r="Q18" i="5" s="1"/>
  <c r="R18" i="5" s="1"/>
  <c r="G18" i="5"/>
  <c r="F18" i="5"/>
  <c r="E18" i="5"/>
  <c r="H17" i="5"/>
  <c r="G17" i="5"/>
  <c r="F17" i="5"/>
  <c r="E17" i="5"/>
  <c r="H16" i="5"/>
  <c r="G16" i="5"/>
  <c r="F16" i="5"/>
  <c r="E16" i="5"/>
  <c r="H15" i="5"/>
  <c r="G15" i="5"/>
  <c r="F15" i="5"/>
  <c r="E15" i="5"/>
  <c r="H14" i="5"/>
  <c r="H26" i="5" s="1"/>
  <c r="F30" i="6" s="1"/>
  <c r="F32" i="6" s="1"/>
  <c r="G14" i="5"/>
  <c r="G26" i="5" s="1"/>
  <c r="F14" i="5"/>
  <c r="F26" i="5" s="1"/>
  <c r="E14" i="5"/>
  <c r="E26" i="5" s="1"/>
  <c r="H8" i="5"/>
  <c r="G8" i="5"/>
  <c r="F8" i="5"/>
  <c r="E8" i="5"/>
  <c r="H6" i="5"/>
  <c r="G6" i="5"/>
  <c r="F6" i="5"/>
  <c r="E6" i="5"/>
  <c r="H5" i="5"/>
  <c r="G11" i="8" s="1"/>
  <c r="G5" i="5"/>
  <c r="F11" i="8" s="1"/>
  <c r="F5" i="5"/>
  <c r="E11" i="8" s="1"/>
  <c r="E5" i="5"/>
  <c r="D11" i="8" s="1"/>
  <c r="H4" i="5"/>
  <c r="G10" i="8" s="1"/>
  <c r="G4" i="5"/>
  <c r="F10" i="8" s="1"/>
  <c r="F4" i="5"/>
  <c r="E10" i="8" s="1"/>
  <c r="E4" i="5"/>
  <c r="D10" i="8" s="1"/>
  <c r="D62" i="5"/>
  <c r="D61" i="5"/>
  <c r="D60" i="5"/>
  <c r="D59" i="5"/>
  <c r="D58" i="5"/>
  <c r="D55" i="5"/>
  <c r="D54" i="5"/>
  <c r="D53" i="5"/>
  <c r="D52" i="5"/>
  <c r="D49" i="5"/>
  <c r="D48" i="5"/>
  <c r="D47" i="5"/>
  <c r="D50" i="5" s="1"/>
  <c r="D44" i="5"/>
  <c r="D43" i="5"/>
  <c r="D42" i="5"/>
  <c r="D39" i="5"/>
  <c r="D38" i="5"/>
  <c r="D37" i="5"/>
  <c r="D36" i="5"/>
  <c r="D32" i="5"/>
  <c r="D31" i="5"/>
  <c r="D30" i="5"/>
  <c r="D29" i="5"/>
  <c r="D28" i="5"/>
  <c r="D25" i="5"/>
  <c r="D24" i="5"/>
  <c r="D23" i="5"/>
  <c r="D22" i="5"/>
  <c r="D21" i="5"/>
  <c r="D20" i="5"/>
  <c r="D19" i="5"/>
  <c r="D18" i="5"/>
  <c r="D17" i="5"/>
  <c r="D16" i="5"/>
  <c r="D15" i="5"/>
  <c r="D14" i="5"/>
  <c r="D26" i="5" s="1"/>
  <c r="D8" i="5"/>
  <c r="D6" i="5"/>
  <c r="D5" i="5"/>
  <c r="C11" i="8" s="1"/>
  <c r="D4" i="5"/>
  <c r="C10" i="8" s="1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J2" i="3"/>
  <c r="BJ18" i="3" s="1"/>
  <c r="BI2" i="3"/>
  <c r="BI18" i="3" s="1"/>
  <c r="BH2" i="3"/>
  <c r="BH18" i="3" s="1"/>
  <c r="BG2" i="3"/>
  <c r="BG18" i="3" s="1"/>
  <c r="BF2" i="3"/>
  <c r="BF18" i="3" s="1"/>
  <c r="BE2" i="3"/>
  <c r="BE18" i="3" s="1"/>
  <c r="BD2" i="3"/>
  <c r="BD18" i="3" s="1"/>
  <c r="BC2" i="3"/>
  <c r="BC18" i="3" s="1"/>
  <c r="BB2" i="3"/>
  <c r="BB18" i="3" s="1"/>
  <c r="BA2" i="3"/>
  <c r="BA18" i="3" s="1"/>
  <c r="AZ2" i="3"/>
  <c r="AZ18" i="3" s="1"/>
  <c r="AY2" i="3"/>
  <c r="AY18" i="3" s="1"/>
  <c r="AX2" i="3"/>
  <c r="AX18" i="3" s="1"/>
  <c r="AW2" i="3"/>
  <c r="AW18" i="3" s="1"/>
  <c r="AV2" i="3"/>
  <c r="AV18" i="3" s="1"/>
  <c r="AU2" i="3"/>
  <c r="AU18" i="3" s="1"/>
  <c r="AT2" i="3"/>
  <c r="AT18" i="3" s="1"/>
  <c r="AS2" i="3"/>
  <c r="AS18" i="3" s="1"/>
  <c r="AR2" i="3"/>
  <c r="AR18" i="3" s="1"/>
  <c r="AQ2" i="3"/>
  <c r="AQ18" i="3" s="1"/>
  <c r="AP2" i="3"/>
  <c r="AP18" i="3" s="1"/>
  <c r="AO2" i="3"/>
  <c r="AO18" i="3" s="1"/>
  <c r="AN2" i="3"/>
  <c r="AN18" i="3" s="1"/>
  <c r="AM2" i="3"/>
  <c r="AM18" i="3" s="1"/>
  <c r="AL2" i="3"/>
  <c r="AL18" i="3" s="1"/>
  <c r="AK2" i="3"/>
  <c r="AK18" i="3" s="1"/>
  <c r="AJ2" i="3"/>
  <c r="AJ18" i="3" s="1"/>
  <c r="AI2" i="3"/>
  <c r="AI18" i="3" s="1"/>
  <c r="AH2" i="3"/>
  <c r="AH18" i="3" s="1"/>
  <c r="AG2" i="3"/>
  <c r="AG18" i="3" s="1"/>
  <c r="AF2" i="3"/>
  <c r="AF18" i="3" s="1"/>
  <c r="AE2" i="3"/>
  <c r="AE18" i="3" s="1"/>
  <c r="AD2" i="3"/>
  <c r="AD18" i="3" s="1"/>
  <c r="AC2" i="3"/>
  <c r="AC18" i="3" s="1"/>
  <c r="AB2" i="3"/>
  <c r="AB18" i="3" s="1"/>
  <c r="AA2" i="3"/>
  <c r="AA18" i="3" s="1"/>
  <c r="Z2" i="3"/>
  <c r="Z18" i="3" s="1"/>
  <c r="Y2" i="3"/>
  <c r="Y18" i="3" s="1"/>
  <c r="X2" i="3"/>
  <c r="X18" i="3" s="1"/>
  <c r="W2" i="3"/>
  <c r="W18" i="3" s="1"/>
  <c r="V2" i="3"/>
  <c r="V18" i="3" s="1"/>
  <c r="U2" i="3"/>
  <c r="U18" i="3" s="1"/>
  <c r="T2" i="3"/>
  <c r="T18" i="3" s="1"/>
  <c r="S2" i="3"/>
  <c r="S18" i="3" s="1"/>
  <c r="R2" i="3"/>
  <c r="R18" i="3" s="1"/>
  <c r="Q2" i="3"/>
  <c r="Q18" i="3" s="1"/>
  <c r="P2" i="3"/>
  <c r="P18" i="3" s="1"/>
  <c r="O2" i="3"/>
  <c r="O18" i="3" s="1"/>
  <c r="N2" i="3"/>
  <c r="N18" i="3" s="1"/>
  <c r="M2" i="3"/>
  <c r="M18" i="3" s="1"/>
  <c r="L2" i="3"/>
  <c r="L18" i="3" s="1"/>
  <c r="K2" i="3"/>
  <c r="K18" i="3" s="1"/>
  <c r="J2" i="3"/>
  <c r="J18" i="3" s="1"/>
  <c r="I2" i="3"/>
  <c r="I18" i="3" s="1"/>
  <c r="H2" i="3"/>
  <c r="H18" i="3" s="1"/>
  <c r="G2" i="3"/>
  <c r="G18" i="3" s="1"/>
  <c r="F2" i="3"/>
  <c r="F18" i="3" s="1"/>
  <c r="E2" i="3"/>
  <c r="E18" i="3" s="1"/>
  <c r="D2" i="3"/>
  <c r="D18" i="3" s="1"/>
  <c r="C2" i="3"/>
  <c r="C18" i="3" s="1"/>
  <c r="E67" i="5" l="1"/>
  <c r="E69" i="5" s="1"/>
  <c r="E74" i="5"/>
  <c r="E75" i="5" s="1"/>
  <c r="G67" i="5"/>
  <c r="G69" i="5" s="1"/>
  <c r="G74" i="5"/>
  <c r="G75" i="5" s="1"/>
  <c r="F3" i="9"/>
  <c r="I53" i="5"/>
  <c r="F37" i="6"/>
  <c r="F35" i="6" s="1"/>
  <c r="I54" i="5"/>
  <c r="F38" i="6"/>
  <c r="D45" i="5"/>
  <c r="F67" i="5"/>
  <c r="F69" i="5" s="1"/>
  <c r="F74" i="5"/>
  <c r="F75" i="5" s="1"/>
  <c r="L40" i="6"/>
  <c r="K50" i="6"/>
  <c r="J53" i="5"/>
  <c r="G37" i="6"/>
  <c r="J54" i="5"/>
  <c r="G38" i="6"/>
  <c r="O7" i="9"/>
  <c r="R7" i="5"/>
  <c r="Q7" i="5"/>
  <c r="E9" i="5"/>
  <c r="D33" i="5"/>
  <c r="D34" i="5" s="1"/>
  <c r="D40" i="5"/>
  <c r="D56" i="5"/>
  <c r="D63" i="5"/>
  <c r="F9" i="5"/>
  <c r="F34" i="5"/>
  <c r="D7" i="5"/>
  <c r="C12" i="8" s="1"/>
  <c r="G9" i="5"/>
  <c r="G34" i="5"/>
  <c r="E34" i="5"/>
  <c r="D9" i="5"/>
  <c r="H9" i="5"/>
  <c r="H34" i="5"/>
  <c r="H45" i="5"/>
  <c r="F33" i="6" s="1"/>
  <c r="I42" i="5"/>
  <c r="H50" i="5"/>
  <c r="I47" i="5"/>
  <c r="H56" i="5"/>
  <c r="I52" i="5"/>
  <c r="H63" i="5"/>
  <c r="I58" i="5"/>
  <c r="H7" i="5"/>
  <c r="G12" i="8" s="1"/>
  <c r="E7" i="5"/>
  <c r="G7" i="5"/>
  <c r="F12" i="8" s="1"/>
  <c r="F7" i="5"/>
  <c r="E12" i="8" s="1"/>
  <c r="BK19" i="3"/>
  <c r="C46" i="3" s="1"/>
  <c r="C32" i="3"/>
  <c r="BW19" i="3" s="1"/>
  <c r="O46" i="3" s="1"/>
  <c r="BN21" i="3"/>
  <c r="F47" i="3" s="1"/>
  <c r="E41" i="3"/>
  <c r="BY21" i="3" s="1"/>
  <c r="Q47" i="3" s="1"/>
  <c r="D5" i="3"/>
  <c r="D8" i="3" s="1"/>
  <c r="L5" i="3"/>
  <c r="L8" i="3" s="1"/>
  <c r="T5" i="3"/>
  <c r="H9" i="3" s="1"/>
  <c r="AB5" i="3"/>
  <c r="D10" i="3" s="1"/>
  <c r="AJ5" i="3"/>
  <c r="L10" i="3" s="1"/>
  <c r="AR5" i="3"/>
  <c r="H11" i="3" s="1"/>
  <c r="AZ5" i="3"/>
  <c r="D12" i="3" s="1"/>
  <c r="BH5" i="3"/>
  <c r="L12" i="3" s="1"/>
  <c r="I5" i="3"/>
  <c r="I8" i="3" s="1"/>
  <c r="Q5" i="3"/>
  <c r="E9" i="3" s="1"/>
  <c r="Y5" i="3"/>
  <c r="M9" i="3" s="1"/>
  <c r="M15" i="3" s="1"/>
  <c r="BU5" i="3" s="1"/>
  <c r="AG5" i="3"/>
  <c r="I10" i="3" s="1"/>
  <c r="AO5" i="3"/>
  <c r="E11" i="3" s="1"/>
  <c r="AW5" i="3"/>
  <c r="M11" i="3" s="1"/>
  <c r="BE5" i="3"/>
  <c r="I12" i="3" s="1"/>
  <c r="F5" i="3"/>
  <c r="F8" i="3" s="1"/>
  <c r="J5" i="3"/>
  <c r="J8" i="3" s="1"/>
  <c r="N5" i="3"/>
  <c r="N8" i="3" s="1"/>
  <c r="R5" i="3"/>
  <c r="F9" i="3" s="1"/>
  <c r="V5" i="3"/>
  <c r="J9" i="3" s="1"/>
  <c r="Z5" i="3"/>
  <c r="N9" i="3" s="1"/>
  <c r="N15" i="3" s="1"/>
  <c r="BV5" i="3" s="1"/>
  <c r="AD5" i="3"/>
  <c r="F10" i="3" s="1"/>
  <c r="AH5" i="3"/>
  <c r="J10" i="3" s="1"/>
  <c r="AL5" i="3"/>
  <c r="N10" i="3" s="1"/>
  <c r="AP5" i="3"/>
  <c r="F11" i="3" s="1"/>
  <c r="AT5" i="3"/>
  <c r="J11" i="3" s="1"/>
  <c r="AX5" i="3"/>
  <c r="N11" i="3" s="1"/>
  <c r="BB5" i="3"/>
  <c r="F12" i="3" s="1"/>
  <c r="BF5" i="3"/>
  <c r="J12" i="3" s="1"/>
  <c r="BJ5" i="3"/>
  <c r="N12" i="3" s="1"/>
  <c r="H5" i="3"/>
  <c r="H8" i="3" s="1"/>
  <c r="P5" i="3"/>
  <c r="D9" i="3" s="1"/>
  <c r="X5" i="3"/>
  <c r="L9" i="3" s="1"/>
  <c r="L15" i="3" s="1"/>
  <c r="BT5" i="3" s="1"/>
  <c r="AF5" i="3"/>
  <c r="H10" i="3" s="1"/>
  <c r="AN5" i="3"/>
  <c r="D11" i="3" s="1"/>
  <c r="AV5" i="3"/>
  <c r="L11" i="3" s="1"/>
  <c r="BD5" i="3"/>
  <c r="H12" i="3" s="1"/>
  <c r="E5" i="3"/>
  <c r="E8" i="3" s="1"/>
  <c r="M5" i="3"/>
  <c r="M8" i="3" s="1"/>
  <c r="U5" i="3"/>
  <c r="I9" i="3" s="1"/>
  <c r="AC5" i="3"/>
  <c r="E10" i="3" s="1"/>
  <c r="AK5" i="3"/>
  <c r="M10" i="3" s="1"/>
  <c r="AS5" i="3"/>
  <c r="I11" i="3" s="1"/>
  <c r="BA5" i="3"/>
  <c r="E12" i="3" s="1"/>
  <c r="BI5" i="3"/>
  <c r="M12" i="3" s="1"/>
  <c r="BK3" i="3"/>
  <c r="C5" i="3"/>
  <c r="C8" i="3" s="1"/>
  <c r="G5" i="3"/>
  <c r="G8" i="3" s="1"/>
  <c r="K5" i="3"/>
  <c r="K8" i="3" s="1"/>
  <c r="O5" i="3"/>
  <c r="C9" i="3" s="1"/>
  <c r="S5" i="3"/>
  <c r="G9" i="3" s="1"/>
  <c r="W5" i="3"/>
  <c r="K9" i="3" s="1"/>
  <c r="AA5" i="3"/>
  <c r="C10" i="3" s="1"/>
  <c r="AE5" i="3"/>
  <c r="G10" i="3" s="1"/>
  <c r="AI5" i="3"/>
  <c r="K10" i="3" s="1"/>
  <c r="AM5" i="3"/>
  <c r="C11" i="3" s="1"/>
  <c r="AQ5" i="3"/>
  <c r="G11" i="3" s="1"/>
  <c r="AU5" i="3"/>
  <c r="K11" i="3" s="1"/>
  <c r="AY5" i="3"/>
  <c r="C12" i="3" s="1"/>
  <c r="BC5" i="3"/>
  <c r="G12" i="3" s="1"/>
  <c r="BG5" i="3"/>
  <c r="K12" i="3" s="1"/>
  <c r="AG55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S39" i="2"/>
  <c r="AG10" i="2"/>
  <c r="BJ7" i="2"/>
  <c r="BJ10" i="2" s="1"/>
  <c r="BI7" i="2"/>
  <c r="BI10" i="2" s="1"/>
  <c r="BH7" i="2"/>
  <c r="BH10" i="2" s="1"/>
  <c r="BG7" i="2"/>
  <c r="BG10" i="2" s="1"/>
  <c r="BF7" i="2"/>
  <c r="BF10" i="2" s="1"/>
  <c r="BE7" i="2"/>
  <c r="BE10" i="2" s="1"/>
  <c r="BD7" i="2"/>
  <c r="BD10" i="2" s="1"/>
  <c r="BC7" i="2"/>
  <c r="BC10" i="2" s="1"/>
  <c r="BB7" i="2"/>
  <c r="BB10" i="2" s="1"/>
  <c r="BA7" i="2"/>
  <c r="BA10" i="2" s="1"/>
  <c r="AZ7" i="2"/>
  <c r="AZ10" i="2" s="1"/>
  <c r="AY7" i="2"/>
  <c r="AY10" i="2" s="1"/>
  <c r="AX7" i="2"/>
  <c r="AX10" i="2" s="1"/>
  <c r="AW7" i="2"/>
  <c r="AW10" i="2" s="1"/>
  <c r="AV7" i="2"/>
  <c r="AV10" i="2" s="1"/>
  <c r="AU7" i="2"/>
  <c r="AU10" i="2" s="1"/>
  <c r="AT7" i="2"/>
  <c r="AT10" i="2" s="1"/>
  <c r="AS7" i="2"/>
  <c r="AS10" i="2" s="1"/>
  <c r="AR7" i="2"/>
  <c r="AR10" i="2" s="1"/>
  <c r="AQ7" i="2"/>
  <c r="AQ10" i="2" s="1"/>
  <c r="AP7" i="2"/>
  <c r="AP10" i="2" s="1"/>
  <c r="AO7" i="2"/>
  <c r="AO10" i="2" s="1"/>
  <c r="AN7" i="2"/>
  <c r="AN10" i="2" s="1"/>
  <c r="AM7" i="2"/>
  <c r="AM10" i="2" s="1"/>
  <c r="AL7" i="2"/>
  <c r="AL10" i="2" s="1"/>
  <c r="AK7" i="2"/>
  <c r="AK10" i="2" s="1"/>
  <c r="AJ7" i="2"/>
  <c r="AJ10" i="2" s="1"/>
  <c r="AI7" i="2"/>
  <c r="AI10" i="2" s="1"/>
  <c r="AH7" i="2"/>
  <c r="AH10" i="2" s="1"/>
  <c r="AG7" i="2"/>
  <c r="AF7" i="2"/>
  <c r="AF10" i="2" s="1"/>
  <c r="AE7" i="2"/>
  <c r="AE10" i="2" s="1"/>
  <c r="AD7" i="2"/>
  <c r="AD10" i="2" s="1"/>
  <c r="AC7" i="2"/>
  <c r="AC10" i="2" s="1"/>
  <c r="AB7" i="2"/>
  <c r="AB10" i="2" s="1"/>
  <c r="AA7" i="2"/>
  <c r="AA10" i="2" s="1"/>
  <c r="Z7" i="2"/>
  <c r="Z10" i="2" s="1"/>
  <c r="Y7" i="2"/>
  <c r="Y10" i="2" s="1"/>
  <c r="X7" i="2"/>
  <c r="X10" i="2" s="1"/>
  <c r="W7" i="2"/>
  <c r="W10" i="2" s="1"/>
  <c r="V7" i="2"/>
  <c r="V10" i="2" s="1"/>
  <c r="U7" i="2"/>
  <c r="U10" i="2" s="1"/>
  <c r="T7" i="2"/>
  <c r="T10" i="2" s="1"/>
  <c r="S7" i="2"/>
  <c r="S10" i="2" s="1"/>
  <c r="R7" i="2"/>
  <c r="R10" i="2" s="1"/>
  <c r="Q7" i="2"/>
  <c r="Q10" i="2" s="1"/>
  <c r="P7" i="2"/>
  <c r="P10" i="2" s="1"/>
  <c r="O7" i="2"/>
  <c r="O10" i="2" s="1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N49" i="2"/>
  <c r="M49" i="2"/>
  <c r="L49" i="2"/>
  <c r="K49" i="2"/>
  <c r="J49" i="2"/>
  <c r="I49" i="2"/>
  <c r="H49" i="2"/>
  <c r="G49" i="2"/>
  <c r="F49" i="2"/>
  <c r="D49" i="2"/>
  <c r="C49" i="2"/>
  <c r="E49" i="2"/>
  <c r="C44" i="2"/>
  <c r="C39" i="2"/>
  <c r="C33" i="2"/>
  <c r="C26" i="2"/>
  <c r="N9" i="2"/>
  <c r="M9" i="2"/>
  <c r="L9" i="2"/>
  <c r="K9" i="2"/>
  <c r="J9" i="2"/>
  <c r="I9" i="2"/>
  <c r="H9" i="2"/>
  <c r="G9" i="2"/>
  <c r="F9" i="2"/>
  <c r="E9" i="2"/>
  <c r="D9" i="2"/>
  <c r="C9" i="2"/>
  <c r="N7" i="2"/>
  <c r="N10" i="2" s="1"/>
  <c r="M7" i="2"/>
  <c r="M10" i="2" s="1"/>
  <c r="L7" i="2"/>
  <c r="L10" i="2" s="1"/>
  <c r="K7" i="2"/>
  <c r="K10" i="2" s="1"/>
  <c r="J7" i="2"/>
  <c r="J10" i="2" s="1"/>
  <c r="I7" i="2"/>
  <c r="I10" i="2" s="1"/>
  <c r="H7" i="2"/>
  <c r="H10" i="2" s="1"/>
  <c r="G7" i="2"/>
  <c r="G10" i="2" s="1"/>
  <c r="F7" i="2"/>
  <c r="F10" i="2" s="1"/>
  <c r="E7" i="2"/>
  <c r="E10" i="2" s="1"/>
  <c r="D7" i="2"/>
  <c r="D10" i="2" s="1"/>
  <c r="C7" i="2"/>
  <c r="C10" i="2" s="1"/>
  <c r="F10" i="9" l="1"/>
  <c r="F6" i="9"/>
  <c r="F34" i="6"/>
  <c r="F39" i="6"/>
  <c r="G36" i="6"/>
  <c r="H74" i="5"/>
  <c r="H75" i="5" s="1"/>
  <c r="D74" i="5"/>
  <c r="D75" i="5" s="1"/>
  <c r="D67" i="5"/>
  <c r="D69" i="5" s="1"/>
  <c r="F6" i="6"/>
  <c r="F14" i="9"/>
  <c r="M40" i="6"/>
  <c r="L50" i="6"/>
  <c r="G35" i="6"/>
  <c r="K54" i="5"/>
  <c r="H38" i="6"/>
  <c r="H67" i="5"/>
  <c r="H69" i="5" s="1"/>
  <c r="K53" i="5"/>
  <c r="H37" i="6"/>
  <c r="P7" i="9"/>
  <c r="I63" i="5"/>
  <c r="J58" i="5"/>
  <c r="J52" i="5"/>
  <c r="H36" i="6" s="1"/>
  <c r="I56" i="5"/>
  <c r="I45" i="5"/>
  <c r="J42" i="5"/>
  <c r="I50" i="5"/>
  <c r="J47" i="5"/>
  <c r="D12" i="8"/>
  <c r="BL19" i="3"/>
  <c r="D46" i="3" s="1"/>
  <c r="D32" i="3"/>
  <c r="BX19" i="3" s="1"/>
  <c r="P46" i="3" s="1"/>
  <c r="BO21" i="3"/>
  <c r="G47" i="3" s="1"/>
  <c r="F41" i="3"/>
  <c r="BZ21" i="3" s="1"/>
  <c r="R47" i="3" s="1"/>
  <c r="E13" i="3"/>
  <c r="E16" i="3" s="1"/>
  <c r="BY5" i="3" s="1"/>
  <c r="K13" i="3"/>
  <c r="N13" i="3"/>
  <c r="N16" i="3" s="1"/>
  <c r="CH5" i="3" s="1"/>
  <c r="L13" i="3"/>
  <c r="L16" i="3" s="1"/>
  <c r="CF5" i="3" s="1"/>
  <c r="G13" i="3"/>
  <c r="J13" i="3"/>
  <c r="I13" i="3"/>
  <c r="D13" i="3"/>
  <c r="BL3" i="3"/>
  <c r="C13" i="3"/>
  <c r="M13" i="3"/>
  <c r="M16" i="3" s="1"/>
  <c r="CG5" i="3" s="1"/>
  <c r="H13" i="3"/>
  <c r="F13" i="3"/>
  <c r="F46" i="6" l="1"/>
  <c r="F49" i="6" s="1"/>
  <c r="F51" i="6" s="1"/>
  <c r="F5" i="6" s="1"/>
  <c r="F41" i="6"/>
  <c r="F42" i="6" s="1"/>
  <c r="F43" i="6" s="1"/>
  <c r="F26" i="6" s="1"/>
  <c r="F24" i="6" s="1"/>
  <c r="F16" i="6" s="1"/>
  <c r="F7" i="6"/>
  <c r="F15" i="9"/>
  <c r="I18" i="6"/>
  <c r="I17" i="6" s="1"/>
  <c r="F16" i="9"/>
  <c r="F17" i="9" s="1"/>
  <c r="N40" i="6"/>
  <c r="M50" i="6"/>
  <c r="H35" i="6"/>
  <c r="L54" i="5"/>
  <c r="I38" i="6"/>
  <c r="L53" i="5"/>
  <c r="I37" i="6"/>
  <c r="K52" i="5"/>
  <c r="J56" i="5"/>
  <c r="J45" i="5"/>
  <c r="K42" i="5"/>
  <c r="J63" i="5"/>
  <c r="K58" i="5"/>
  <c r="J50" i="5"/>
  <c r="K47" i="5"/>
  <c r="D50" i="3"/>
  <c r="E32" i="3"/>
  <c r="BY19" i="3" s="1"/>
  <c r="Q46" i="3" s="1"/>
  <c r="BM19" i="3"/>
  <c r="E46" i="3" s="1"/>
  <c r="BP21" i="3"/>
  <c r="H47" i="3" s="1"/>
  <c r="G41" i="3"/>
  <c r="CA21" i="3" s="1"/>
  <c r="S47" i="3" s="1"/>
  <c r="E15" i="3"/>
  <c r="BM5" i="3" s="1"/>
  <c r="BM3" i="3"/>
  <c r="G15" i="3"/>
  <c r="BO5" i="3" s="1"/>
  <c r="G16" i="3"/>
  <c r="CA5" i="3" s="1"/>
  <c r="K16" i="3"/>
  <c r="CE5" i="3" s="1"/>
  <c r="K15" i="3"/>
  <c r="BS5" i="3" s="1"/>
  <c r="J16" i="3"/>
  <c r="CD5" i="3" s="1"/>
  <c r="J15" i="3"/>
  <c r="BR5" i="3" s="1"/>
  <c r="D16" i="3"/>
  <c r="BX5" i="3" s="1"/>
  <c r="D15" i="3"/>
  <c r="BL5" i="3" s="1"/>
  <c r="BL4" i="3" s="1"/>
  <c r="D45" i="3" s="1"/>
  <c r="D49" i="3" s="1"/>
  <c r="F16" i="3"/>
  <c r="BZ5" i="3" s="1"/>
  <c r="F15" i="3"/>
  <c r="BN5" i="3" s="1"/>
  <c r="H15" i="3"/>
  <c r="BP5" i="3" s="1"/>
  <c r="H16" i="3"/>
  <c r="CB5" i="3" s="1"/>
  <c r="C15" i="3"/>
  <c r="BK5" i="3" s="1"/>
  <c r="BK4" i="3" s="1"/>
  <c r="C45" i="3" s="1"/>
  <c r="C16" i="3"/>
  <c r="BW5" i="3" s="1"/>
  <c r="I16" i="3"/>
  <c r="CC5" i="3" s="1"/>
  <c r="I15" i="3"/>
  <c r="BQ5" i="3" s="1"/>
  <c r="C49" i="3" l="1"/>
  <c r="C50" i="3"/>
  <c r="F1" i="6"/>
  <c r="F4" i="6"/>
  <c r="F3" i="6" s="1"/>
  <c r="O40" i="6"/>
  <c r="N50" i="6"/>
  <c r="M53" i="5"/>
  <c r="J37" i="6"/>
  <c r="I36" i="6"/>
  <c r="I35" i="6" s="1"/>
  <c r="M54" i="5"/>
  <c r="J38" i="6"/>
  <c r="L42" i="5"/>
  <c r="K45" i="5"/>
  <c r="L58" i="5"/>
  <c r="K63" i="5"/>
  <c r="L47" i="5"/>
  <c r="K50" i="5"/>
  <c r="L52" i="5"/>
  <c r="J36" i="6" s="1"/>
  <c r="K56" i="5"/>
  <c r="E49" i="3"/>
  <c r="BM4" i="3"/>
  <c r="E45" i="3" s="1"/>
  <c r="E50" i="3" s="1"/>
  <c r="F32" i="3"/>
  <c r="BZ19" i="3" s="1"/>
  <c r="R46" i="3" s="1"/>
  <c r="BN19" i="3"/>
  <c r="F46" i="3" s="1"/>
  <c r="BQ21" i="3"/>
  <c r="I47" i="3" s="1"/>
  <c r="H41" i="3"/>
  <c r="CB21" i="3" s="1"/>
  <c r="T47" i="3" s="1"/>
  <c r="BN3" i="3"/>
  <c r="BN4" i="3" s="1"/>
  <c r="P40" i="6" l="1"/>
  <c r="P50" i="6" s="1"/>
  <c r="O50" i="6"/>
  <c r="J35" i="6"/>
  <c r="N54" i="5"/>
  <c r="K38" i="6"/>
  <c r="N53" i="5"/>
  <c r="K37" i="6"/>
  <c r="M52" i="5"/>
  <c r="L56" i="5"/>
  <c r="M58" i="5"/>
  <c r="L63" i="5"/>
  <c r="M47" i="5"/>
  <c r="L50" i="5"/>
  <c r="M42" i="5"/>
  <c r="L45" i="5"/>
  <c r="F45" i="3"/>
  <c r="F49" i="3" s="1"/>
  <c r="BO19" i="3"/>
  <c r="G46" i="3" s="1"/>
  <c r="G32" i="3"/>
  <c r="CA19" i="3" s="1"/>
  <c r="S46" i="3" s="1"/>
  <c r="BR21" i="3"/>
  <c r="J47" i="3" s="1"/>
  <c r="I41" i="3"/>
  <c r="CC21" i="3" s="1"/>
  <c r="U47" i="3" s="1"/>
  <c r="BO3" i="3"/>
  <c r="K36" i="6" l="1"/>
  <c r="BO4" i="3"/>
  <c r="G45" i="3" s="1"/>
  <c r="F50" i="3"/>
  <c r="K35" i="6"/>
  <c r="O53" i="5"/>
  <c r="L37" i="6"/>
  <c r="O54" i="5"/>
  <c r="L38" i="6"/>
  <c r="N42" i="5"/>
  <c r="M45" i="5"/>
  <c r="N58" i="5"/>
  <c r="M63" i="5"/>
  <c r="N47" i="5"/>
  <c r="M50" i="5"/>
  <c r="N52" i="5"/>
  <c r="L36" i="6" s="1"/>
  <c r="M56" i="5"/>
  <c r="G49" i="3"/>
  <c r="G50" i="3"/>
  <c r="BP3" i="3"/>
  <c r="BP4" i="3" s="1"/>
  <c r="BP19" i="3"/>
  <c r="H46" i="3" s="1"/>
  <c r="H32" i="3"/>
  <c r="CB19" i="3" s="1"/>
  <c r="T46" i="3" s="1"/>
  <c r="BS21" i="3"/>
  <c r="K47" i="3" s="1"/>
  <c r="J41" i="3"/>
  <c r="CD21" i="3" s="1"/>
  <c r="V47" i="3" s="1"/>
  <c r="BQ3" i="3"/>
  <c r="BR3" i="3" s="1"/>
  <c r="BR4" i="3" s="1"/>
  <c r="J45" i="3" s="1"/>
  <c r="BS3" i="3"/>
  <c r="BS4" i="3" s="1"/>
  <c r="K45" i="3" s="1"/>
  <c r="BQ4" i="3"/>
  <c r="I45" i="3" s="1"/>
  <c r="L35" i="6" l="1"/>
  <c r="P54" i="5"/>
  <c r="M38" i="6"/>
  <c r="P53" i="5"/>
  <c r="M37" i="6"/>
  <c r="O52" i="5"/>
  <c r="M36" i="6" s="1"/>
  <c r="N56" i="5"/>
  <c r="O58" i="5"/>
  <c r="N63" i="5"/>
  <c r="O47" i="5"/>
  <c r="N50" i="5"/>
  <c r="O42" i="5"/>
  <c r="N45" i="5"/>
  <c r="H45" i="3"/>
  <c r="H50" i="3" s="1"/>
  <c r="H49" i="3"/>
  <c r="I32" i="3"/>
  <c r="CC19" i="3" s="1"/>
  <c r="U46" i="3" s="1"/>
  <c r="BQ19" i="3"/>
  <c r="I46" i="3" s="1"/>
  <c r="I50" i="3" s="1"/>
  <c r="BT21" i="3"/>
  <c r="L47" i="3" s="1"/>
  <c r="K41" i="3"/>
  <c r="CE21" i="3" s="1"/>
  <c r="W47" i="3" s="1"/>
  <c r="BT3" i="3"/>
  <c r="BT4" i="3" s="1"/>
  <c r="L45" i="3" s="1"/>
  <c r="M35" i="6" l="1"/>
  <c r="Q53" i="5"/>
  <c r="N37" i="6"/>
  <c r="Q54" i="5"/>
  <c r="N38" i="6"/>
  <c r="P42" i="5"/>
  <c r="O45" i="5"/>
  <c r="P58" i="5"/>
  <c r="O63" i="5"/>
  <c r="P47" i="5"/>
  <c r="O50" i="5"/>
  <c r="P52" i="5"/>
  <c r="N36" i="6" s="1"/>
  <c r="O56" i="5"/>
  <c r="I49" i="3"/>
  <c r="BR19" i="3"/>
  <c r="J46" i="3" s="1"/>
  <c r="J32" i="3"/>
  <c r="CD19" i="3" s="1"/>
  <c r="V46" i="3" s="1"/>
  <c r="BU21" i="3"/>
  <c r="M47" i="3" s="1"/>
  <c r="L41" i="3"/>
  <c r="CF21" i="3" s="1"/>
  <c r="X47" i="3" s="1"/>
  <c r="BU3" i="3"/>
  <c r="N35" i="6" l="1"/>
  <c r="R54" i="5"/>
  <c r="P38" i="6" s="1"/>
  <c r="O38" i="6"/>
  <c r="R53" i="5"/>
  <c r="P37" i="6" s="1"/>
  <c r="O37" i="6"/>
  <c r="Q47" i="5"/>
  <c r="P50" i="5"/>
  <c r="Q42" i="5"/>
  <c r="P45" i="5"/>
  <c r="Q52" i="5"/>
  <c r="O36" i="6" s="1"/>
  <c r="P56" i="5"/>
  <c r="Q58" i="5"/>
  <c r="P63" i="5"/>
  <c r="J50" i="3"/>
  <c r="J49" i="3"/>
  <c r="BS19" i="3"/>
  <c r="K46" i="3" s="1"/>
  <c r="K32" i="3"/>
  <c r="CE19" i="3" s="1"/>
  <c r="W46" i="3" s="1"/>
  <c r="M41" i="3"/>
  <c r="CG21" i="3" s="1"/>
  <c r="Y47" i="3" s="1"/>
  <c r="BU4" i="3"/>
  <c r="BV3" i="3"/>
  <c r="I4" i="5" s="1"/>
  <c r="H10" i="8" s="1"/>
  <c r="M45" i="3" l="1"/>
  <c r="O35" i="6"/>
  <c r="R58" i="5"/>
  <c r="R63" i="5" s="1"/>
  <c r="Q63" i="5"/>
  <c r="R42" i="5"/>
  <c r="R45" i="5" s="1"/>
  <c r="Q45" i="5"/>
  <c r="R52" i="5"/>
  <c r="Q56" i="5"/>
  <c r="R47" i="5"/>
  <c r="R50" i="5" s="1"/>
  <c r="Q50" i="5"/>
  <c r="K50" i="3"/>
  <c r="K49" i="3"/>
  <c r="BT19" i="3"/>
  <c r="L46" i="3" s="1"/>
  <c r="L32" i="3"/>
  <c r="CF19" i="3" s="1"/>
  <c r="X46" i="3" s="1"/>
  <c r="N41" i="3"/>
  <c r="CH21" i="3" s="1"/>
  <c r="Z47" i="3" s="1"/>
  <c r="BV21" i="3"/>
  <c r="N47" i="3" s="1"/>
  <c r="BV4" i="3"/>
  <c r="N45" i="3" s="1"/>
  <c r="BW3" i="3"/>
  <c r="I5" i="5" l="1"/>
  <c r="R56" i="5"/>
  <c r="P36" i="6"/>
  <c r="P35" i="6" s="1"/>
  <c r="L50" i="3"/>
  <c r="L49" i="3"/>
  <c r="BU19" i="3"/>
  <c r="M46" i="3" s="1"/>
  <c r="M32" i="3"/>
  <c r="CG19" i="3" s="1"/>
  <c r="Y46" i="3" s="1"/>
  <c r="BX3" i="3"/>
  <c r="BW4" i="3"/>
  <c r="I7" i="5" l="1"/>
  <c r="H12" i="8" s="1"/>
  <c r="H11" i="8"/>
  <c r="O45" i="3"/>
  <c r="M50" i="3"/>
  <c r="M49" i="3"/>
  <c r="BV19" i="3"/>
  <c r="N46" i="3" s="1"/>
  <c r="N32" i="3"/>
  <c r="CH19" i="3" s="1"/>
  <c r="Z46" i="3" s="1"/>
  <c r="BY3" i="3"/>
  <c r="BX4" i="3"/>
  <c r="P45" i="3" s="1"/>
  <c r="P50" i="3" l="1"/>
  <c r="P49" i="3"/>
  <c r="O49" i="3"/>
  <c r="O50" i="3"/>
  <c r="N50" i="3"/>
  <c r="I15" i="5" s="1"/>
  <c r="I36" i="5" s="1"/>
  <c r="I40" i="5" s="1"/>
  <c r="N49" i="3"/>
  <c r="BZ3" i="3"/>
  <c r="BY4" i="3"/>
  <c r="Q45" i="3" s="1"/>
  <c r="Q49" i="3" l="1"/>
  <c r="Q50" i="3"/>
  <c r="G33" i="6"/>
  <c r="G10" i="9" s="1"/>
  <c r="I14" i="5"/>
  <c r="CA3" i="3"/>
  <c r="BZ4" i="3"/>
  <c r="R45" i="3" l="1"/>
  <c r="G6" i="9"/>
  <c r="G15" i="9" s="1"/>
  <c r="G16" i="9"/>
  <c r="J18" i="6"/>
  <c r="J17" i="6" s="1"/>
  <c r="I26" i="5"/>
  <c r="I11" i="5"/>
  <c r="H13" i="8" s="1"/>
  <c r="I12" i="5"/>
  <c r="CB3" i="3"/>
  <c r="CA4" i="3"/>
  <c r="S45" i="3" s="1"/>
  <c r="S50" i="3" l="1"/>
  <c r="S49" i="3"/>
  <c r="R50" i="3"/>
  <c r="R49" i="3"/>
  <c r="G7" i="6"/>
  <c r="I33" i="5"/>
  <c r="I74" i="5" s="1"/>
  <c r="I75" i="5" s="1"/>
  <c r="G30" i="6"/>
  <c r="H14" i="8"/>
  <c r="I10" i="5"/>
  <c r="CC3" i="3"/>
  <c r="CB4" i="3"/>
  <c r="T45" i="3" s="1"/>
  <c r="T50" i="3" l="1"/>
  <c r="T49" i="3"/>
  <c r="I67" i="5"/>
  <c r="I34" i="5"/>
  <c r="G31" i="6"/>
  <c r="G32" i="6" s="1"/>
  <c r="CC4" i="3"/>
  <c r="U45" i="3" s="1"/>
  <c r="CD3" i="3"/>
  <c r="I69" i="5" l="1"/>
  <c r="C8" i="11"/>
  <c r="C9" i="11" s="1"/>
  <c r="U50" i="3"/>
  <c r="U49" i="3"/>
  <c r="G34" i="6"/>
  <c r="G39" i="6" s="1"/>
  <c r="G41" i="6" s="1"/>
  <c r="G3" i="9"/>
  <c r="CE3" i="3"/>
  <c r="CD4" i="3"/>
  <c r="V45" i="3" s="1"/>
  <c r="V50" i="3" l="1"/>
  <c r="V49" i="3"/>
  <c r="G42" i="6"/>
  <c r="G43" i="6" s="1"/>
  <c r="G6" i="6"/>
  <c r="G14" i="9"/>
  <c r="G17" i="9" s="1"/>
  <c r="G46" i="6"/>
  <c r="CE4" i="3"/>
  <c r="W45" i="3" s="1"/>
  <c r="CF3" i="3"/>
  <c r="W50" i="3" l="1"/>
  <c r="W49" i="3"/>
  <c r="G48" i="6"/>
  <c r="G49" i="6" s="1"/>
  <c r="G26" i="6"/>
  <c r="CG3" i="3"/>
  <c r="CF4" i="3"/>
  <c r="X45" i="3" s="1"/>
  <c r="X50" i="3" l="1"/>
  <c r="X49" i="3"/>
  <c r="G54" i="6"/>
  <c r="G76" i="6"/>
  <c r="G24" i="6"/>
  <c r="G16" i="6" s="1"/>
  <c r="G51" i="6"/>
  <c r="G5" i="6" s="1"/>
  <c r="CH3" i="3"/>
  <c r="CG4" i="3"/>
  <c r="Y45" i="3" s="1"/>
  <c r="Y50" i="3" l="1"/>
  <c r="Y49" i="3"/>
  <c r="CH4" i="3"/>
  <c r="J4" i="5"/>
  <c r="I10" i="8" s="1"/>
  <c r="G4" i="6"/>
  <c r="G3" i="6" s="1"/>
  <c r="G1" i="6" s="1"/>
  <c r="J10" i="8" l="1"/>
  <c r="K10" i="8" s="1"/>
  <c r="Z45" i="3"/>
  <c r="J5" i="5"/>
  <c r="L4" i="5" l="1"/>
  <c r="K11" i="8"/>
  <c r="L10" i="8"/>
  <c r="I11" i="8"/>
  <c r="J7" i="5"/>
  <c r="K4" i="5"/>
  <c r="J11" i="8"/>
  <c r="Z50" i="3"/>
  <c r="J15" i="5" s="1"/>
  <c r="J36" i="5" s="1"/>
  <c r="J40" i="5" s="1"/>
  <c r="H33" i="6" s="1"/>
  <c r="Z49" i="3"/>
  <c r="J14" i="5" s="1"/>
  <c r="M10" i="8"/>
  <c r="N4" i="5" l="1"/>
  <c r="M11" i="8"/>
  <c r="K5" i="5"/>
  <c r="M4" i="5"/>
  <c r="L11" i="8"/>
  <c r="P10" i="8"/>
  <c r="J12" i="5"/>
  <c r="I14" i="8" s="1"/>
  <c r="J14" i="8" s="1"/>
  <c r="J11" i="5"/>
  <c r="I13" i="8" s="1"/>
  <c r="J13" i="8" s="1"/>
  <c r="J26" i="5"/>
  <c r="O10" i="8"/>
  <c r="H6" i="9"/>
  <c r="H10" i="9"/>
  <c r="I12" i="8"/>
  <c r="J10" i="5"/>
  <c r="L5" i="5"/>
  <c r="N10" i="8"/>
  <c r="P4" i="5" l="1"/>
  <c r="O11" i="8"/>
  <c r="O4" i="5"/>
  <c r="N11" i="8"/>
  <c r="H30" i="6"/>
  <c r="J33" i="5"/>
  <c r="J67" i="5"/>
  <c r="J69" i="5" s="1"/>
  <c r="Q10" i="8"/>
  <c r="H16" i="9"/>
  <c r="K18" i="6"/>
  <c r="K17" i="6" s="1"/>
  <c r="K11" i="5"/>
  <c r="K13" i="8"/>
  <c r="J17" i="8"/>
  <c r="K14" i="5" s="1"/>
  <c r="N5" i="5"/>
  <c r="Q4" i="5"/>
  <c r="P11" i="8"/>
  <c r="M5" i="5"/>
  <c r="H15" i="9"/>
  <c r="H7" i="6"/>
  <c r="K12" i="5"/>
  <c r="K10" i="5" s="1"/>
  <c r="K14" i="8"/>
  <c r="J18" i="8"/>
  <c r="K15" i="5" s="1"/>
  <c r="K36" i="5" s="1"/>
  <c r="K40" i="5" s="1"/>
  <c r="I33" i="6" s="1"/>
  <c r="I6" i="9" l="1"/>
  <c r="I10" i="9"/>
  <c r="L11" i="5"/>
  <c r="L13" i="8"/>
  <c r="K17" i="8"/>
  <c r="L14" i="5" s="1"/>
  <c r="O5" i="5"/>
  <c r="J74" i="5"/>
  <c r="J75" i="5" s="1"/>
  <c r="J34" i="5"/>
  <c r="H31" i="6"/>
  <c r="H32" i="6" s="1"/>
  <c r="P5" i="5"/>
  <c r="Q11" i="8"/>
  <c r="R4" i="5"/>
  <c r="L12" i="5"/>
  <c r="L10" i="5" s="1"/>
  <c r="L14" i="8"/>
  <c r="K18" i="8"/>
  <c r="L15" i="5" s="1"/>
  <c r="L36" i="5" s="1"/>
  <c r="L40" i="5" s="1"/>
  <c r="Q5" i="5"/>
  <c r="K26" i="5"/>
  <c r="M11" i="5" l="1"/>
  <c r="M13" i="8"/>
  <c r="L17" i="8"/>
  <c r="M14" i="5" s="1"/>
  <c r="H34" i="6"/>
  <c r="H39" i="6" s="1"/>
  <c r="H3" i="9"/>
  <c r="L18" i="6"/>
  <c r="L17" i="6" s="1"/>
  <c r="I16" i="9"/>
  <c r="K33" i="5"/>
  <c r="I30" i="6"/>
  <c r="K67" i="5"/>
  <c r="K69" i="5" s="1"/>
  <c r="M12" i="5"/>
  <c r="M10" i="5" s="1"/>
  <c r="M14" i="8"/>
  <c r="L18" i="8"/>
  <c r="M15" i="5" s="1"/>
  <c r="M36" i="5" s="1"/>
  <c r="M40" i="5" s="1"/>
  <c r="K33" i="6" s="1"/>
  <c r="J33" i="6"/>
  <c r="R5" i="5"/>
  <c r="L26" i="5"/>
  <c r="I7" i="6"/>
  <c r="I15" i="9"/>
  <c r="J6" i="9" l="1"/>
  <c r="J10" i="9"/>
  <c r="N12" i="5"/>
  <c r="N10" i="5" s="1"/>
  <c r="N14" i="8"/>
  <c r="M18" i="8"/>
  <c r="N15" i="5" s="1"/>
  <c r="N36" i="5" s="1"/>
  <c r="N40" i="5" s="1"/>
  <c r="K74" i="5"/>
  <c r="K75" i="5" s="1"/>
  <c r="K34" i="5"/>
  <c r="I31" i="6"/>
  <c r="H41" i="6"/>
  <c r="H42" i="6" s="1"/>
  <c r="H43" i="6" s="1"/>
  <c r="H26" i="6" s="1"/>
  <c r="H46" i="6"/>
  <c r="M26" i="5"/>
  <c r="L33" i="5"/>
  <c r="J30" i="6"/>
  <c r="N11" i="5"/>
  <c r="N13" i="8"/>
  <c r="M17" i="8"/>
  <c r="N14" i="5" s="1"/>
  <c r="N26" i="5" s="1"/>
  <c r="K10" i="9"/>
  <c r="K6" i="9"/>
  <c r="I32" i="6"/>
  <c r="H6" i="6"/>
  <c r="H14" i="9"/>
  <c r="H17" i="9" s="1"/>
  <c r="H48" i="6" s="1"/>
  <c r="H49" i="6" s="1"/>
  <c r="I3" i="9" l="1"/>
  <c r="I34" i="6"/>
  <c r="I39" i="6" s="1"/>
  <c r="J31" i="6"/>
  <c r="J32" i="6" s="1"/>
  <c r="L34" i="5"/>
  <c r="L74" i="5"/>
  <c r="L75" i="5" s="1"/>
  <c r="O12" i="5"/>
  <c r="O10" i="5" s="1"/>
  <c r="O14" i="8"/>
  <c r="N18" i="8"/>
  <c r="O15" i="5" s="1"/>
  <c r="O36" i="5" s="1"/>
  <c r="O40" i="5" s="1"/>
  <c r="M33" i="6" s="1"/>
  <c r="K7" i="6"/>
  <c r="K15" i="9"/>
  <c r="M33" i="5"/>
  <c r="M67" i="5"/>
  <c r="M69" i="5" s="1"/>
  <c r="K30" i="6"/>
  <c r="H54" i="6"/>
  <c r="H51" i="6"/>
  <c r="H5" i="6" s="1"/>
  <c r="H4" i="6" s="1"/>
  <c r="H3" i="6" s="1"/>
  <c r="H76" i="6"/>
  <c r="K16" i="9"/>
  <c r="N18" i="6"/>
  <c r="N17" i="6" s="1"/>
  <c r="L67" i="5"/>
  <c r="L69" i="5" s="1"/>
  <c r="J16" i="9"/>
  <c r="M18" i="6"/>
  <c r="M17" i="6" s="1"/>
  <c r="O11" i="5"/>
  <c r="N17" i="8"/>
  <c r="O14" i="5" s="1"/>
  <c r="O13" i="8"/>
  <c r="N33" i="5"/>
  <c r="L30" i="6"/>
  <c r="N67" i="5"/>
  <c r="N69" i="5" s="1"/>
  <c r="H24" i="6"/>
  <c r="H16" i="6" s="1"/>
  <c r="L33" i="6"/>
  <c r="N74" i="5"/>
  <c r="N75" i="5" s="1"/>
  <c r="J15" i="9"/>
  <c r="J7" i="6"/>
  <c r="M6" i="9" l="1"/>
  <c r="M10" i="9"/>
  <c r="O26" i="5"/>
  <c r="H1" i="6"/>
  <c r="M74" i="5"/>
  <c r="M75" i="5" s="1"/>
  <c r="K31" i="6"/>
  <c r="M34" i="5"/>
  <c r="P12" i="5"/>
  <c r="P10" i="5" s="1"/>
  <c r="P14" i="8"/>
  <c r="O18" i="8"/>
  <c r="P15" i="5" s="1"/>
  <c r="P36" i="5" s="1"/>
  <c r="P40" i="5" s="1"/>
  <c r="N33" i="6" s="1"/>
  <c r="J34" i="6"/>
  <c r="J39" i="6" s="1"/>
  <c r="J3" i="9"/>
  <c r="P11" i="5"/>
  <c r="O17" i="8"/>
  <c r="P14" i="5" s="1"/>
  <c r="P26" i="5" s="1"/>
  <c r="P13" i="8"/>
  <c r="L10" i="9"/>
  <c r="L6" i="9"/>
  <c r="I41" i="6"/>
  <c r="I42" i="6" s="1"/>
  <c r="I43" i="6" s="1"/>
  <c r="I26" i="6" s="1"/>
  <c r="I46" i="6"/>
  <c r="L31" i="6"/>
  <c r="L32" i="6" s="1"/>
  <c r="N34" i="5"/>
  <c r="K32" i="6"/>
  <c r="I14" i="9"/>
  <c r="I17" i="9" s="1"/>
  <c r="I48" i="6" s="1"/>
  <c r="I49" i="6" s="1"/>
  <c r="I6" i="6"/>
  <c r="O18" i="6" l="1"/>
  <c r="O17" i="6" s="1"/>
  <c r="L16" i="9"/>
  <c r="I54" i="6"/>
  <c r="I76" i="6"/>
  <c r="I51" i="6"/>
  <c r="I5" i="6" s="1"/>
  <c r="I4" i="6" s="1"/>
  <c r="I3" i="6" s="1"/>
  <c r="Q11" i="5"/>
  <c r="Q13" i="8"/>
  <c r="P17" i="8"/>
  <c r="Q14" i="5" s="1"/>
  <c r="Q26" i="5" s="1"/>
  <c r="M30" i="6"/>
  <c r="O33" i="5"/>
  <c r="O67" i="5" s="1"/>
  <c r="O69" i="5" s="1"/>
  <c r="I24" i="6"/>
  <c r="I16" i="6" s="1"/>
  <c r="P33" i="5"/>
  <c r="N30" i="6"/>
  <c r="P67" i="5"/>
  <c r="P69" i="5" s="1"/>
  <c r="N10" i="9"/>
  <c r="N16" i="9" s="1"/>
  <c r="N6" i="9"/>
  <c r="M16" i="9"/>
  <c r="P18" i="6"/>
  <c r="P17" i="6" s="1"/>
  <c r="L34" i="6"/>
  <c r="L39" i="6" s="1"/>
  <c r="L3" i="9"/>
  <c r="J14" i="9"/>
  <c r="J17" i="9" s="1"/>
  <c r="J48" i="6" s="1"/>
  <c r="J6" i="6"/>
  <c r="J41" i="6"/>
  <c r="J42" i="6" s="1"/>
  <c r="J43" i="6" s="1"/>
  <c r="J26" i="6" s="1"/>
  <c r="J46" i="6"/>
  <c r="K34" i="6"/>
  <c r="K39" i="6" s="1"/>
  <c r="K3" i="9"/>
  <c r="L7" i="6"/>
  <c r="L15" i="9"/>
  <c r="Q12" i="5"/>
  <c r="Q10" i="5" s="1"/>
  <c r="Q14" i="8"/>
  <c r="P18" i="8"/>
  <c r="Q15" i="5" s="1"/>
  <c r="Q36" i="5" s="1"/>
  <c r="Q40" i="5" s="1"/>
  <c r="O33" i="6" s="1"/>
  <c r="M7" i="6"/>
  <c r="M15" i="9"/>
  <c r="J24" i="6" l="1"/>
  <c r="J16" i="6" s="1"/>
  <c r="R12" i="5"/>
  <c r="R10" i="5" s="1"/>
  <c r="Q18" i="8"/>
  <c r="R15" i="5" s="1"/>
  <c r="R36" i="5" s="1"/>
  <c r="R40" i="5" s="1"/>
  <c r="Q33" i="5"/>
  <c r="O30" i="6"/>
  <c r="Q67" i="5"/>
  <c r="Q69" i="5" s="1"/>
  <c r="K41" i="6"/>
  <c r="K42" i="6" s="1"/>
  <c r="K43" i="6" s="1"/>
  <c r="K26" i="6" s="1"/>
  <c r="K46" i="6"/>
  <c r="J49" i="6"/>
  <c r="N32" i="6"/>
  <c r="Q17" i="8"/>
  <c r="R14" i="5" s="1"/>
  <c r="R11" i="5"/>
  <c r="K6" i="6"/>
  <c r="K14" i="9"/>
  <c r="K17" i="9" s="1"/>
  <c r="K48" i="6" s="1"/>
  <c r="K49" i="6" s="1"/>
  <c r="L14" i="9"/>
  <c r="L17" i="9" s="1"/>
  <c r="L48" i="6" s="1"/>
  <c r="L6" i="6"/>
  <c r="N7" i="6"/>
  <c r="N15" i="9"/>
  <c r="P74" i="5"/>
  <c r="P75" i="5" s="1"/>
  <c r="P34" i="5"/>
  <c r="N31" i="6"/>
  <c r="O74" i="5"/>
  <c r="O75" i="5" s="1"/>
  <c r="M31" i="6"/>
  <c r="M32" i="6" s="1"/>
  <c r="O34" i="5"/>
  <c r="O10" i="9"/>
  <c r="O16" i="9" s="1"/>
  <c r="O6" i="9"/>
  <c r="L41" i="6"/>
  <c r="L42" i="6" s="1"/>
  <c r="L43" i="6" s="1"/>
  <c r="L46" i="6"/>
  <c r="I1" i="6"/>
  <c r="L26" i="6" l="1"/>
  <c r="K24" i="6"/>
  <c r="K16" i="6" s="1"/>
  <c r="P33" i="6"/>
  <c r="J76" i="6"/>
  <c r="J54" i="6"/>
  <c r="J51" i="6"/>
  <c r="J5" i="6" s="1"/>
  <c r="O15" i="9"/>
  <c r="O7" i="6"/>
  <c r="K76" i="6"/>
  <c r="K51" i="6"/>
  <c r="K54" i="6"/>
  <c r="N34" i="6"/>
  <c r="N39" i="6" s="1"/>
  <c r="N3" i="9"/>
  <c r="M34" i="6"/>
  <c r="M39" i="6" s="1"/>
  <c r="M3" i="9"/>
  <c r="L49" i="6"/>
  <c r="R26" i="5"/>
  <c r="Q74" i="5"/>
  <c r="Q75" i="5" s="1"/>
  <c r="O31" i="6"/>
  <c r="O32" i="6" s="1"/>
  <c r="Q34" i="5"/>
  <c r="P10" i="9" l="1"/>
  <c r="P16" i="9" s="1"/>
  <c r="P6" i="9"/>
  <c r="N41" i="6"/>
  <c r="N42" i="6" s="1"/>
  <c r="N43" i="6" s="1"/>
  <c r="N46" i="6"/>
  <c r="M46" i="6"/>
  <c r="M41" i="6"/>
  <c r="M42" i="6" s="1"/>
  <c r="M43" i="6" s="1"/>
  <c r="R33" i="5"/>
  <c r="P30" i="6"/>
  <c r="N6" i="6"/>
  <c r="N14" i="9"/>
  <c r="N17" i="9" s="1"/>
  <c r="N48" i="6" s="1"/>
  <c r="N49" i="6" s="1"/>
  <c r="J4" i="6"/>
  <c r="J3" i="6" s="1"/>
  <c r="J1" i="6" s="1"/>
  <c r="K5" i="6"/>
  <c r="L76" i="6"/>
  <c r="L51" i="6"/>
  <c r="L54" i="6"/>
  <c r="O3" i="9"/>
  <c r="O34" i="6"/>
  <c r="O39" i="6" s="1"/>
  <c r="M14" i="9"/>
  <c r="M17" i="9" s="1"/>
  <c r="M48" i="6" s="1"/>
  <c r="M49" i="6" s="1"/>
  <c r="M6" i="6"/>
  <c r="M26" i="6"/>
  <c r="L24" i="6"/>
  <c r="L16" i="6" s="1"/>
  <c r="N51" i="6" l="1"/>
  <c r="N76" i="6"/>
  <c r="N54" i="6"/>
  <c r="M54" i="6"/>
  <c r="M51" i="6"/>
  <c r="M76" i="6"/>
  <c r="R34" i="5"/>
  <c r="P31" i="6"/>
  <c r="P32" i="6" s="1"/>
  <c r="R74" i="5"/>
  <c r="R75" i="5" s="1"/>
  <c r="M24" i="6"/>
  <c r="M16" i="6" s="1"/>
  <c r="N26" i="6"/>
  <c r="O46" i="6"/>
  <c r="O41" i="6"/>
  <c r="O42" i="6" s="1"/>
  <c r="O43" i="6" s="1"/>
  <c r="O6" i="6"/>
  <c r="O14" i="9"/>
  <c r="O17" i="9" s="1"/>
  <c r="O48" i="6" s="1"/>
  <c r="O49" i="6" s="1"/>
  <c r="K4" i="6"/>
  <c r="K3" i="6" s="1"/>
  <c r="K1" i="6" s="1"/>
  <c r="L5" i="6"/>
  <c r="R67" i="5"/>
  <c r="R69" i="5" s="1"/>
  <c r="P7" i="6"/>
  <c r="P15" i="9"/>
  <c r="O76" i="6" l="1"/>
  <c r="O51" i="6"/>
  <c r="O54" i="6"/>
  <c r="N24" i="6"/>
  <c r="N16" i="6" s="1"/>
  <c r="O26" i="6"/>
  <c r="L4" i="6"/>
  <c r="L3" i="6" s="1"/>
  <c r="L1" i="6" s="1"/>
  <c r="M5" i="6"/>
  <c r="P3" i="9"/>
  <c r="P34" i="6"/>
  <c r="P39" i="6" s="1"/>
  <c r="P41" i="6" l="1"/>
  <c r="P42" i="6" s="1"/>
  <c r="P43" i="6" s="1"/>
  <c r="P46" i="6"/>
  <c r="P49" i="6" s="1"/>
  <c r="P14" i="9"/>
  <c r="P17" i="9" s="1"/>
  <c r="P48" i="6" s="1"/>
  <c r="P6" i="6"/>
  <c r="O24" i="6"/>
  <c r="O16" i="6" s="1"/>
  <c r="P26" i="6"/>
  <c r="P24" i="6" s="1"/>
  <c r="P16" i="6" s="1"/>
  <c r="M4" i="6"/>
  <c r="M3" i="6" s="1"/>
  <c r="M1" i="6" s="1"/>
  <c r="N5" i="6"/>
  <c r="P55" i="6" l="1"/>
  <c r="G55" i="6" s="1"/>
  <c r="P77" i="6"/>
  <c r="G77" i="6" s="1"/>
  <c r="P54" i="6"/>
  <c r="P76" i="6"/>
  <c r="P51" i="6"/>
  <c r="N4" i="6"/>
  <c r="N3" i="6" s="1"/>
  <c r="N1" i="6" s="1"/>
  <c r="O5" i="6"/>
  <c r="G56" i="6" l="1"/>
  <c r="E101" i="6" s="1"/>
  <c r="O4" i="6"/>
  <c r="O3" i="6" s="1"/>
  <c r="O1" i="6" s="1"/>
  <c r="P5" i="6"/>
  <c r="P4" i="6" s="1"/>
  <c r="P3" i="6" s="1"/>
  <c r="P1" i="6" s="1"/>
  <c r="G78" i="6"/>
  <c r="G80" i="6" s="1"/>
  <c r="B91" i="6" l="1"/>
  <c r="B83" i="6"/>
  <c r="F101" i="6"/>
  <c r="D101" i="6"/>
</calcChain>
</file>

<file path=xl/sharedStrings.xml><?xml version="1.0" encoding="utf-8"?>
<sst xmlns="http://schemas.openxmlformats.org/spreadsheetml/2006/main" count="272" uniqueCount="201">
  <si>
    <t>IPCA</t>
  </si>
  <si>
    <t>FOCUS - Média (10/01/2014)</t>
  </si>
  <si>
    <t>USD</t>
  </si>
  <si>
    <t>Rooms</t>
  </si>
  <si>
    <t>Available</t>
  </si>
  <si>
    <t>Occupied</t>
  </si>
  <si>
    <t>Sold</t>
  </si>
  <si>
    <t>Occupancy Rate</t>
  </si>
  <si>
    <t># of guests</t>
  </si>
  <si>
    <t>Double occupation</t>
  </si>
  <si>
    <t>RevPAR</t>
  </si>
  <si>
    <t>Daily Rate (Without Breakfast)</t>
  </si>
  <si>
    <t>Daily Rate (Full)</t>
  </si>
  <si>
    <t>REVENUES</t>
  </si>
  <si>
    <t>Apartments</t>
  </si>
  <si>
    <t>Food</t>
  </si>
  <si>
    <t>Breakfast</t>
  </si>
  <si>
    <t>Happy hour</t>
  </si>
  <si>
    <t>Dinners</t>
  </si>
  <si>
    <t>Beverages</t>
  </si>
  <si>
    <t>Equipment Rent</t>
  </si>
  <si>
    <t>Rent - Events</t>
  </si>
  <si>
    <t>Other F&amp;B</t>
  </si>
  <si>
    <t>Other</t>
  </si>
  <si>
    <t>Services Fee</t>
  </si>
  <si>
    <t>Tourism Fee</t>
  </si>
  <si>
    <t>Total Revenues</t>
  </si>
  <si>
    <t>ISS</t>
  </si>
  <si>
    <t>ICMS</t>
  </si>
  <si>
    <t>PIS</t>
  </si>
  <si>
    <t>COFINS</t>
  </si>
  <si>
    <t>IR e CSLL</t>
  </si>
  <si>
    <t>Total Taxes</t>
  </si>
  <si>
    <t>VARIABLE COSTS</t>
  </si>
  <si>
    <t>F &amp; B</t>
  </si>
  <si>
    <t>Telecommunication</t>
  </si>
  <si>
    <t>Laundry</t>
  </si>
  <si>
    <t>Total Variable Costs</t>
  </si>
  <si>
    <t>PAYROLL</t>
  </si>
  <si>
    <t>Total Payroll</t>
  </si>
  <si>
    <t>OTHER EXPENSES</t>
  </si>
  <si>
    <t>Total</t>
  </si>
  <si>
    <t>PAYROLL SG&amp;A</t>
  </si>
  <si>
    <t>TAXES</t>
  </si>
  <si>
    <t>Administrative</t>
  </si>
  <si>
    <t>Sales</t>
  </si>
  <si>
    <t>HR</t>
  </si>
  <si>
    <t>Maintenance</t>
  </si>
  <si>
    <t>Total Payroll SG&amp;A</t>
  </si>
  <si>
    <t>OTHER SG&amp;A EXPENSES</t>
  </si>
  <si>
    <t>Utilities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</si>
  <si>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</si>
  <si>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</si>
  <si>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</si>
  <si>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</si>
  <si>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</si>
  <si>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</si>
  <si>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</si>
  <si>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</si>
  <si>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</si>
  <si>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</si>
  <si>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</si>
  <si>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</si>
  <si>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BALANCE SHEET</t>
  </si>
  <si>
    <t>ASSETS</t>
  </si>
  <si>
    <t>Current Assets</t>
  </si>
  <si>
    <t>Cash and Equivalents</t>
  </si>
  <si>
    <t>Trade and other Receivables</t>
  </si>
  <si>
    <t>Inventory</t>
  </si>
  <si>
    <t>Non Current Assets</t>
  </si>
  <si>
    <t>Related-Party Transactions</t>
  </si>
  <si>
    <t>Financial Assets</t>
  </si>
  <si>
    <t>Judicial Deposits</t>
  </si>
  <si>
    <t>Recoverable Taxes</t>
  </si>
  <si>
    <t>Investments</t>
  </si>
  <si>
    <t xml:space="preserve">Properties, Plants and Equipment </t>
  </si>
  <si>
    <t>Intangible</t>
  </si>
  <si>
    <t>LIABILITIES</t>
  </si>
  <si>
    <t>Current Liabilities</t>
  </si>
  <si>
    <t>Trade and other payables</t>
  </si>
  <si>
    <t>Bank Loans and other financial liabilities</t>
  </si>
  <si>
    <t>Tax liabilities</t>
  </si>
  <si>
    <t>Provisions</t>
  </si>
  <si>
    <t>Non Current Liabilities</t>
  </si>
  <si>
    <t>SHAREHOLDERS EQUITY</t>
  </si>
  <si>
    <t>Equity</t>
  </si>
  <si>
    <t>Retained Earnings</t>
  </si>
  <si>
    <t>Income Statement</t>
  </si>
  <si>
    <t>Sales Revenues</t>
  </si>
  <si>
    <t>Sales Returns and Deductions</t>
  </si>
  <si>
    <t>Net Sales</t>
  </si>
  <si>
    <t>Cost of Goods Sold</t>
  </si>
  <si>
    <t>Gross Profit</t>
  </si>
  <si>
    <t>SG&amp;A</t>
  </si>
  <si>
    <t>Operating Income</t>
  </si>
  <si>
    <t>Financial Income/Expense</t>
  </si>
  <si>
    <t>Net Income</t>
  </si>
  <si>
    <t>Adminsitrative</t>
  </si>
  <si>
    <t>Comercial</t>
  </si>
  <si>
    <t>Occupancy rate</t>
  </si>
  <si>
    <t>Average rate</t>
  </si>
  <si>
    <t>Mai</t>
  </si>
  <si>
    <t>Jun</t>
  </si>
  <si>
    <t>Jul</t>
  </si>
  <si>
    <t>Ago</t>
  </si>
  <si>
    <t>Abr</t>
  </si>
  <si>
    <t>Daily Rate</t>
  </si>
  <si>
    <t>Without Breakfast</t>
  </si>
  <si>
    <t>Full</t>
  </si>
  <si>
    <t>Growth (%)</t>
  </si>
  <si>
    <t>Jan</t>
  </si>
  <si>
    <t>Entrada de nova capacidade 2015</t>
  </si>
  <si>
    <t>Mar</t>
  </si>
  <si>
    <t>Set</t>
  </si>
  <si>
    <t>Out</t>
  </si>
  <si>
    <t>Nov</t>
  </si>
  <si>
    <t>Dez</t>
  </si>
  <si>
    <t>Revenues</t>
  </si>
  <si>
    <t>Revenues Room</t>
  </si>
  <si>
    <t>Revenues Breakfast</t>
  </si>
  <si>
    <t>Growth</t>
  </si>
  <si>
    <t>New Apts</t>
  </si>
  <si>
    <t>Impact on Average Daily Rate</t>
  </si>
  <si>
    <t>Ramp up Wolrd Cup</t>
  </si>
  <si>
    <t>Occupancy Rate Addition</t>
  </si>
  <si>
    <t>Average Daily Rate - Without Breakfast</t>
  </si>
  <si>
    <t>Average Daily rate - Full</t>
  </si>
  <si>
    <t>Revenues - Apartments</t>
  </si>
  <si>
    <t>Operational</t>
  </si>
  <si>
    <t>Alíquota Média</t>
  </si>
  <si>
    <t>F&amp;B - Variable Costs</t>
  </si>
  <si>
    <t>Margim</t>
  </si>
  <si>
    <t>Cash Flow Statement</t>
  </si>
  <si>
    <t>EBITDA</t>
  </si>
  <si>
    <t>CAPEX</t>
  </si>
  <si>
    <t>Working Capital</t>
  </si>
  <si>
    <t>FCFF</t>
  </si>
  <si>
    <t>NPV FCFF</t>
  </si>
  <si>
    <t>NPV Perpetuity</t>
  </si>
  <si>
    <t># Days</t>
  </si>
  <si>
    <t>Assets</t>
  </si>
  <si>
    <t>Liabilities</t>
  </si>
  <si>
    <t>Change in Trade and Other Receivebles</t>
  </si>
  <si>
    <t>Change in Inventory</t>
  </si>
  <si>
    <t>Change in Trade and Other Payables</t>
  </si>
  <si>
    <t>Total Firm NPV</t>
  </si>
  <si>
    <t>Total Change in working capital</t>
  </si>
  <si>
    <t>FCFE</t>
  </si>
  <si>
    <t>Income before taxes</t>
  </si>
  <si>
    <t>Income tax</t>
  </si>
  <si>
    <t>Depreciation</t>
  </si>
  <si>
    <t>CAPM</t>
  </si>
  <si>
    <t>Beta</t>
  </si>
  <si>
    <t>Rf (Treasury 30 years)</t>
  </si>
  <si>
    <t>Rm - Rf (Dow vs. Treasury 30y - 1961)</t>
  </si>
  <si>
    <t>Embi Brazil</t>
  </si>
  <si>
    <t>Size Premium</t>
  </si>
  <si>
    <t>Real Growth - Average Daily Rate</t>
  </si>
  <si>
    <t>Nominal Growth - Average Daily Rate</t>
  </si>
  <si>
    <t>FIFA World Cup</t>
  </si>
  <si>
    <t>Brazilian Elections</t>
  </si>
  <si>
    <t>WACC</t>
  </si>
  <si>
    <t>We</t>
  </si>
  <si>
    <t>Wd</t>
  </si>
  <si>
    <t>Ke</t>
  </si>
  <si>
    <t>Kd</t>
  </si>
  <si>
    <t>Debt</t>
  </si>
  <si>
    <t>No Debt scenario</t>
  </si>
  <si>
    <t>With Debt Scenario</t>
  </si>
  <si>
    <t>Dif Inflation</t>
  </si>
  <si>
    <t>g</t>
  </si>
  <si>
    <t>Inputs</t>
  </si>
  <si>
    <t>Value</t>
  </si>
  <si>
    <t>Source</t>
  </si>
  <si>
    <t>Risk Free Rate</t>
  </si>
  <si>
    <t>US Treasury - 30 years</t>
  </si>
  <si>
    <t>Risk Premium</t>
  </si>
  <si>
    <t>Dow Jones Vs. Treasury - 30 years</t>
  </si>
  <si>
    <t>Risk Brazil</t>
  </si>
  <si>
    <t>Inflation Diference</t>
  </si>
  <si>
    <t>Embi</t>
  </si>
  <si>
    <t>CAPM 1+(2*5)+3+4+6</t>
  </si>
  <si>
    <t>Damodaran</t>
  </si>
  <si>
    <t>BACEN and Bloomberg</t>
  </si>
  <si>
    <t>Costs</t>
  </si>
  <si>
    <t>EBITDA Margin</t>
  </si>
  <si>
    <t>BHG S.A.</t>
  </si>
  <si>
    <t>Innvest Real Estate</t>
  </si>
  <si>
    <t>Summit Hotel Properties</t>
  </si>
  <si>
    <t>Ashford Hospitality</t>
  </si>
  <si>
    <t>Company</t>
  </si>
  <si>
    <t>EV/EBITDA 12 M</t>
  </si>
  <si>
    <t>Average Market</t>
  </si>
  <si>
    <t>Naoum's EBITDA</t>
  </si>
  <si>
    <t>Naoum's EV</t>
  </si>
  <si>
    <t>BRL</t>
  </si>
  <si>
    <t>Discount Rate</t>
  </si>
  <si>
    <t>g*</t>
  </si>
  <si>
    <t>Scenario</t>
  </si>
  <si>
    <t>Firm Value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</si>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</sst>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.000000%"/>
    <numFmt numFmtId="166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  <font>
      <b/>
      <sz val="11"/>
      <color theme="6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0" xfId="0" applyFont="1"/>
    <xf numFmtId="0" fontId="2" fillId="2" borderId="0" xfId="0" applyFont="1" applyFill="1"/>
    <xf numFmtId="10" fontId="2" fillId="0" borderId="0" xfId="1" applyNumberFormat="1" applyFont="1"/>
    <xf numFmtId="43" fontId="2" fillId="0" borderId="0" xfId="2" applyFont="1"/>
    <xf numFmtId="0" fontId="3" fillId="2" borderId="0" xfId="0" applyFont="1" applyFill="1"/>
    <xf numFmtId="164" fontId="2" fillId="0" borderId="0" xfId="2" applyNumberFormat="1" applyFont="1"/>
    <xf numFmtId="17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3" fontId="2" fillId="2" borderId="0" xfId="0" applyNumberFormat="1" applyFont="1" applyFill="1"/>
    <xf numFmtId="164" fontId="3" fillId="0" borderId="0" xfId="2" applyNumberFormat="1" applyFont="1"/>
    <xf numFmtId="43" fontId="2" fillId="0" borderId="0" xfId="2" applyNumberFormat="1" applyFont="1"/>
    <xf numFmtId="43" fontId="2" fillId="0" borderId="0" xfId="0" applyNumberFormat="1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64" fontId="3" fillId="2" borderId="0" xfId="2" applyNumberFormat="1" applyFont="1" applyFill="1" applyBorder="1"/>
    <xf numFmtId="164" fontId="3" fillId="2" borderId="5" xfId="2" applyNumberFormat="1" applyFont="1" applyFill="1" applyBorder="1"/>
    <xf numFmtId="164" fontId="2" fillId="0" borderId="0" xfId="2" applyNumberFormat="1" applyFont="1" applyBorder="1"/>
    <xf numFmtId="164" fontId="2" fillId="0" borderId="5" xfId="2" applyNumberFormat="1" applyFont="1" applyBorder="1"/>
    <xf numFmtId="164" fontId="2" fillId="2" borderId="0" xfId="2" applyNumberFormat="1" applyFont="1" applyFill="1" applyBorder="1"/>
    <xf numFmtId="164" fontId="2" fillId="2" borderId="5" xfId="2" applyNumberFormat="1" applyFont="1" applyFill="1" applyBorder="1"/>
    <xf numFmtId="164" fontId="3" fillId="0" borderId="0" xfId="2" applyNumberFormat="1" applyFont="1" applyBorder="1"/>
    <xf numFmtId="164" fontId="3" fillId="0" borderId="5" xfId="2" applyNumberFormat="1" applyFont="1" applyBorder="1"/>
    <xf numFmtId="164" fontId="2" fillId="0" borderId="7" xfId="2" applyNumberFormat="1" applyFont="1" applyBorder="1"/>
    <xf numFmtId="164" fontId="2" fillId="0" borderId="8" xfId="2" applyNumberFormat="1" applyFont="1" applyBorder="1"/>
    <xf numFmtId="164" fontId="3" fillId="2" borderId="0" xfId="0" applyNumberFormat="1" applyFont="1" applyFill="1" applyBorder="1"/>
    <xf numFmtId="164" fontId="2" fillId="0" borderId="0" xfId="0" applyNumberFormat="1" applyFont="1" applyBorder="1"/>
    <xf numFmtId="0" fontId="2" fillId="0" borderId="0" xfId="0" applyFont="1" applyBorder="1"/>
    <xf numFmtId="0" fontId="2" fillId="2" borderId="0" xfId="0" applyFont="1" applyFill="1" applyBorder="1"/>
    <xf numFmtId="164" fontId="3" fillId="2" borderId="4" xfId="2" applyNumberFormat="1" applyFont="1" applyFill="1" applyBorder="1"/>
    <xf numFmtId="164" fontId="2" fillId="0" borderId="4" xfId="2" applyNumberFormat="1" applyFont="1" applyBorder="1"/>
    <xf numFmtId="164" fontId="2" fillId="2" borderId="4" xfId="2" applyNumberFormat="1" applyFont="1" applyFill="1" applyBorder="1"/>
    <xf numFmtId="164" fontId="3" fillId="0" borderId="4" xfId="2" applyNumberFormat="1" applyFont="1" applyBorder="1"/>
    <xf numFmtId="164" fontId="2" fillId="0" borderId="6" xfId="2" applyNumberFormat="1" applyFont="1" applyBorder="1"/>
    <xf numFmtId="164" fontId="2" fillId="2" borderId="0" xfId="0" applyNumberFormat="1" applyFont="1" applyFill="1" applyBorder="1"/>
    <xf numFmtId="164" fontId="3" fillId="4" borderId="0" xfId="0" applyNumberFormat="1" applyFont="1" applyFill="1" applyBorder="1"/>
    <xf numFmtId="0" fontId="3" fillId="5" borderId="9" xfId="0" applyFont="1" applyFill="1" applyBorder="1" applyAlignment="1">
      <alignment horizontal="centerContinuous"/>
    </xf>
    <xf numFmtId="0" fontId="3" fillId="5" borderId="10" xfId="0" applyFont="1" applyFill="1" applyBorder="1" applyAlignment="1">
      <alignment horizontal="centerContinuous"/>
    </xf>
    <xf numFmtId="0" fontId="3" fillId="5" borderId="11" xfId="0" applyFont="1" applyFill="1" applyBorder="1" applyAlignment="1">
      <alignment horizontal="centerContinuous"/>
    </xf>
    <xf numFmtId="0" fontId="2" fillId="5" borderId="10" xfId="0" applyFont="1" applyFill="1" applyBorder="1" applyAlignment="1">
      <alignment horizontal="centerContinuous"/>
    </xf>
    <xf numFmtId="0" fontId="2" fillId="5" borderId="11" xfId="0" applyFont="1" applyFill="1" applyBorder="1" applyAlignment="1">
      <alignment horizontal="centerContinuous"/>
    </xf>
    <xf numFmtId="17" fontId="5" fillId="3" borderId="2" xfId="0" applyNumberFormat="1" applyFont="1" applyFill="1" applyBorder="1"/>
    <xf numFmtId="17" fontId="4" fillId="3" borderId="2" xfId="0" applyNumberFormat="1" applyFont="1" applyFill="1" applyBorder="1"/>
    <xf numFmtId="17" fontId="4" fillId="3" borderId="3" xfId="0" applyNumberFormat="1" applyFont="1" applyFill="1" applyBorder="1"/>
    <xf numFmtId="0" fontId="2" fillId="0" borderId="4" xfId="0" applyFont="1" applyBorder="1"/>
    <xf numFmtId="10" fontId="2" fillId="0" borderId="0" xfId="1" applyNumberFormat="1" applyFont="1" applyBorder="1"/>
    <xf numFmtId="10" fontId="2" fillId="0" borderId="0" xfId="0" applyNumberFormat="1" applyFont="1" applyBorder="1"/>
    <xf numFmtId="10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2" fillId="0" borderId="7" xfId="1" applyNumberFormat="1" applyFont="1" applyBorder="1"/>
    <xf numFmtId="10" fontId="2" fillId="0" borderId="7" xfId="0" applyNumberFormat="1" applyFont="1" applyBorder="1"/>
    <xf numFmtId="10" fontId="2" fillId="0" borderId="8" xfId="0" applyNumberFormat="1" applyFont="1" applyBorder="1"/>
    <xf numFmtId="10" fontId="2" fillId="0" borderId="5" xfId="1" applyNumberFormat="1" applyFont="1" applyBorder="1"/>
    <xf numFmtId="43" fontId="0" fillId="0" borderId="0" xfId="2" applyFont="1"/>
    <xf numFmtId="43" fontId="2" fillId="0" borderId="0" xfId="0" applyNumberFormat="1" applyFont="1" applyBorder="1"/>
    <xf numFmtId="43" fontId="2" fillId="0" borderId="5" xfId="0" applyNumberFormat="1" applyFont="1" applyBorder="1"/>
    <xf numFmtId="0" fontId="2" fillId="0" borderId="5" xfId="0" applyFont="1" applyBorder="1"/>
    <xf numFmtId="43" fontId="2" fillId="0" borderId="0" xfId="2" applyFont="1" applyBorder="1"/>
    <xf numFmtId="43" fontId="2" fillId="0" borderId="5" xfId="2" applyFont="1" applyBorder="1"/>
    <xf numFmtId="164" fontId="2" fillId="0" borderId="5" xfId="0" applyNumberFormat="1" applyFont="1" applyBorder="1"/>
    <xf numFmtId="0" fontId="3" fillId="0" borderId="4" xfId="0" applyFont="1" applyBorder="1"/>
    <xf numFmtId="0" fontId="3" fillId="0" borderId="6" xfId="0" applyFont="1" applyBorder="1"/>
    <xf numFmtId="164" fontId="3" fillId="0" borderId="7" xfId="2" applyNumberFormat="1" applyFont="1" applyBorder="1"/>
    <xf numFmtId="164" fontId="3" fillId="0" borderId="8" xfId="2" applyNumberFormat="1" applyFont="1" applyBorder="1"/>
    <xf numFmtId="43" fontId="2" fillId="0" borderId="7" xfId="2" applyFont="1" applyBorder="1"/>
    <xf numFmtId="43" fontId="2" fillId="0" borderId="8" xfId="2" applyFont="1" applyBorder="1"/>
    <xf numFmtId="164" fontId="2" fillId="0" borderId="0" xfId="0" applyNumberFormat="1" applyFont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0" fillId="0" borderId="4" xfId="0" applyBorder="1"/>
    <xf numFmtId="164" fontId="0" fillId="0" borderId="0" xfId="2" applyNumberFormat="1" applyFont="1" applyBorder="1"/>
    <xf numFmtId="164" fontId="0" fillId="0" borderId="5" xfId="2" applyNumberFormat="1" applyFont="1" applyBorder="1"/>
    <xf numFmtId="0" fontId="0" fillId="0" borderId="6" xfId="0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1" xfId="1" applyNumberFormat="1" applyFont="1" applyBorder="1"/>
    <xf numFmtId="10" fontId="0" fillId="0" borderId="2" xfId="1" applyNumberFormat="1" applyFont="1" applyBorder="1"/>
    <xf numFmtId="10" fontId="0" fillId="0" borderId="3" xfId="1" applyNumberFormat="1" applyFont="1" applyBorder="1"/>
    <xf numFmtId="0" fontId="0" fillId="0" borderId="7" xfId="0" applyBorder="1"/>
    <xf numFmtId="0" fontId="0" fillId="0" borderId="8" xfId="0" applyBorder="1"/>
    <xf numFmtId="10" fontId="0" fillId="0" borderId="0" xfId="0" applyNumberFormat="1"/>
    <xf numFmtId="164" fontId="0" fillId="6" borderId="0" xfId="2" applyNumberFormat="1" applyFont="1" applyFill="1" applyBorder="1"/>
    <xf numFmtId="164" fontId="0" fillId="6" borderId="5" xfId="2" applyNumberFormat="1" applyFont="1" applyFill="1" applyBorder="1"/>
    <xf numFmtId="9" fontId="0" fillId="6" borderId="7" xfId="0" applyNumberFormat="1" applyFill="1" applyBorder="1"/>
    <xf numFmtId="9" fontId="0" fillId="6" borderId="8" xfId="0" applyNumberFormat="1" applyFill="1" applyBorder="1"/>
    <xf numFmtId="10" fontId="0" fillId="6" borderId="0" xfId="0" applyNumberFormat="1" applyFill="1"/>
    <xf numFmtId="10" fontId="0" fillId="6" borderId="0" xfId="1" applyNumberFormat="1" applyFont="1" applyFill="1"/>
    <xf numFmtId="164" fontId="0" fillId="6" borderId="0" xfId="0" applyNumberFormat="1" applyFill="1" applyBorder="1"/>
    <xf numFmtId="164" fontId="0" fillId="6" borderId="5" xfId="0" applyNumberFormat="1" applyFill="1" applyBorder="1"/>
    <xf numFmtId="164" fontId="0" fillId="0" borderId="0" xfId="2" applyNumberFormat="1" applyFont="1" applyFill="1" applyBorder="1"/>
    <xf numFmtId="164" fontId="0" fillId="0" borderId="5" xfId="2" applyNumberFormat="1" applyFont="1" applyFill="1" applyBorder="1"/>
    <xf numFmtId="10" fontId="0" fillId="0" borderId="0" xfId="0" applyNumberFormat="1" applyBorder="1"/>
    <xf numFmtId="10" fontId="0" fillId="6" borderId="0" xfId="1" applyNumberFormat="1" applyFont="1" applyFill="1" applyBorder="1"/>
    <xf numFmtId="10" fontId="0" fillId="6" borderId="5" xfId="1" applyNumberFormat="1" applyFont="1" applyFill="1" applyBorder="1"/>
    <xf numFmtId="0" fontId="0" fillId="7" borderId="0" xfId="0" applyFill="1" applyBorder="1"/>
    <xf numFmtId="43" fontId="0" fillId="0" borderId="0" xfId="0" applyNumberFormat="1" applyBorder="1"/>
    <xf numFmtId="43" fontId="0" fillId="0" borderId="0" xfId="2" applyFont="1" applyFill="1" applyBorder="1"/>
    <xf numFmtId="43" fontId="0" fillId="0" borderId="5" xfId="2" applyFont="1" applyFill="1" applyBorder="1"/>
    <xf numFmtId="43" fontId="0" fillId="7" borderId="0" xfId="2" applyFont="1" applyFill="1" applyBorder="1"/>
    <xf numFmtId="0" fontId="0" fillId="0" borderId="0" xfId="0" applyBorder="1"/>
    <xf numFmtId="164" fontId="0" fillId="0" borderId="7" xfId="2" applyNumberFormat="1" applyFont="1" applyBorder="1"/>
    <xf numFmtId="164" fontId="0" fillId="0" borderId="8" xfId="2" applyNumberFormat="1" applyFont="1" applyBorder="1"/>
    <xf numFmtId="10" fontId="2" fillId="0" borderId="0" xfId="0" applyNumberFormat="1" applyFont="1"/>
    <xf numFmtId="0" fontId="7" fillId="3" borderId="0" xfId="0" applyFont="1" applyFill="1"/>
    <xf numFmtId="0" fontId="4" fillId="3" borderId="0" xfId="0" applyFont="1" applyFill="1"/>
    <xf numFmtId="164" fontId="2" fillId="0" borderId="7" xfId="0" applyNumberFormat="1" applyFont="1" applyBorder="1"/>
    <xf numFmtId="164" fontId="2" fillId="0" borderId="8" xfId="0" applyNumberFormat="1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64" fontId="2" fillId="2" borderId="7" xfId="2" applyNumberFormat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0" fontId="3" fillId="2" borderId="1" xfId="0" applyFont="1" applyFill="1" applyBorder="1"/>
    <xf numFmtId="164" fontId="2" fillId="2" borderId="2" xfId="2" applyNumberFormat="1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3" fillId="2" borderId="4" xfId="0" applyFont="1" applyFill="1" applyBorder="1"/>
    <xf numFmtId="164" fontId="2" fillId="2" borderId="5" xfId="0" applyNumberFormat="1" applyFont="1" applyFill="1" applyBorder="1"/>
    <xf numFmtId="0" fontId="3" fillId="8" borderId="6" xfId="0" applyFont="1" applyFill="1" applyBorder="1"/>
    <xf numFmtId="0" fontId="2" fillId="8" borderId="7" xfId="0" applyFont="1" applyFill="1" applyBorder="1"/>
    <xf numFmtId="164" fontId="2" fillId="8" borderId="7" xfId="0" applyNumberFormat="1" applyFont="1" applyFill="1" applyBorder="1"/>
    <xf numFmtId="164" fontId="2" fillId="8" borderId="8" xfId="0" applyNumberFormat="1" applyFont="1" applyFill="1" applyBorder="1"/>
    <xf numFmtId="0" fontId="6" fillId="3" borderId="0" xfId="0" applyFont="1" applyFill="1"/>
    <xf numFmtId="164" fontId="3" fillId="0" borderId="0" xfId="0" applyNumberFormat="1" applyFont="1" applyFill="1" applyBorder="1"/>
    <xf numFmtId="164" fontId="2" fillId="0" borderId="0" xfId="2" applyNumberFormat="1" applyFont="1" applyFill="1" applyBorder="1"/>
    <xf numFmtId="0" fontId="2" fillId="2" borderId="4" xfId="0" applyFont="1" applyFill="1" applyBorder="1" applyAlignment="1">
      <alignment horizontal="left" indent="2"/>
    </xf>
    <xf numFmtId="0" fontId="2" fillId="0" borderId="4" xfId="0" applyFont="1" applyBorder="1" applyAlignment="1">
      <alignment horizontal="left" indent="2"/>
    </xf>
    <xf numFmtId="164" fontId="2" fillId="0" borderId="5" xfId="2" applyNumberFormat="1" applyFont="1" applyFill="1" applyBorder="1"/>
    <xf numFmtId="164" fontId="3" fillId="2" borderId="5" xfId="0" applyNumberFormat="1" applyFont="1" applyFill="1" applyBorder="1"/>
    <xf numFmtId="0" fontId="3" fillId="4" borderId="4" xfId="0" applyFont="1" applyFill="1" applyBorder="1"/>
    <xf numFmtId="164" fontId="3" fillId="4" borderId="5" xfId="0" applyNumberFormat="1" applyFont="1" applyFill="1" applyBorder="1"/>
    <xf numFmtId="0" fontId="3" fillId="0" borderId="4" xfId="0" applyFont="1" applyFill="1" applyBorder="1" applyAlignment="1">
      <alignment horizontal="left"/>
    </xf>
    <xf numFmtId="164" fontId="3" fillId="0" borderId="5" xfId="0" applyNumberFormat="1" applyFont="1" applyFill="1" applyBorder="1"/>
    <xf numFmtId="0" fontId="2" fillId="2" borderId="4" xfId="0" applyFont="1" applyFill="1" applyBorder="1" applyAlignment="1">
      <alignment horizontal="left"/>
    </xf>
    <xf numFmtId="0" fontId="3" fillId="4" borderId="6" xfId="0" applyFont="1" applyFill="1" applyBorder="1"/>
    <xf numFmtId="164" fontId="3" fillId="4" borderId="7" xfId="0" applyNumberFormat="1" applyFont="1" applyFill="1" applyBorder="1"/>
    <xf numFmtId="164" fontId="3" fillId="4" borderId="8" xfId="0" applyNumberFormat="1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64" fontId="2" fillId="0" borderId="7" xfId="0" applyNumberFormat="1" applyFont="1" applyFill="1" applyBorder="1"/>
    <xf numFmtId="164" fontId="2" fillId="0" borderId="8" xfId="0" applyNumberFormat="1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5" xfId="0" applyNumberFormat="1" applyFont="1" applyFill="1" applyBorder="1"/>
    <xf numFmtId="10" fontId="2" fillId="0" borderId="0" xfId="0" applyNumberFormat="1" applyFont="1" applyFill="1" applyBorder="1"/>
    <xf numFmtId="0" fontId="4" fillId="0" borderId="0" xfId="0" applyFont="1" applyFill="1" applyBorder="1"/>
    <xf numFmtId="10" fontId="2" fillId="0" borderId="5" xfId="0" applyNumberFormat="1" applyFont="1" applyFill="1" applyBorder="1"/>
    <xf numFmtId="0" fontId="2" fillId="0" borderId="5" xfId="0" applyFont="1" applyFill="1" applyBorder="1"/>
    <xf numFmtId="0" fontId="3" fillId="0" borderId="6" xfId="0" applyFont="1" applyFill="1" applyBorder="1"/>
    <xf numFmtId="10" fontId="3" fillId="0" borderId="8" xfId="1" applyNumberFormat="1" applyFont="1" applyFill="1" applyBorder="1"/>
    <xf numFmtId="10" fontId="3" fillId="0" borderId="0" xfId="0" applyNumberFormat="1" applyFont="1" applyFill="1" applyBorder="1"/>
    <xf numFmtId="0" fontId="0" fillId="0" borderId="4" xfId="0" applyFill="1" applyBorder="1"/>
    <xf numFmtId="10" fontId="0" fillId="0" borderId="0" xfId="1" applyNumberFormat="1" applyFont="1"/>
    <xf numFmtId="10" fontId="0" fillId="0" borderId="0" xfId="1" applyNumberFormat="1" applyFont="1" applyFill="1" applyBorder="1"/>
    <xf numFmtId="10" fontId="0" fillId="0" borderId="5" xfId="1" applyNumberFormat="1" applyFont="1" applyFill="1" applyBorder="1"/>
    <xf numFmtId="0" fontId="7" fillId="3" borderId="3" xfId="0" applyFont="1" applyFill="1" applyBorder="1"/>
    <xf numFmtId="10" fontId="3" fillId="0" borderId="8" xfId="1" applyNumberFormat="1" applyFont="1" applyBorder="1"/>
    <xf numFmtId="164" fontId="4" fillId="3" borderId="2" xfId="0" applyNumberFormat="1" applyFont="1" applyFill="1" applyBorder="1"/>
    <xf numFmtId="164" fontId="4" fillId="3" borderId="3" xfId="0" applyNumberFormat="1" applyFont="1" applyFill="1" applyBorder="1"/>
    <xf numFmtId="0" fontId="3" fillId="0" borderId="7" xfId="0" applyFont="1" applyBorder="1"/>
    <xf numFmtId="164" fontId="3" fillId="0" borderId="7" xfId="0" applyNumberFormat="1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5" xfId="0" applyFont="1" applyBorder="1"/>
    <xf numFmtId="165" fontId="3" fillId="0" borderId="7" xfId="1" applyNumberFormat="1" applyFont="1" applyBorder="1"/>
    <xf numFmtId="10" fontId="2" fillId="2" borderId="0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0" fontId="3" fillId="2" borderId="7" xfId="0" applyNumberFormat="1" applyFont="1" applyFill="1" applyBorder="1"/>
    <xf numFmtId="0" fontId="3" fillId="2" borderId="8" xfId="0" applyFont="1" applyFill="1" applyBorder="1"/>
    <xf numFmtId="43" fontId="2" fillId="2" borderId="5" xfId="2" applyFont="1" applyFill="1" applyBorder="1"/>
    <xf numFmtId="43" fontId="3" fillId="8" borderId="8" xfId="0" applyNumberFormat="1" applyFont="1" applyFill="1" applyBorder="1"/>
    <xf numFmtId="166" fontId="2" fillId="0" borderId="0" xfId="1" applyNumberFormat="1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10" fontId="4" fillId="3" borderId="2" xfId="1" applyNumberFormat="1" applyFont="1" applyFill="1" applyBorder="1"/>
    <xf numFmtId="10" fontId="4" fillId="3" borderId="3" xfId="1" applyNumberFormat="1" applyFont="1" applyFill="1" applyBorder="1"/>
    <xf numFmtId="10" fontId="4" fillId="3" borderId="4" xfId="1" applyNumberFormat="1" applyFont="1" applyFill="1" applyBorder="1"/>
    <xf numFmtId="10" fontId="4" fillId="3" borderId="6" xfId="1" applyNumberFormat="1" applyFont="1" applyFill="1" applyBorder="1"/>
    <xf numFmtId="164" fontId="3" fillId="8" borderId="0" xfId="2" applyNumberFormat="1" applyFont="1" applyFill="1" applyBorder="1"/>
    <xf numFmtId="9" fontId="4" fillId="3" borderId="3" xfId="0" applyNumberFormat="1" applyFont="1" applyFill="1" applyBorder="1" applyAlignment="1">
      <alignment horizontal="center"/>
    </xf>
    <xf numFmtId="0" fontId="4" fillId="3" borderId="12" xfId="0" applyFont="1" applyFill="1" applyBorder="1"/>
    <xf numFmtId="9" fontId="4" fillId="3" borderId="12" xfId="0" applyNumberFormat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2" borderId="13" xfId="0" applyFont="1" applyFill="1" applyBorder="1"/>
    <xf numFmtId="164" fontId="3" fillId="2" borderId="13" xfId="2" applyNumberFormat="1" applyFont="1" applyFill="1" applyBorder="1"/>
    <xf numFmtId="164" fontId="3" fillId="2" borderId="8" xfId="2" applyNumberFormat="1" applyFont="1" applyFill="1" applyBorder="1"/>
    <xf numFmtId="9" fontId="2" fillId="0" borderId="0" xfId="1" applyFont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'Gerencial Anual'!$C$26</c:f>
              <c:strCache>
                <c:ptCount val="1"/>
                <c:pt idx="0">
                  <c:v>Total Revenues</c:v>
                </c:pt>
              </c:strCache>
            </c:strRef>
          </c:tx>
          <c:spPr>
            <a:solidFill>
              <a:srgbClr val="92D05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_(&quot;R$&quot;* #,##0_);_(&quot;R$&quot;* \(#,##0\);_(&quot;R$&quot;* &quot;-&quot;_);_(@_)" sourceLinked="0"/>
            <c:txPr>
              <a:bodyPr rot="-5400000" vert="horz"/>
              <a:lstStyle/>
              <a:p>
                <a:pPr>
                  <a:defRPr b="1"/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'Gerencial Anual'!$H$2:$R$2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'Gerencial Anual'!$H$26:$R$26</c:f>
              <c:numCache>
                <c:formatCode>_-* #,##0_-;\-* #,##0_-;_-* "-"??_-;_-@_-</c:formatCode>
                <c:ptCount val="11"/>
                <c:pt idx="0">
                  <c:v>22932995</c:v>
                </c:pt>
                <c:pt idx="1">
                  <c:v>26132289.436349098</c:v>
                </c:pt>
                <c:pt idx="2">
                  <c:v>24398098.731116034</c:v>
                </c:pt>
                <c:pt idx="3">
                  <c:v>25465123.496326663</c:v>
                </c:pt>
                <c:pt idx="4">
                  <c:v>27197962.53797603</c:v>
                </c:pt>
                <c:pt idx="5">
                  <c:v>28471961.291502364</c:v>
                </c:pt>
                <c:pt idx="6">
                  <c:v>29822627.083285347</c:v>
                </c:pt>
                <c:pt idx="7">
                  <c:v>31417714.023501977</c:v>
                </c:pt>
                <c:pt idx="8">
                  <c:v>32911518.589352909</c:v>
                </c:pt>
                <c:pt idx="9">
                  <c:v>34672175.288286716</c:v>
                </c:pt>
                <c:pt idx="10">
                  <c:v>36318046.421239026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313728"/>
        <c:axId val="182589696"/>
      </c:barChart>
      <c:catAx>
        <c:axId val="18231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589696"/>
        <c:crosses val="autoZero"/>
        <c:auto val="1"/>
        <c:lblAlgn val="ctr"/>
        <c:lblOffset val="100"/>
        <c:noMultiLvlLbl val="0"/>
      </c:catAx>
      <c:valAx>
        <c:axId val="182589696"/>
        <c:scaling>
          <c:orientation val="minMax"/>
        </c:scaling>
        <c:delete val="1"/>
        <c:axPos val="l"/>
        <c:numFmt formatCode="_-* #,##0_-;\-* #,##0_-;_-* &quot;-&quot;??_-;_-@_-" sourceLinked="1"/>
        <c:majorTickMark val="out"/>
        <c:minorTickMark val="none"/>
        <c:tickLblPos val="nextTo"/>
        <c:crossAx val="182313728"/>
        <c:crosses val="autoZero"/>
        <c:crossBetween val="between"/>
      </c:val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'Gerencial Anual'!$C$10</c:f>
              <c:strCache>
                <c:ptCount val="1"/>
                <c:pt idx="0">
                  <c:v>RevPAR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'Gerencial Anual'!$I$2:$R$2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'Gerencial Anual'!$I$10:$R$10</c:f>
              <c:numCache>
                <c:formatCode>_(* #,##0.00_);_(* \(#,##0.00\);_(* "-"??_);_(@_)</c:formatCode>
                <c:ptCount val="10"/>
                <c:pt idx="0">
                  <c:v>282.51214400116464</c:v>
                </c:pt>
                <c:pt idx="1">
                  <c:v>251.14791647078135</c:v>
                </c:pt>
                <c:pt idx="2">
                  <c:v>261.19603334897283</c:v>
                </c:pt>
                <c:pt idx="3">
                  <c:v>280.62013756500255</c:v>
                </c:pt>
                <c:pt idx="4">
                  <c:v>293.50589659881285</c:v>
                </c:pt>
                <c:pt idx="5">
                  <c:v>307.4474266872565</c:v>
                </c:pt>
                <c:pt idx="6">
                  <c:v>324.73493928369203</c:v>
                </c:pt>
                <c:pt idx="7">
                  <c:v>340.15984889966745</c:v>
                </c:pt>
                <c:pt idx="8">
                  <c:v>359.16798125618089</c:v>
                </c:pt>
                <c:pt idx="9">
                  <c:v>376.22846036584951</c:v>
                </c:pt>
              </c:numCache>
            </c:numRef>
          </c:val>
        </c:ser>
        <c:ser>
          <c:idx val="1"/>
          <c:order val="1"/>
          <c:tx>
            <c:strRef>
              <c:f>'Gerencial Anual'!$C$12</c:f>
              <c:strCache>
                <c:ptCount val="1"/>
                <c:pt idx="0">
                  <c:v>Daily Rate (Full)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'Gerencial Anual'!$I$2:$R$2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'Gerencial Anual'!$I$12:$R$12</c:f>
              <c:numCache>
                <c:formatCode>_(* #,##0.00_);_(* \(#,##0.00\);_(* "-"??_);_(@_)</c:formatCode>
                <c:ptCount val="10"/>
                <c:pt idx="0">
                  <c:v>467.67163545229215</c:v>
                </c:pt>
                <c:pt idx="1">
                  <c:v>432.03684805769819</c:v>
                </c:pt>
                <c:pt idx="2">
                  <c:v>492.82270443202418</c:v>
                </c:pt>
                <c:pt idx="3">
                  <c:v>529.47195766981611</c:v>
                </c:pt>
                <c:pt idx="4">
                  <c:v>543.52943814594971</c:v>
                </c:pt>
                <c:pt idx="5">
                  <c:v>569.34708645788237</c:v>
                </c:pt>
                <c:pt idx="6">
                  <c:v>590.42716233398551</c:v>
                </c:pt>
                <c:pt idx="7">
                  <c:v>618.47245254484983</c:v>
                </c:pt>
                <c:pt idx="8">
                  <c:v>641.37139510032296</c:v>
                </c:pt>
                <c:pt idx="9">
                  <c:v>671.83653636758834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953664"/>
        <c:axId val="58732544"/>
      </c:barChart>
      <c:lineChart>
        <c:grouping val="standard"/>
        <c:varyColors val="0"/>
        <c:ser>
          <c:idx val="2"/>
          <c:order val="2"/>
          <c:tx>
            <c:strRef>
              <c:f>'Gerencial Anual'!$C$7</c:f>
              <c:strCache>
                <c:ptCount val="1"/>
                <c:pt idx="0">
                  <c:v>Occupancy Rate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'Gerencial Anual'!$I$2:$R$2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'Gerencial Anual'!$I$7:$R$7</c:f>
              <c:numCache>
                <c:formatCode>0.00%</c:formatCode>
                <c:ptCount val="10"/>
                <c:pt idx="0">
                  <c:v>0.60408227180154506</c:v>
                </c:pt>
                <c:pt idx="1">
                  <c:v>0.58131133397501489</c:v>
                </c:pt>
                <c:pt idx="2">
                  <c:v>0.53</c:v>
                </c:pt>
                <c:pt idx="3">
                  <c:v>0.53</c:v>
                </c:pt>
                <c:pt idx="4">
                  <c:v>0.54</c:v>
                </c:pt>
                <c:pt idx="5">
                  <c:v>0.54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0.56000000000000005</c:v>
                </c:pt>
                <c:pt idx="9">
                  <c:v>0.56000000000000005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35616"/>
        <c:axId val="58734080"/>
      </c:lineChart>
      <c:catAx>
        <c:axId val="5595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732544"/>
        <c:crosses val="autoZero"/>
        <c:auto val="1"/>
        <c:lblAlgn val="ctr"/>
        <c:lblOffset val="100"/>
        <c:noMultiLvlLbl val="0"/>
      </c:catAx>
      <c:valAx>
        <c:axId val="5873254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crossAx val="55953664"/>
        <c:crosses val="autoZero"/>
        <c:crossBetween val="between"/>
      </c:valAx>
      <c:valAx>
        <c:axId val="587340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8735616"/>
        <c:crosses val="max"/>
        <c:crossBetween val="between"/>
      </c:valAx>
      <c:catAx>
        <c:axId val="5873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734080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'Gerencial Anual'!$C$74</c:f>
              <c:strCache>
                <c:ptCount val="1"/>
                <c:pt idx="0">
                  <c:v>Costs</c:v>
                </c:pt>
              </c:strCache>
            </c:strRef>
          </c:tx>
          <c:invertIfNegative val="0"/>
          <c:dLbls>
            <c:numFmt formatCode="#,##0" sourceLinked="0"/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'Gerencial Anual'!$I$2:$R$2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'Gerencial Anual'!$I$74:$R$74</c:f>
              <c:numCache>
                <c:formatCode>_-* #,##0_-;\-* #,##0_-;_-* "-"??_-;_-@_-</c:formatCode>
                <c:ptCount val="10"/>
                <c:pt idx="0">
                  <c:v>16306941.279845219</c:v>
                </c:pt>
                <c:pt idx="1">
                  <c:v>16872629.415003434</c:v>
                </c:pt>
                <c:pt idx="2">
                  <c:v>17783217.388466883</c:v>
                </c:pt>
                <c:pt idx="3">
                  <c:v>18777555.996360686</c:v>
                </c:pt>
                <c:pt idx="4">
                  <c:v>19667273.319642927</c:v>
                </c:pt>
                <c:pt idx="5">
                  <c:v>20601251.857650097</c:v>
                </c:pt>
                <c:pt idx="6">
                  <c:v>21601911.260390591</c:v>
                </c:pt>
                <c:pt idx="7">
                  <c:v>22628183.1843017</c:v>
                </c:pt>
                <c:pt idx="8">
                  <c:v>23727455.148925181</c:v>
                </c:pt>
                <c:pt idx="9">
                  <c:v>24854378.38717714</c:v>
                </c:pt>
              </c:numCache>
            </c:numRef>
          </c:val>
        </c:ser>
        <c:ser>
          <c:idx val="1"/>
          <c:order val="1"/>
          <c:tx>
            <c:strRef>
              <c:f>'Gerencial Anual'!$C$67</c:f>
              <c:strCache>
                <c:ptCount val="1"/>
                <c:pt idx="0">
                  <c:v>EBITDA</c:v>
                </c:pt>
              </c:strCache>
            </c:strRef>
          </c:tx>
          <c:invertIfNegative val="0"/>
          <c:dLbls>
            <c:numFmt formatCode="#,##0" sourceLinked="0"/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'Gerencial Anual'!$I$2:$R$2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'Gerencial Anual'!$I$67:$R$67</c:f>
              <c:numCache>
                <c:formatCode>_-* #,##0_-;\-* #,##0_-;_-* "-"??_-;_-@_-</c:formatCode>
                <c:ptCount val="10"/>
                <c:pt idx="0">
                  <c:v>9825348.1565038785</c:v>
                </c:pt>
                <c:pt idx="1">
                  <c:v>7525469.3161126021</c:v>
                </c:pt>
                <c:pt idx="2">
                  <c:v>7681906.1078597782</c:v>
                </c:pt>
                <c:pt idx="3">
                  <c:v>8420406.5416153446</c:v>
                </c:pt>
                <c:pt idx="4">
                  <c:v>8804687.9718594383</c:v>
                </c:pt>
                <c:pt idx="5">
                  <c:v>9221375.2256352492</c:v>
                </c:pt>
                <c:pt idx="6">
                  <c:v>9815802.7631113902</c:v>
                </c:pt>
                <c:pt idx="7">
                  <c:v>10283335.405051209</c:v>
                </c:pt>
                <c:pt idx="8">
                  <c:v>10944720.139361538</c:v>
                </c:pt>
                <c:pt idx="9">
                  <c:v>11463668.034061888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747520"/>
        <c:axId val="58761600"/>
      </c:barChart>
      <c:lineChart>
        <c:grouping val="standard"/>
        <c:varyColors val="0"/>
        <c:ser>
          <c:idx val="2"/>
          <c:order val="2"/>
          <c:tx>
            <c:strRef>
              <c:f>'Gerencial Anual'!$C$69</c:f>
              <c:strCache>
                <c:ptCount val="1"/>
                <c:pt idx="0">
                  <c:v>EBITDA Margin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'Gerencial Anual'!$I$2:$R$2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'Gerencial Anual'!$I$69:$R$69</c:f>
              <c:numCache>
                <c:formatCode>0.00%</c:formatCode>
                <c:ptCount val="10"/>
                <c:pt idx="0">
                  <c:v>0.37598497370219558</c:v>
                </c:pt>
                <c:pt idx="1">
                  <c:v>0.30844490790239404</c:v>
                </c:pt>
                <c:pt idx="2">
                  <c:v>0.30166380732329418</c:v>
                </c:pt>
                <c:pt idx="3">
                  <c:v>0.30959696079653326</c:v>
                </c:pt>
                <c:pt idx="4">
                  <c:v>0.30924065545450335</c:v>
                </c:pt>
                <c:pt idx="5">
                  <c:v>0.30920734111997605</c:v>
                </c:pt>
                <c:pt idx="6">
                  <c:v>0.3124289296085862</c:v>
                </c:pt>
                <c:pt idx="7">
                  <c:v>0.31245399318577582</c:v>
                </c:pt>
                <c:pt idx="8">
                  <c:v>0.31566292130101764</c:v>
                </c:pt>
                <c:pt idx="9">
                  <c:v>0.31564660447589116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64672"/>
        <c:axId val="58763136"/>
      </c:lineChart>
      <c:catAx>
        <c:axId val="5874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761600"/>
        <c:crosses val="autoZero"/>
        <c:auto val="1"/>
        <c:lblAlgn val="ctr"/>
        <c:lblOffset val="100"/>
        <c:noMultiLvlLbl val="0"/>
      </c:catAx>
      <c:valAx>
        <c:axId val="58761600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crossAx val="58747520"/>
        <c:crosses val="autoZero"/>
        <c:crossBetween val="between"/>
      </c:valAx>
      <c:valAx>
        <c:axId val="587631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8764672"/>
        <c:crosses val="max"/>
        <c:crossBetween val="between"/>
      </c:valAx>
      <c:catAx>
        <c:axId val="58764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763136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203200</xdr:colOff>
      <xdr:row>32</xdr:row>
      <xdr:rowOff>50808</xdr:rowOff>
    </xdr:from>
    <xdr:to>
      <xdr:col>27</xdr:col>
      <xdr:colOff>241300</xdr:colOff>
      <xdr:row>50</xdr:row>
      <xdr:rowOff>139700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241300</xdr:colOff>
      <xdr:row>3</xdr:row>
      <xdr:rowOff>19048</xdr:rowOff>
    </xdr:from>
    <xdr:to>
      <xdr:col>31</xdr:col>
      <xdr:colOff>444500</xdr:colOff>
      <xdr:row>26</xdr:row>
      <xdr:rowOff>142874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190500</xdr:colOff>
      <xdr:row>51</xdr:row>
      <xdr:rowOff>120648</xdr:rowOff>
    </xdr:from>
    <xdr:to>
      <xdr:col>29</xdr:col>
      <xdr:colOff>304800</xdr:colOff>
      <xdr:row>70</xdr:row>
      <xdr:rowOff>139699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showGridLines="0" zoomScale="75" zoomScaleNormal="75" workbookViewId="0"/>
  </sheetViews>
  <sheetFormatPr defaultRowHeight="15" x14ac:dyDescent="0.25"/>
  <cols>
    <col min="1" max="1" width="2.42578125" customWidth="1"/>
    <col min="2" max="2" width="26.140625" bestFit="1" customWidth="1"/>
  </cols>
  <sheetData>
    <row r="2" spans="2:13" ht="14.45" x14ac:dyDescent="0.35">
      <c r="B2" s="129"/>
      <c r="C2" s="129"/>
      <c r="D2" s="129">
        <v>2014</v>
      </c>
      <c r="E2" s="129">
        <v>2015</v>
      </c>
      <c r="F2" s="129">
        <v>2016</v>
      </c>
      <c r="G2" s="129">
        <v>2017</v>
      </c>
      <c r="H2" s="129">
        <v>2018</v>
      </c>
      <c r="I2" s="129">
        <v>2019</v>
      </c>
      <c r="J2" s="129">
        <v>2020</v>
      </c>
      <c r="K2" s="129">
        <v>2021</v>
      </c>
      <c r="L2" s="129">
        <v>2022</v>
      </c>
      <c r="M2" s="129">
        <v>2023</v>
      </c>
    </row>
    <row r="3" spans="2:13" x14ac:dyDescent="0.25">
      <c r="B3" t="s">
        <v>1</v>
      </c>
      <c r="C3" t="s">
        <v>0</v>
      </c>
      <c r="D3" s="80">
        <v>5.7500000000000002E-2</v>
      </c>
      <c r="E3" s="81">
        <v>5.9700000000000003E-2</v>
      </c>
      <c r="F3" s="81">
        <v>5.62E-2</v>
      </c>
      <c r="G3" s="81">
        <v>5.33E-2</v>
      </c>
      <c r="H3" s="82">
        <v>4.7500000000000001E-2</v>
      </c>
      <c r="I3" s="85">
        <f>H3</f>
        <v>4.7500000000000001E-2</v>
      </c>
      <c r="J3" s="85">
        <f t="shared" ref="J3:L3" si="0">I3</f>
        <v>4.7500000000000001E-2</v>
      </c>
      <c r="K3" s="85">
        <f t="shared" si="0"/>
        <v>4.7500000000000001E-2</v>
      </c>
      <c r="L3" s="85">
        <f t="shared" si="0"/>
        <v>4.7500000000000001E-2</v>
      </c>
      <c r="M3" s="85">
        <f t="shared" ref="M3" si="1">L3</f>
        <v>4.7500000000000001E-2</v>
      </c>
    </row>
    <row r="4" spans="2:13" x14ac:dyDescent="0.25">
      <c r="B4" t="s">
        <v>1</v>
      </c>
      <c r="C4" t="s">
        <v>2</v>
      </c>
      <c r="D4" s="77">
        <v>2.39</v>
      </c>
      <c r="E4" s="83">
        <v>2.58</v>
      </c>
      <c r="F4" s="83">
        <v>2.66</v>
      </c>
      <c r="G4" s="83">
        <v>2.73</v>
      </c>
      <c r="H4" s="84">
        <v>2.42</v>
      </c>
      <c r="I4" s="57">
        <f>H4</f>
        <v>2.42</v>
      </c>
      <c r="J4" s="57">
        <f t="shared" ref="J4:L4" si="2">I4</f>
        <v>2.42</v>
      </c>
      <c r="K4" s="57">
        <f t="shared" si="2"/>
        <v>2.42</v>
      </c>
      <c r="L4" s="57">
        <f t="shared" si="2"/>
        <v>2.42</v>
      </c>
      <c r="M4" s="57">
        <f t="shared" ref="M4" si="3">L4</f>
        <v>2.42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62"/>
  <sheetViews>
    <sheetView showGridLines="0" zoomScale="75" zoomScaleNormal="75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B77" sqref="B77"/>
    </sheetView>
  </sheetViews>
  <sheetFormatPr defaultColWidth="8.7109375" defaultRowHeight="14.25" x14ac:dyDescent="0.2"/>
  <cols>
    <col min="1" max="1" width="1.42578125" style="1" customWidth="1"/>
    <col min="2" max="2" width="32.42578125" style="1" bestFit="1" customWidth="1"/>
    <col min="3" max="3" width="15.140625" style="1" bestFit="1" customWidth="1"/>
    <col min="4" max="12" width="15.28515625" style="1" bestFit="1" customWidth="1"/>
    <col min="13" max="14" width="15.140625" style="1" bestFit="1" customWidth="1"/>
    <col min="15" max="15" width="12.85546875" style="1" bestFit="1" customWidth="1"/>
    <col min="16" max="26" width="15.140625" style="1" bestFit="1" customWidth="1"/>
    <col min="27" max="38" width="16.140625" style="1" customWidth="1"/>
    <col min="39" max="51" width="15.85546875" style="1" customWidth="1"/>
    <col min="52" max="62" width="15.5703125" style="1" customWidth="1"/>
    <col min="63" max="16384" width="8.7109375" style="1"/>
  </cols>
  <sheetData>
    <row r="2" spans="2:62" ht="13.5" x14ac:dyDescent="0.25">
      <c r="C2" s="7">
        <v>39814</v>
      </c>
      <c r="D2" s="7">
        <v>39845</v>
      </c>
      <c r="E2" s="7">
        <v>39873</v>
      </c>
      <c r="F2" s="7">
        <v>39904</v>
      </c>
      <c r="G2" s="7">
        <v>39934</v>
      </c>
      <c r="H2" s="7">
        <v>39965</v>
      </c>
      <c r="I2" s="7">
        <v>39995</v>
      </c>
      <c r="J2" s="7">
        <v>40026</v>
      </c>
      <c r="K2" s="7">
        <v>40057</v>
      </c>
      <c r="L2" s="7">
        <v>40087</v>
      </c>
      <c r="M2" s="7">
        <v>40118</v>
      </c>
      <c r="N2" s="7">
        <v>40148</v>
      </c>
      <c r="O2" s="7">
        <v>40179</v>
      </c>
      <c r="P2" s="7">
        <v>40210</v>
      </c>
      <c r="Q2" s="7">
        <v>40238</v>
      </c>
      <c r="R2" s="7">
        <v>40269</v>
      </c>
      <c r="S2" s="7">
        <v>40299</v>
      </c>
      <c r="T2" s="7">
        <v>40330</v>
      </c>
      <c r="U2" s="7">
        <v>40360</v>
      </c>
      <c r="V2" s="7">
        <v>40391</v>
      </c>
      <c r="W2" s="7">
        <v>40422</v>
      </c>
      <c r="X2" s="7">
        <v>40452</v>
      </c>
      <c r="Y2" s="7">
        <v>40483</v>
      </c>
      <c r="Z2" s="7">
        <v>40513</v>
      </c>
      <c r="AA2" s="7">
        <v>40544</v>
      </c>
      <c r="AB2" s="7">
        <v>40575</v>
      </c>
      <c r="AC2" s="7">
        <v>40603</v>
      </c>
      <c r="AD2" s="7">
        <v>40634</v>
      </c>
      <c r="AE2" s="7">
        <v>40664</v>
      </c>
      <c r="AF2" s="7">
        <v>40695</v>
      </c>
      <c r="AG2" s="7">
        <v>40725</v>
      </c>
      <c r="AH2" s="7">
        <v>40756</v>
      </c>
      <c r="AI2" s="7">
        <v>40787</v>
      </c>
      <c r="AJ2" s="7">
        <v>40817</v>
      </c>
      <c r="AK2" s="7">
        <v>40848</v>
      </c>
      <c r="AL2" s="7">
        <v>40878</v>
      </c>
      <c r="AM2" s="7">
        <v>40909</v>
      </c>
      <c r="AN2" s="7">
        <v>40940</v>
      </c>
      <c r="AO2" s="7">
        <v>40969</v>
      </c>
      <c r="AP2" s="7">
        <v>41000</v>
      </c>
      <c r="AQ2" s="7">
        <v>41030</v>
      </c>
      <c r="AR2" s="7">
        <v>41061</v>
      </c>
      <c r="AS2" s="7">
        <v>41091</v>
      </c>
      <c r="AT2" s="7">
        <v>41122</v>
      </c>
      <c r="AU2" s="7">
        <v>41153</v>
      </c>
      <c r="AV2" s="7">
        <v>41183</v>
      </c>
      <c r="AW2" s="7">
        <v>41214</v>
      </c>
      <c r="AX2" s="7">
        <v>41244</v>
      </c>
      <c r="AY2" s="7">
        <v>41275</v>
      </c>
      <c r="AZ2" s="7">
        <v>41306</v>
      </c>
      <c r="BA2" s="7">
        <v>41334</v>
      </c>
      <c r="BB2" s="7">
        <v>41365</v>
      </c>
      <c r="BC2" s="7">
        <v>41395</v>
      </c>
      <c r="BD2" s="7">
        <v>41426</v>
      </c>
      <c r="BE2" s="7">
        <v>41456</v>
      </c>
      <c r="BF2" s="7">
        <v>41487</v>
      </c>
      <c r="BG2" s="7">
        <v>41518</v>
      </c>
      <c r="BH2" s="7">
        <v>41548</v>
      </c>
      <c r="BI2" s="7">
        <v>41579</v>
      </c>
      <c r="BJ2" s="7">
        <v>41609</v>
      </c>
    </row>
    <row r="3" spans="2:62" ht="13.5" x14ac:dyDescent="0.25"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2:62" ht="13.5" x14ac:dyDescent="0.25">
      <c r="B4" s="1" t="s">
        <v>4</v>
      </c>
      <c r="C4" s="6">
        <v>5797</v>
      </c>
      <c r="D4" s="6">
        <v>5236</v>
      </c>
      <c r="E4" s="6">
        <v>5797</v>
      </c>
      <c r="F4" s="6">
        <v>5610</v>
      </c>
      <c r="G4" s="6">
        <v>5797</v>
      </c>
      <c r="H4" s="6">
        <v>5610</v>
      </c>
      <c r="I4" s="6">
        <v>5797</v>
      </c>
      <c r="J4" s="6">
        <v>5797</v>
      </c>
      <c r="K4" s="6">
        <v>5610</v>
      </c>
      <c r="L4" s="6">
        <v>5797</v>
      </c>
      <c r="M4" s="6">
        <v>5610</v>
      </c>
      <c r="N4" s="6">
        <v>3740</v>
      </c>
      <c r="O4" s="6">
        <v>1397</v>
      </c>
      <c r="P4" s="6">
        <v>4241</v>
      </c>
      <c r="Q4" s="6">
        <v>5713</v>
      </c>
      <c r="R4" s="6">
        <v>5610</v>
      </c>
      <c r="S4" s="6">
        <v>5797</v>
      </c>
      <c r="T4" s="6">
        <v>5610</v>
      </c>
      <c r="U4" s="6">
        <v>5797</v>
      </c>
      <c r="V4" s="6">
        <v>5797</v>
      </c>
      <c r="W4" s="6">
        <v>5610</v>
      </c>
      <c r="X4" s="6">
        <v>5797</v>
      </c>
      <c r="Y4" s="6">
        <v>5610</v>
      </c>
      <c r="Z4" s="6">
        <v>5797</v>
      </c>
      <c r="AA4" s="6">
        <v>3937</v>
      </c>
      <c r="AB4" s="6">
        <v>3946</v>
      </c>
      <c r="AC4" s="6">
        <v>5485</v>
      </c>
      <c r="AD4" s="6">
        <v>5610</v>
      </c>
      <c r="AE4" s="6">
        <v>5797</v>
      </c>
      <c r="AF4" s="6">
        <v>5610</v>
      </c>
      <c r="AG4" s="6">
        <v>5797</v>
      </c>
      <c r="AH4" s="6">
        <v>5797</v>
      </c>
      <c r="AI4" s="6">
        <v>5610</v>
      </c>
      <c r="AJ4" s="6">
        <v>5797</v>
      </c>
      <c r="AK4" s="6">
        <v>5610</v>
      </c>
      <c r="AL4" s="6">
        <v>5797</v>
      </c>
      <c r="AM4" s="6">
        <v>5797</v>
      </c>
      <c r="AN4" s="6">
        <v>5423</v>
      </c>
      <c r="AO4" s="6">
        <v>5797</v>
      </c>
      <c r="AP4" s="6">
        <v>5610</v>
      </c>
      <c r="AQ4" s="6">
        <v>5797</v>
      </c>
      <c r="AR4" s="6">
        <v>5610</v>
      </c>
      <c r="AS4" s="6">
        <v>5797</v>
      </c>
      <c r="AT4" s="6">
        <v>5797</v>
      </c>
      <c r="AU4" s="6">
        <v>5610</v>
      </c>
      <c r="AV4" s="6">
        <v>5797</v>
      </c>
      <c r="AW4" s="6">
        <v>5610</v>
      </c>
      <c r="AX4" s="6">
        <v>5797</v>
      </c>
      <c r="AY4" s="6">
        <v>5797</v>
      </c>
      <c r="AZ4" s="6">
        <v>5236</v>
      </c>
      <c r="BA4" s="6">
        <v>5797</v>
      </c>
      <c r="BB4" s="6">
        <v>5610</v>
      </c>
      <c r="BC4" s="6">
        <v>5797</v>
      </c>
      <c r="BD4" s="6">
        <v>5610</v>
      </c>
      <c r="BE4" s="6">
        <v>5797</v>
      </c>
      <c r="BF4" s="6">
        <v>5797</v>
      </c>
      <c r="BG4" s="6">
        <v>5610</v>
      </c>
      <c r="BH4" s="6">
        <v>5797</v>
      </c>
      <c r="BI4" s="6">
        <v>5610</v>
      </c>
      <c r="BJ4" s="6">
        <v>5797</v>
      </c>
    </row>
    <row r="5" spans="2:62" ht="13.5" x14ac:dyDescent="0.25">
      <c r="B5" s="1" t="s">
        <v>5</v>
      </c>
      <c r="C5" s="6">
        <v>2454</v>
      </c>
      <c r="D5" s="6">
        <v>2340</v>
      </c>
      <c r="E5" s="6">
        <v>3731</v>
      </c>
      <c r="F5" s="6">
        <v>3261</v>
      </c>
      <c r="G5" s="6">
        <v>3435</v>
      </c>
      <c r="H5" s="6">
        <v>3169</v>
      </c>
      <c r="I5" s="6">
        <v>2954</v>
      </c>
      <c r="J5" s="6">
        <v>3989</v>
      </c>
      <c r="K5" s="6">
        <v>4173</v>
      </c>
      <c r="L5" s="6">
        <v>4043</v>
      </c>
      <c r="M5" s="6">
        <v>3692</v>
      </c>
      <c r="N5" s="6">
        <v>2131</v>
      </c>
      <c r="O5" s="6">
        <v>548</v>
      </c>
      <c r="P5" s="6">
        <v>2496</v>
      </c>
      <c r="Q5" s="6">
        <v>3713</v>
      </c>
      <c r="R5" s="6">
        <v>3737</v>
      </c>
      <c r="S5" s="6">
        <v>3572</v>
      </c>
      <c r="T5" s="6">
        <v>3361</v>
      </c>
      <c r="U5" s="6">
        <v>3474</v>
      </c>
      <c r="V5" s="6">
        <v>3917</v>
      </c>
      <c r="W5" s="6">
        <v>3368</v>
      </c>
      <c r="X5" s="6">
        <v>3267</v>
      </c>
      <c r="Y5" s="6">
        <v>4364</v>
      </c>
      <c r="Z5" s="6">
        <v>2916</v>
      </c>
      <c r="AA5" s="6">
        <v>2128</v>
      </c>
      <c r="AB5" s="6">
        <v>2388</v>
      </c>
      <c r="AC5" s="6">
        <v>2920</v>
      </c>
      <c r="AD5" s="6">
        <v>3119</v>
      </c>
      <c r="AE5" s="6">
        <v>3389</v>
      </c>
      <c r="AF5" s="6">
        <v>3529</v>
      </c>
      <c r="AG5" s="6">
        <v>2972</v>
      </c>
      <c r="AH5" s="6">
        <v>4011</v>
      </c>
      <c r="AI5" s="6">
        <v>3616</v>
      </c>
      <c r="AJ5" s="6">
        <v>3339</v>
      </c>
      <c r="AK5" s="6">
        <v>3725</v>
      </c>
      <c r="AL5" s="6">
        <v>3245</v>
      </c>
      <c r="AM5" s="6">
        <v>2525</v>
      </c>
      <c r="AN5" s="6">
        <v>3060</v>
      </c>
      <c r="AO5" s="6">
        <v>4080</v>
      </c>
      <c r="AP5" s="6">
        <v>3122</v>
      </c>
      <c r="AQ5" s="6">
        <v>3725</v>
      </c>
      <c r="AR5" s="6">
        <v>3239</v>
      </c>
      <c r="AS5" s="6">
        <v>3412</v>
      </c>
      <c r="AT5" s="6">
        <v>4117</v>
      </c>
      <c r="AU5" s="6">
        <v>3208</v>
      </c>
      <c r="AV5" s="6">
        <v>3284</v>
      </c>
      <c r="AW5" s="6">
        <v>3418</v>
      </c>
      <c r="AX5" s="6">
        <v>2722</v>
      </c>
      <c r="AY5" s="6">
        <v>2137</v>
      </c>
      <c r="AZ5" s="6">
        <v>2088</v>
      </c>
      <c r="BA5" s="6">
        <v>3079</v>
      </c>
      <c r="BB5" s="6">
        <v>3293</v>
      </c>
      <c r="BC5" s="6">
        <v>2920</v>
      </c>
      <c r="BD5" s="6">
        <v>3655</v>
      </c>
      <c r="BE5" s="6">
        <v>2761</v>
      </c>
      <c r="BF5" s="6">
        <v>3176</v>
      </c>
      <c r="BG5" s="6">
        <v>3218</v>
      </c>
      <c r="BH5" s="6">
        <v>3624</v>
      </c>
      <c r="BI5" s="6">
        <v>3769</v>
      </c>
      <c r="BJ5" s="6">
        <v>2891</v>
      </c>
    </row>
    <row r="6" spans="2:62" ht="13.5" x14ac:dyDescent="0.25">
      <c r="B6" s="1" t="s">
        <v>6</v>
      </c>
      <c r="C6" s="6">
        <v>2470</v>
      </c>
      <c r="D6" s="6">
        <v>2320</v>
      </c>
      <c r="E6" s="6">
        <v>3672</v>
      </c>
      <c r="F6" s="6">
        <v>3198</v>
      </c>
      <c r="G6" s="6">
        <v>3346</v>
      </c>
      <c r="H6" s="6">
        <v>3128</v>
      </c>
      <c r="I6" s="6">
        <v>2914</v>
      </c>
      <c r="J6" s="6">
        <v>3908</v>
      </c>
      <c r="K6" s="6">
        <v>4109</v>
      </c>
      <c r="L6" s="6">
        <v>3987</v>
      </c>
      <c r="M6" s="6">
        <v>3611</v>
      </c>
      <c r="N6" s="6">
        <v>2075</v>
      </c>
      <c r="O6" s="6">
        <v>543</v>
      </c>
      <c r="P6" s="6">
        <v>2486</v>
      </c>
      <c r="Q6" s="6">
        <v>3700</v>
      </c>
      <c r="R6" s="6">
        <v>3727</v>
      </c>
      <c r="S6" s="6">
        <v>3548</v>
      </c>
      <c r="T6" s="6">
        <v>3350</v>
      </c>
      <c r="U6" s="6">
        <v>3458</v>
      </c>
      <c r="V6" s="6">
        <v>3907</v>
      </c>
      <c r="W6" s="6">
        <v>3350</v>
      </c>
      <c r="X6" s="6">
        <v>3223</v>
      </c>
      <c r="Y6" s="6">
        <v>4332</v>
      </c>
      <c r="Z6" s="6">
        <v>2882</v>
      </c>
      <c r="AA6" s="6">
        <v>2113</v>
      </c>
      <c r="AB6" s="6">
        <v>2319</v>
      </c>
      <c r="AC6" s="6">
        <v>2887</v>
      </c>
      <c r="AD6" s="6">
        <v>3094</v>
      </c>
      <c r="AE6" s="6">
        <v>3341</v>
      </c>
      <c r="AF6" s="6">
        <v>2502</v>
      </c>
      <c r="AG6" s="6">
        <v>2953</v>
      </c>
      <c r="AH6" s="6">
        <v>3954</v>
      </c>
      <c r="AI6" s="6">
        <v>3579</v>
      </c>
      <c r="AJ6" s="6">
        <v>3221</v>
      </c>
      <c r="AK6" s="6">
        <v>3658</v>
      </c>
      <c r="AL6" s="6">
        <v>3215</v>
      </c>
      <c r="AM6" s="6">
        <v>2515</v>
      </c>
      <c r="AN6" s="6">
        <v>3021</v>
      </c>
      <c r="AO6" s="6">
        <v>4013</v>
      </c>
      <c r="AP6" s="6">
        <v>3062</v>
      </c>
      <c r="AQ6" s="6">
        <v>3644</v>
      </c>
      <c r="AR6" s="6">
        <v>3199</v>
      </c>
      <c r="AS6" s="6">
        <v>3365</v>
      </c>
      <c r="AT6" s="6">
        <v>4059</v>
      </c>
      <c r="AU6" s="6">
        <v>3210</v>
      </c>
      <c r="AV6" s="6">
        <v>3306</v>
      </c>
      <c r="AW6" s="6">
        <v>3387</v>
      </c>
      <c r="AX6" s="6">
        <v>2698</v>
      </c>
      <c r="AY6" s="6">
        <v>2129</v>
      </c>
      <c r="AZ6" s="6">
        <v>2019</v>
      </c>
      <c r="BA6" s="6">
        <v>3080</v>
      </c>
      <c r="BB6" s="6">
        <v>3252</v>
      </c>
      <c r="BC6" s="6">
        <v>2860</v>
      </c>
      <c r="BD6" s="6">
        <v>3586</v>
      </c>
      <c r="BE6" s="6">
        <v>2695</v>
      </c>
      <c r="BF6" s="6">
        <v>3119</v>
      </c>
      <c r="BG6" s="6">
        <v>3160</v>
      </c>
      <c r="BH6" s="6">
        <v>3533</v>
      </c>
      <c r="BI6" s="6">
        <v>3703</v>
      </c>
      <c r="BJ6" s="6">
        <v>2880</v>
      </c>
    </row>
    <row r="7" spans="2:62" ht="13.5" x14ac:dyDescent="0.25">
      <c r="B7" s="1" t="s">
        <v>7</v>
      </c>
      <c r="C7" s="3">
        <f>C5/C4</f>
        <v>0.4233224081421425</v>
      </c>
      <c r="D7" s="3">
        <f t="shared" ref="D7:BJ7" si="0">D5/D4</f>
        <v>0.44690603514132926</v>
      </c>
      <c r="E7" s="3">
        <f t="shared" si="0"/>
        <v>0.64360876315335513</v>
      </c>
      <c r="F7" s="3">
        <f t="shared" si="0"/>
        <v>0.58128342245989306</v>
      </c>
      <c r="G7" s="3">
        <f t="shared" si="0"/>
        <v>0.59254786958771777</v>
      </c>
      <c r="H7" s="3">
        <f t="shared" si="0"/>
        <v>0.56488413547237082</v>
      </c>
      <c r="I7" s="3">
        <f t="shared" si="0"/>
        <v>0.50957391754355696</v>
      </c>
      <c r="J7" s="3">
        <f t="shared" si="0"/>
        <v>0.68811454200448507</v>
      </c>
      <c r="K7" s="3">
        <f t="shared" si="0"/>
        <v>0.74385026737967919</v>
      </c>
      <c r="L7" s="3">
        <f t="shared" si="0"/>
        <v>0.69742970501983781</v>
      </c>
      <c r="M7" s="3">
        <f t="shared" si="0"/>
        <v>0.65811051693404632</v>
      </c>
      <c r="N7" s="3">
        <f t="shared" si="0"/>
        <v>0.56978609625668453</v>
      </c>
      <c r="O7" s="3">
        <f t="shared" si="0"/>
        <v>0.39226914817465997</v>
      </c>
      <c r="P7" s="3">
        <f t="shared" si="0"/>
        <v>0.58854043857580762</v>
      </c>
      <c r="Q7" s="3">
        <f t="shared" si="0"/>
        <v>0.6499212322772624</v>
      </c>
      <c r="R7" s="3">
        <f t="shared" si="0"/>
        <v>0.6661319073083779</v>
      </c>
      <c r="S7" s="3">
        <f t="shared" si="0"/>
        <v>0.61618078316370539</v>
      </c>
      <c r="T7" s="3">
        <f t="shared" si="0"/>
        <v>0.59910873440285206</v>
      </c>
      <c r="U7" s="3">
        <f t="shared" si="0"/>
        <v>0.59927548732102809</v>
      </c>
      <c r="V7" s="3">
        <f t="shared" si="0"/>
        <v>0.67569432465068135</v>
      </c>
      <c r="W7" s="3">
        <f t="shared" si="0"/>
        <v>0.60035650623885917</v>
      </c>
      <c r="X7" s="3">
        <f t="shared" si="0"/>
        <v>0.56356736242884253</v>
      </c>
      <c r="Y7" s="3">
        <f t="shared" si="0"/>
        <v>0.77789661319073089</v>
      </c>
      <c r="Z7" s="3">
        <f t="shared" si="0"/>
        <v>0.50301880282904954</v>
      </c>
      <c r="AA7" s="3">
        <f t="shared" si="0"/>
        <v>0.54051308102616202</v>
      </c>
      <c r="AB7" s="3">
        <f t="shared" si="0"/>
        <v>0.60516979219462752</v>
      </c>
      <c r="AC7" s="3">
        <f t="shared" si="0"/>
        <v>0.53236098450319047</v>
      </c>
      <c r="AD7" s="3">
        <f t="shared" si="0"/>
        <v>0.55597147950089132</v>
      </c>
      <c r="AE7" s="3">
        <f t="shared" si="0"/>
        <v>0.58461273072278763</v>
      </c>
      <c r="AF7" s="3">
        <f t="shared" si="0"/>
        <v>0.62905525846702315</v>
      </c>
      <c r="AG7" s="3">
        <f t="shared" si="0"/>
        <v>0.51267897188200795</v>
      </c>
      <c r="AH7" s="3">
        <f t="shared" si="0"/>
        <v>0.6919096084181473</v>
      </c>
      <c r="AI7" s="3">
        <f t="shared" si="0"/>
        <v>0.64456327985739748</v>
      </c>
      <c r="AJ7" s="3">
        <f t="shared" si="0"/>
        <v>0.57598757978264614</v>
      </c>
      <c r="AK7" s="3">
        <f t="shared" si="0"/>
        <v>0.66399286987522277</v>
      </c>
      <c r="AL7" s="3">
        <f t="shared" si="0"/>
        <v>0.5597722960151803</v>
      </c>
      <c r="AM7" s="3">
        <f t="shared" si="0"/>
        <v>0.43557012247714333</v>
      </c>
      <c r="AN7" s="3">
        <f t="shared" si="0"/>
        <v>0.56426332288401249</v>
      </c>
      <c r="AO7" s="3">
        <f t="shared" si="0"/>
        <v>0.70381231671554256</v>
      </c>
      <c r="AP7" s="3">
        <f t="shared" si="0"/>
        <v>0.55650623885918005</v>
      </c>
      <c r="AQ7" s="3">
        <f t="shared" si="0"/>
        <v>0.64257374504053821</v>
      </c>
      <c r="AR7" s="3">
        <f t="shared" si="0"/>
        <v>0.5773618538324421</v>
      </c>
      <c r="AS7" s="3">
        <f t="shared" si="0"/>
        <v>0.58858030015525276</v>
      </c>
      <c r="AT7" s="3">
        <f t="shared" si="0"/>
        <v>0.71019492841124721</v>
      </c>
      <c r="AU7" s="3">
        <f t="shared" si="0"/>
        <v>0.57183600713012472</v>
      </c>
      <c r="AV7" s="3">
        <f t="shared" si="0"/>
        <v>0.56649991374849062</v>
      </c>
      <c r="AW7" s="3">
        <f t="shared" si="0"/>
        <v>0.60926916221033867</v>
      </c>
      <c r="AX7" s="3">
        <f t="shared" si="0"/>
        <v>0.46955321718130066</v>
      </c>
      <c r="AY7" s="3">
        <f t="shared" si="0"/>
        <v>0.36863895118164569</v>
      </c>
      <c r="AZ7" s="3">
        <f t="shared" si="0"/>
        <v>0.39877769289533993</v>
      </c>
      <c r="BA7" s="3">
        <f t="shared" si="0"/>
        <v>0.53113679489391064</v>
      </c>
      <c r="BB7" s="3">
        <f t="shared" si="0"/>
        <v>0.58698752228163997</v>
      </c>
      <c r="BC7" s="3">
        <f t="shared" si="0"/>
        <v>0.50370881490426078</v>
      </c>
      <c r="BD7" s="3">
        <f t="shared" si="0"/>
        <v>0.65151515151515149</v>
      </c>
      <c r="BE7" s="3">
        <f t="shared" si="0"/>
        <v>0.47628083491461098</v>
      </c>
      <c r="BF7" s="3">
        <f t="shared" si="0"/>
        <v>0.54786958771778504</v>
      </c>
      <c r="BG7" s="3">
        <f t="shared" si="0"/>
        <v>0.57361853832442067</v>
      </c>
      <c r="BH7" s="3">
        <f t="shared" si="0"/>
        <v>0.62515094014145245</v>
      </c>
      <c r="BI7" s="3">
        <f t="shared" si="0"/>
        <v>0.67183600713012481</v>
      </c>
      <c r="BJ7" s="3">
        <f t="shared" si="0"/>
        <v>0.49870622735897879</v>
      </c>
    </row>
    <row r="8" spans="2:62" ht="13.5" x14ac:dyDescent="0.25">
      <c r="B8" s="1" t="s">
        <v>8</v>
      </c>
      <c r="C8" s="6">
        <v>3348</v>
      </c>
      <c r="D8" s="6">
        <v>2906</v>
      </c>
      <c r="E8" s="6">
        <v>4836</v>
      </c>
      <c r="F8" s="6">
        <v>4331</v>
      </c>
      <c r="G8" s="6">
        <v>4158</v>
      </c>
      <c r="H8" s="6">
        <v>3915</v>
      </c>
      <c r="I8" s="6">
        <v>3965</v>
      </c>
      <c r="J8" s="6">
        <v>5233</v>
      </c>
      <c r="K8" s="6">
        <v>5687</v>
      </c>
      <c r="L8" s="6">
        <v>5259</v>
      </c>
      <c r="M8" s="6">
        <v>4627</v>
      </c>
      <c r="N8" s="6">
        <v>2561</v>
      </c>
      <c r="O8" s="6">
        <v>696</v>
      </c>
      <c r="P8" s="6">
        <v>3368</v>
      </c>
      <c r="Q8" s="6">
        <v>4595</v>
      </c>
      <c r="R8" s="6">
        <v>4800</v>
      </c>
      <c r="S8" s="6">
        <v>4503</v>
      </c>
      <c r="T8" s="6">
        <v>4553</v>
      </c>
      <c r="U8" s="6">
        <v>4573</v>
      </c>
      <c r="V8" s="6">
        <v>4796</v>
      </c>
      <c r="W8" s="6">
        <v>4287</v>
      </c>
      <c r="X8" s="6">
        <v>4413</v>
      </c>
      <c r="Y8" s="6">
        <v>5835</v>
      </c>
      <c r="Z8" s="6">
        <v>3925</v>
      </c>
      <c r="AA8" s="6">
        <v>2475</v>
      </c>
      <c r="AB8" s="6">
        <v>2865</v>
      </c>
      <c r="AC8" s="6">
        <v>3703</v>
      </c>
      <c r="AD8" s="6">
        <v>4358</v>
      </c>
      <c r="AE8" s="6">
        <v>4572</v>
      </c>
      <c r="AF8" s="6">
        <v>4736</v>
      </c>
      <c r="AG8" s="6">
        <v>3947</v>
      </c>
      <c r="AH8" s="6">
        <v>5103</v>
      </c>
      <c r="AI8" s="6">
        <v>4756</v>
      </c>
      <c r="AJ8" s="6">
        <v>4619</v>
      </c>
      <c r="AK8" s="6">
        <v>4777</v>
      </c>
      <c r="AL8" s="6">
        <v>4010</v>
      </c>
      <c r="AM8" s="6">
        <v>3136</v>
      </c>
      <c r="AN8" s="6">
        <v>4063</v>
      </c>
      <c r="AO8" s="6">
        <v>5195</v>
      </c>
      <c r="AP8" s="6">
        <v>3884</v>
      </c>
      <c r="AQ8" s="6">
        <v>4494</v>
      </c>
      <c r="AR8" s="6">
        <v>4038</v>
      </c>
      <c r="AS8" s="6">
        <v>4240</v>
      </c>
      <c r="AT8" s="6">
        <v>5292</v>
      </c>
      <c r="AU8" s="6">
        <v>4068</v>
      </c>
      <c r="AV8" s="6">
        <v>4132</v>
      </c>
      <c r="AW8" s="6">
        <v>4088</v>
      </c>
      <c r="AX8" s="6">
        <v>3407</v>
      </c>
      <c r="AY8" s="6">
        <v>2705</v>
      </c>
      <c r="AZ8" s="6">
        <v>2462</v>
      </c>
      <c r="BA8" s="6">
        <v>3972</v>
      </c>
      <c r="BB8" s="6">
        <v>7193</v>
      </c>
      <c r="BC8" s="6">
        <v>3593</v>
      </c>
      <c r="BD8" s="6">
        <v>4571</v>
      </c>
      <c r="BE8" s="6">
        <v>3373</v>
      </c>
      <c r="BF8" s="6">
        <v>4326</v>
      </c>
      <c r="BG8" s="6">
        <v>3869</v>
      </c>
      <c r="BH8" s="6">
        <v>4258</v>
      </c>
      <c r="BI8" s="6">
        <v>5301</v>
      </c>
      <c r="BJ8" s="6">
        <v>3763</v>
      </c>
    </row>
    <row r="9" spans="2:62" ht="13.5" x14ac:dyDescent="0.25">
      <c r="B9" s="1" t="s">
        <v>9</v>
      </c>
      <c r="C9" s="3">
        <f>(C8-C5)/C5</f>
        <v>0.36430317848410759</v>
      </c>
      <c r="D9" s="3">
        <f t="shared" ref="D9:N9" si="1">(D8-D5)/D5</f>
        <v>0.24188034188034188</v>
      </c>
      <c r="E9" s="3">
        <f t="shared" si="1"/>
        <v>0.29616724738675959</v>
      </c>
      <c r="F9" s="3">
        <f t="shared" si="1"/>
        <v>0.32812020852499235</v>
      </c>
      <c r="G9" s="3">
        <f t="shared" si="1"/>
        <v>0.21048034934497817</v>
      </c>
      <c r="H9" s="3">
        <f t="shared" si="1"/>
        <v>0.23540549069106972</v>
      </c>
      <c r="I9" s="3">
        <f t="shared" si="1"/>
        <v>0.34224779959377116</v>
      </c>
      <c r="J9" s="3">
        <f t="shared" si="1"/>
        <v>0.31185760842316368</v>
      </c>
      <c r="K9" s="3">
        <f t="shared" si="1"/>
        <v>0.36280853103283012</v>
      </c>
      <c r="L9" s="3">
        <f t="shared" si="1"/>
        <v>0.30076675735839725</v>
      </c>
      <c r="M9" s="3">
        <f t="shared" si="1"/>
        <v>0.25325027085590468</v>
      </c>
      <c r="N9" s="3">
        <f t="shared" si="1"/>
        <v>0.20178320037541062</v>
      </c>
      <c r="O9" s="3">
        <f t="shared" ref="O9" si="2">(O8-O5)/O5</f>
        <v>0.27007299270072993</v>
      </c>
      <c r="P9" s="3">
        <f t="shared" ref="P9" si="3">(P8-P5)/P5</f>
        <v>0.34935897435897434</v>
      </c>
      <c r="Q9" s="3">
        <f t="shared" ref="Q9" si="4">(Q8-Q5)/Q5</f>
        <v>0.23754376514947481</v>
      </c>
      <c r="R9" s="3">
        <f t="shared" ref="R9" si="5">(R8-R5)/R5</f>
        <v>0.28445276960128446</v>
      </c>
      <c r="S9" s="3">
        <f t="shared" ref="S9" si="6">(S8-S5)/S5</f>
        <v>0.26063829787234044</v>
      </c>
      <c r="T9" s="3">
        <f t="shared" ref="T9" si="7">(T8-T5)/T5</f>
        <v>0.35465635227610831</v>
      </c>
      <c r="U9" s="3">
        <f t="shared" ref="U9" si="8">(U8-U5)/U5</f>
        <v>0.31635002878526197</v>
      </c>
      <c r="V9" s="3">
        <f t="shared" ref="V9" si="9">(V8-V5)/V5</f>
        <v>0.22440643349502171</v>
      </c>
      <c r="W9" s="3">
        <f t="shared" ref="W9" si="10">(W8-W5)/W5</f>
        <v>0.27286223277909738</v>
      </c>
      <c r="X9" s="3">
        <f t="shared" ref="X9" si="11">(X8-X5)/X5</f>
        <v>0.35078053259871439</v>
      </c>
      <c r="Y9" s="3">
        <f t="shared" ref="Y9" si="12">(Y8-Y5)/Y5</f>
        <v>0.33707607699358388</v>
      </c>
      <c r="Z9" s="3">
        <f t="shared" ref="Z9" si="13">(Z8-Z5)/Z5</f>
        <v>0.34602194787379975</v>
      </c>
      <c r="AA9" s="3">
        <f t="shared" ref="AA9" si="14">(AA8-AA5)/AA5</f>
        <v>0.16306390977443608</v>
      </c>
      <c r="AB9" s="3">
        <f t="shared" ref="AB9" si="15">(AB8-AB5)/AB5</f>
        <v>0.19974874371859297</v>
      </c>
      <c r="AC9" s="3">
        <f t="shared" ref="AC9" si="16">(AC8-AC5)/AC5</f>
        <v>0.26815068493150684</v>
      </c>
      <c r="AD9" s="3">
        <f t="shared" ref="AD9" si="17">(AD8-AD5)/AD5</f>
        <v>0.39724270599551137</v>
      </c>
      <c r="AE9" s="3">
        <f t="shared" ref="AE9" si="18">(AE8-AE5)/AE5</f>
        <v>0.3490705222779581</v>
      </c>
      <c r="AF9" s="3">
        <f t="shared" ref="AF9" si="19">(AF8-AF5)/AF5</f>
        <v>0.34202323604420515</v>
      </c>
      <c r="AG9" s="3">
        <f t="shared" ref="AG9" si="20">(AG8-AG5)/AG5</f>
        <v>0.32806191117092864</v>
      </c>
      <c r="AH9" s="3">
        <f t="shared" ref="AH9" si="21">(AH8-AH5)/AH5</f>
        <v>0.27225130890052357</v>
      </c>
      <c r="AI9" s="3">
        <f t="shared" ref="AI9" si="22">(AI8-AI5)/AI5</f>
        <v>0.31526548672566373</v>
      </c>
      <c r="AJ9" s="3">
        <f t="shared" ref="AJ9" si="23">(AJ8-AJ5)/AJ5</f>
        <v>0.38334830787660978</v>
      </c>
      <c r="AK9" s="3">
        <f t="shared" ref="AK9" si="24">(AK8-AK5)/AK5</f>
        <v>0.28241610738255035</v>
      </c>
      <c r="AL9" s="3">
        <f t="shared" ref="AL9" si="25">(AL8-AL5)/AL5</f>
        <v>0.23574730354391371</v>
      </c>
      <c r="AM9" s="3">
        <f t="shared" ref="AM9" si="26">(AM8-AM5)/AM5</f>
        <v>0.24198019801980197</v>
      </c>
      <c r="AN9" s="3">
        <f t="shared" ref="AN9" si="27">(AN8-AN5)/AN5</f>
        <v>0.32777777777777778</v>
      </c>
      <c r="AO9" s="3">
        <f t="shared" ref="AO9" si="28">(AO8-AO5)/AO5</f>
        <v>0.27328431372549017</v>
      </c>
      <c r="AP9" s="3">
        <f t="shared" ref="AP9" si="29">(AP8-AP5)/AP5</f>
        <v>0.24407431133888532</v>
      </c>
      <c r="AQ9" s="3">
        <f t="shared" ref="AQ9" si="30">(AQ8-AQ5)/AQ5</f>
        <v>0.20644295302013424</v>
      </c>
      <c r="AR9" s="3">
        <f t="shared" ref="AR9" si="31">(AR8-AR5)/AR5</f>
        <v>0.24668107440568077</v>
      </c>
      <c r="AS9" s="3">
        <f t="shared" ref="AS9" si="32">(AS8-AS5)/AS5</f>
        <v>0.24267291910902697</v>
      </c>
      <c r="AT9" s="3">
        <f t="shared" ref="AT9" si="33">(AT8-AT5)/AT5</f>
        <v>0.28540199174155939</v>
      </c>
      <c r="AU9" s="3">
        <f t="shared" ref="AU9" si="34">(AU8-AU5)/AU5</f>
        <v>0.26807980049875313</v>
      </c>
      <c r="AV9" s="3">
        <f t="shared" ref="AV9" si="35">(AV8-AV5)/AV5</f>
        <v>0.25822168087697928</v>
      </c>
      <c r="AW9" s="3">
        <f t="shared" ref="AW9" si="36">(AW8-AW5)/AW5</f>
        <v>0.19602106495026331</v>
      </c>
      <c r="AX9" s="3">
        <f t="shared" ref="AX9" si="37">(AX8-AX5)/AX5</f>
        <v>0.25165319617927995</v>
      </c>
      <c r="AY9" s="3">
        <f t="shared" ref="AY9" si="38">(AY8-AY5)/AY5</f>
        <v>0.26579316799251285</v>
      </c>
      <c r="AZ9" s="3">
        <f t="shared" ref="AZ9" si="39">(AZ8-AZ5)/AZ5</f>
        <v>0.17911877394636017</v>
      </c>
      <c r="BA9" s="3">
        <f t="shared" ref="BA9" si="40">(BA8-BA5)/BA5</f>
        <v>0.29002923026956806</v>
      </c>
      <c r="BB9" s="3">
        <f t="shared" ref="BB9" si="41">(BB8-BB5)/BB5</f>
        <v>1.184330397813544</v>
      </c>
      <c r="BC9" s="3">
        <f t="shared" ref="BC9" si="42">(BC8-BC5)/BC5</f>
        <v>0.23047945205479453</v>
      </c>
      <c r="BD9" s="3">
        <f t="shared" ref="BD9" si="43">(BD8-BD5)/BD5</f>
        <v>0.25061559507523939</v>
      </c>
      <c r="BE9" s="3">
        <f t="shared" ref="BE9" si="44">(BE8-BE5)/BE5</f>
        <v>0.22165881926838102</v>
      </c>
      <c r="BF9" s="3">
        <f t="shared" ref="BF9" si="45">(BF8-BF5)/BF5</f>
        <v>0.36209068010075568</v>
      </c>
      <c r="BG9" s="3">
        <f t="shared" ref="BG9" si="46">(BG8-BG5)/BG5</f>
        <v>0.20229956494717216</v>
      </c>
      <c r="BH9" s="3">
        <f t="shared" ref="BH9" si="47">(BH8-BH5)/BH5</f>
        <v>0.17494481236203091</v>
      </c>
      <c r="BI9" s="3">
        <f t="shared" ref="BI9" si="48">(BI8-BI5)/BI5</f>
        <v>0.40647386574688243</v>
      </c>
      <c r="BJ9" s="3">
        <f t="shared" ref="BJ9" si="49">(BJ8-BJ5)/BJ5</f>
        <v>0.30162573503977863</v>
      </c>
    </row>
    <row r="10" spans="2:62" ht="13.5" x14ac:dyDescent="0.25">
      <c r="B10" s="1" t="s">
        <v>10</v>
      </c>
      <c r="C10" s="4">
        <f>C7*C12</f>
        <v>88.20769018457824</v>
      </c>
      <c r="D10" s="4">
        <f t="shared" ref="D10:BJ10" si="50">D7*D12</f>
        <v>126.87215431627196</v>
      </c>
      <c r="E10" s="4">
        <f t="shared" si="50"/>
        <v>172.06236674141795</v>
      </c>
      <c r="F10" s="4">
        <f t="shared" si="50"/>
        <v>142.64113903743316</v>
      </c>
      <c r="G10" s="4">
        <f t="shared" si="50"/>
        <v>169.87162325340694</v>
      </c>
      <c r="H10" s="4">
        <f t="shared" si="50"/>
        <v>148.09002495543675</v>
      </c>
      <c r="I10" s="4">
        <f t="shared" si="50"/>
        <v>137.78878730377778</v>
      </c>
      <c r="J10" s="4">
        <f t="shared" si="50"/>
        <v>175.15955666724167</v>
      </c>
      <c r="K10" s="4">
        <f t="shared" si="50"/>
        <v>183.67894652406417</v>
      </c>
      <c r="L10" s="4">
        <f t="shared" si="50"/>
        <v>166.64385371744004</v>
      </c>
      <c r="M10" s="4">
        <f t="shared" si="50"/>
        <v>192.01690552584668</v>
      </c>
      <c r="N10" s="4">
        <f t="shared" si="50"/>
        <v>169.62532085561497</v>
      </c>
      <c r="O10" s="4">
        <f t="shared" si="50"/>
        <v>94.301503221188256</v>
      </c>
      <c r="P10" s="4">
        <f t="shared" si="50"/>
        <v>176.56213157274229</v>
      </c>
      <c r="Q10" s="4">
        <f t="shared" si="50"/>
        <v>203.39284964116925</v>
      </c>
      <c r="R10" s="4">
        <f t="shared" si="50"/>
        <v>233.78565418894829</v>
      </c>
      <c r="S10" s="4">
        <f t="shared" si="50"/>
        <v>180.18974642056239</v>
      </c>
      <c r="T10" s="4">
        <f t="shared" si="50"/>
        <v>180.94281996434938</v>
      </c>
      <c r="U10" s="4">
        <f t="shared" si="50"/>
        <v>171.05120234604104</v>
      </c>
      <c r="V10" s="4">
        <f t="shared" si="50"/>
        <v>197.03922201138519</v>
      </c>
      <c r="W10" s="4">
        <f t="shared" si="50"/>
        <v>164.24553297682709</v>
      </c>
      <c r="X10" s="4">
        <f t="shared" si="50"/>
        <v>144.89316888045542</v>
      </c>
      <c r="Y10" s="4">
        <f t="shared" si="50"/>
        <v>246.28984670231731</v>
      </c>
      <c r="Z10" s="4">
        <f t="shared" si="50"/>
        <v>160.35233396584439</v>
      </c>
      <c r="AA10" s="4">
        <f t="shared" si="50"/>
        <v>166.17534163068325</v>
      </c>
      <c r="AB10" s="4">
        <f t="shared" si="50"/>
        <v>211.75496198682214</v>
      </c>
      <c r="AC10" s="4">
        <f t="shared" si="50"/>
        <v>190.39890610756606</v>
      </c>
      <c r="AD10" s="4">
        <f t="shared" si="50"/>
        <v>192.38837076648844</v>
      </c>
      <c r="AE10" s="4">
        <f t="shared" si="50"/>
        <v>212.99780231154043</v>
      </c>
      <c r="AF10" s="4">
        <f t="shared" si="50"/>
        <v>222.26409447415327</v>
      </c>
      <c r="AG10" s="4">
        <f t="shared" si="50"/>
        <v>169.89668449197862</v>
      </c>
      <c r="AH10" s="4">
        <f t="shared" si="50"/>
        <v>254.30445747800587</v>
      </c>
      <c r="AI10" s="4">
        <f t="shared" si="50"/>
        <v>209.19301247771836</v>
      </c>
      <c r="AJ10" s="4">
        <f t="shared" si="50"/>
        <v>204.089679144385</v>
      </c>
      <c r="AK10" s="4">
        <f t="shared" si="50"/>
        <v>252.76216577540106</v>
      </c>
      <c r="AL10" s="4">
        <f t="shared" si="50"/>
        <v>195.841935483871</v>
      </c>
      <c r="AM10" s="4">
        <f t="shared" si="50"/>
        <v>130.07866137657408</v>
      </c>
      <c r="AN10" s="4">
        <f t="shared" si="50"/>
        <v>184.728526645768</v>
      </c>
      <c r="AO10" s="4">
        <f t="shared" si="50"/>
        <v>242.63225806451615</v>
      </c>
      <c r="AP10" s="4">
        <f t="shared" si="50"/>
        <v>200.39789661319074</v>
      </c>
      <c r="AQ10" s="4">
        <f t="shared" si="50"/>
        <v>239.11454200448509</v>
      </c>
      <c r="AR10" s="4">
        <f t="shared" si="50"/>
        <v>202.78680392156863</v>
      </c>
      <c r="AS10" s="4">
        <f t="shared" si="50"/>
        <v>207.48044160772815</v>
      </c>
      <c r="AT10" s="4">
        <f t="shared" si="50"/>
        <v>259.46261514576503</v>
      </c>
      <c r="AU10" s="4">
        <f t="shared" si="50"/>
        <v>196.50000713012474</v>
      </c>
      <c r="AV10" s="4">
        <f t="shared" si="50"/>
        <v>219.48472658271521</v>
      </c>
      <c r="AW10" s="4">
        <f t="shared" si="50"/>
        <v>249.29466310160427</v>
      </c>
      <c r="AX10" s="4">
        <f t="shared" si="50"/>
        <v>201.39607038123168</v>
      </c>
      <c r="AY10" s="4">
        <f t="shared" si="50"/>
        <v>149.42411247196824</v>
      </c>
      <c r="AZ10" s="4">
        <f t="shared" si="50"/>
        <v>163.30345301757066</v>
      </c>
      <c r="BA10" s="4">
        <f t="shared" si="50"/>
        <v>233.29121442125239</v>
      </c>
      <c r="BB10" s="4">
        <f t="shared" si="50"/>
        <v>271.11779679144388</v>
      </c>
      <c r="BC10" s="4">
        <f t="shared" si="50"/>
        <v>231.0713817491806</v>
      </c>
      <c r="BD10" s="4">
        <f t="shared" si="50"/>
        <v>295.72272727272724</v>
      </c>
      <c r="BE10" s="4">
        <f t="shared" si="50"/>
        <v>209.25874762808348</v>
      </c>
      <c r="BF10" s="4">
        <f t="shared" si="50"/>
        <v>251.71320338105917</v>
      </c>
      <c r="BG10" s="4">
        <f t="shared" si="50"/>
        <v>246.047935828877</v>
      </c>
      <c r="BH10" s="4">
        <f t="shared" si="50"/>
        <v>280.94283249956874</v>
      </c>
      <c r="BI10" s="4">
        <f t="shared" si="50"/>
        <v>305.74584848484847</v>
      </c>
      <c r="BJ10" s="4">
        <f t="shared" si="50"/>
        <v>247.11890978092117</v>
      </c>
    </row>
    <row r="11" spans="2:62" ht="13.5" x14ac:dyDescent="0.25">
      <c r="B11" s="1" t="s">
        <v>11</v>
      </c>
      <c r="C11" s="4">
        <v>173.97</v>
      </c>
      <c r="D11" s="4">
        <v>243.86</v>
      </c>
      <c r="E11" s="4">
        <v>229.64</v>
      </c>
      <c r="F11" s="4">
        <v>208.08</v>
      </c>
      <c r="G11" s="4">
        <v>247.01</v>
      </c>
      <c r="H11" s="4">
        <v>224.4</v>
      </c>
      <c r="I11" s="4">
        <v>230.23</v>
      </c>
      <c r="J11" s="4">
        <v>216.25</v>
      </c>
      <c r="K11" s="4">
        <v>209.05</v>
      </c>
      <c r="L11" s="4">
        <v>203.64</v>
      </c>
      <c r="M11" s="4">
        <v>250.46</v>
      </c>
      <c r="N11" s="4">
        <v>256.70999999999998</v>
      </c>
      <c r="O11" s="12">
        <v>204.22</v>
      </c>
      <c r="P11" s="12">
        <v>256.82</v>
      </c>
      <c r="Q11" s="12">
        <v>269.39</v>
      </c>
      <c r="R11" s="12">
        <v>303.68</v>
      </c>
      <c r="S11" s="12">
        <v>250.56</v>
      </c>
      <c r="T11" s="12">
        <v>259.45</v>
      </c>
      <c r="U11" s="12">
        <v>243.92</v>
      </c>
      <c r="V11" s="12">
        <v>250.23</v>
      </c>
      <c r="W11" s="12">
        <v>234</v>
      </c>
      <c r="X11" s="12">
        <v>218.72</v>
      </c>
      <c r="Y11" s="12">
        <v>272.93</v>
      </c>
      <c r="Z11" s="12">
        <v>274.68</v>
      </c>
      <c r="AA11" s="12">
        <v>266.72000000000003</v>
      </c>
      <c r="AB11" s="12">
        <v>304.72000000000003</v>
      </c>
      <c r="AC11" s="12">
        <v>311.02</v>
      </c>
      <c r="AD11" s="12">
        <v>298.98</v>
      </c>
      <c r="AE11" s="12">
        <v>316.13</v>
      </c>
      <c r="AF11" s="12">
        <v>306.23</v>
      </c>
      <c r="AG11" s="12">
        <v>286.64999999999998</v>
      </c>
      <c r="AH11" s="12">
        <v>319.86</v>
      </c>
      <c r="AI11" s="12">
        <v>280.43</v>
      </c>
      <c r="AJ11" s="12">
        <v>306.36</v>
      </c>
      <c r="AK11" s="12">
        <v>330.57</v>
      </c>
      <c r="AL11" s="12">
        <v>303.62</v>
      </c>
      <c r="AM11" s="12">
        <v>257.73</v>
      </c>
      <c r="AN11" s="12">
        <v>281.95999999999998</v>
      </c>
      <c r="AO11" s="12">
        <v>298.08</v>
      </c>
      <c r="AP11" s="12">
        <v>312.52</v>
      </c>
      <c r="AQ11" s="12">
        <v>323.77</v>
      </c>
      <c r="AR11" s="12">
        <v>304.51</v>
      </c>
      <c r="AS11" s="12">
        <v>306.02999999999997</v>
      </c>
      <c r="AT11" s="12">
        <v>317.08999999999997</v>
      </c>
      <c r="AU11" s="12">
        <v>297.61</v>
      </c>
      <c r="AV11" s="12">
        <v>336.33</v>
      </c>
      <c r="AW11" s="12">
        <v>356.77</v>
      </c>
      <c r="AX11" s="12">
        <v>374.49</v>
      </c>
      <c r="AY11" s="12">
        <v>352.98</v>
      </c>
      <c r="AZ11" s="12">
        <v>356.64</v>
      </c>
      <c r="BA11" s="12">
        <v>381.86</v>
      </c>
      <c r="BB11" s="12">
        <v>403.24</v>
      </c>
      <c r="BC11" s="12">
        <v>399.63</v>
      </c>
      <c r="BD11" s="12">
        <v>395.4</v>
      </c>
      <c r="BE11" s="12">
        <v>382.45</v>
      </c>
      <c r="BF11" s="12">
        <v>400.8</v>
      </c>
      <c r="BG11" s="12">
        <v>373.15</v>
      </c>
      <c r="BH11" s="12">
        <v>391.8</v>
      </c>
      <c r="BI11" s="12">
        <v>396.29</v>
      </c>
      <c r="BJ11" s="12">
        <v>431.65</v>
      </c>
    </row>
    <row r="12" spans="2:62" ht="13.5" x14ac:dyDescent="0.25">
      <c r="B12" s="1" t="s">
        <v>12</v>
      </c>
      <c r="C12" s="4">
        <v>208.37</v>
      </c>
      <c r="D12" s="4">
        <v>283.89</v>
      </c>
      <c r="E12" s="4">
        <v>267.33999999999997</v>
      </c>
      <c r="F12" s="4">
        <v>245.39</v>
      </c>
      <c r="G12" s="4">
        <v>286.68</v>
      </c>
      <c r="H12" s="4">
        <v>262.16000000000003</v>
      </c>
      <c r="I12" s="4">
        <v>270.39999999999998</v>
      </c>
      <c r="J12" s="4">
        <v>254.55</v>
      </c>
      <c r="K12" s="4">
        <v>246.93</v>
      </c>
      <c r="L12" s="4">
        <v>238.94</v>
      </c>
      <c r="M12" s="4">
        <v>291.77</v>
      </c>
      <c r="N12" s="4">
        <v>297.7</v>
      </c>
      <c r="O12" s="12">
        <v>240.4</v>
      </c>
      <c r="P12" s="12">
        <v>300</v>
      </c>
      <c r="Q12" s="12">
        <v>312.95</v>
      </c>
      <c r="R12" s="12">
        <v>350.96</v>
      </c>
      <c r="S12" s="12">
        <v>292.43</v>
      </c>
      <c r="T12" s="12">
        <v>302.02</v>
      </c>
      <c r="U12" s="12">
        <v>285.43</v>
      </c>
      <c r="V12" s="12">
        <v>291.61</v>
      </c>
      <c r="W12" s="12">
        <v>273.58</v>
      </c>
      <c r="X12" s="12">
        <v>257.10000000000002</v>
      </c>
      <c r="Y12" s="12">
        <v>316.61</v>
      </c>
      <c r="Z12" s="12">
        <v>318.77999999999997</v>
      </c>
      <c r="AA12" s="12">
        <v>307.44</v>
      </c>
      <c r="AB12" s="12">
        <v>349.91</v>
      </c>
      <c r="AC12" s="12">
        <v>357.65</v>
      </c>
      <c r="AD12" s="12">
        <v>346.04</v>
      </c>
      <c r="AE12" s="12">
        <v>364.34</v>
      </c>
      <c r="AF12" s="12">
        <v>353.33</v>
      </c>
      <c r="AG12" s="12">
        <v>331.39</v>
      </c>
      <c r="AH12" s="12">
        <v>367.54</v>
      </c>
      <c r="AI12" s="12">
        <v>324.55</v>
      </c>
      <c r="AJ12" s="12">
        <v>354.33</v>
      </c>
      <c r="AK12" s="12">
        <v>380.67</v>
      </c>
      <c r="AL12" s="12">
        <v>349.86</v>
      </c>
      <c r="AM12" s="12">
        <v>298.64</v>
      </c>
      <c r="AN12" s="12">
        <v>327.38</v>
      </c>
      <c r="AO12" s="12">
        <v>344.74</v>
      </c>
      <c r="AP12" s="12">
        <v>360.1</v>
      </c>
      <c r="AQ12" s="12">
        <v>372.12</v>
      </c>
      <c r="AR12" s="12">
        <v>351.23</v>
      </c>
      <c r="AS12" s="12">
        <v>352.51</v>
      </c>
      <c r="AT12" s="12">
        <v>365.34</v>
      </c>
      <c r="AU12" s="12">
        <v>343.63</v>
      </c>
      <c r="AV12" s="12">
        <v>387.44</v>
      </c>
      <c r="AW12" s="12">
        <v>409.17</v>
      </c>
      <c r="AX12" s="12">
        <v>428.91</v>
      </c>
      <c r="AY12" s="12">
        <v>405.34</v>
      </c>
      <c r="AZ12" s="12">
        <v>409.51</v>
      </c>
      <c r="BA12" s="12">
        <v>439.23</v>
      </c>
      <c r="BB12" s="12">
        <v>461.88</v>
      </c>
      <c r="BC12" s="12">
        <v>458.74</v>
      </c>
      <c r="BD12" s="12">
        <v>453.9</v>
      </c>
      <c r="BE12" s="12">
        <v>439.36</v>
      </c>
      <c r="BF12" s="12">
        <v>459.44</v>
      </c>
      <c r="BG12" s="12">
        <v>428.94</v>
      </c>
      <c r="BH12" s="12">
        <v>449.4</v>
      </c>
      <c r="BI12" s="12">
        <v>455.09</v>
      </c>
      <c r="BJ12" s="12">
        <v>495.52</v>
      </c>
    </row>
    <row r="13" spans="2:62" ht="13.5" x14ac:dyDescent="0.25">
      <c r="B13" s="5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2:62" ht="13.5" x14ac:dyDescent="0.25">
      <c r="B14" s="1" t="s">
        <v>14</v>
      </c>
      <c r="C14" s="6">
        <v>434874</v>
      </c>
      <c r="D14" s="6">
        <v>583225</v>
      </c>
      <c r="E14" s="6">
        <v>860490</v>
      </c>
      <c r="F14" s="6">
        <v>686915</v>
      </c>
      <c r="G14" s="6">
        <v>841794</v>
      </c>
      <c r="H14" s="6">
        <v>720475</v>
      </c>
      <c r="I14" s="6">
        <v>685555</v>
      </c>
      <c r="J14" s="6">
        <v>871692</v>
      </c>
      <c r="K14" s="6">
        <v>883889</v>
      </c>
      <c r="L14" s="6">
        <v>833242</v>
      </c>
      <c r="M14" s="6">
        <v>923156</v>
      </c>
      <c r="N14" s="6">
        <v>549466</v>
      </c>
      <c r="O14" s="6">
        <v>112051</v>
      </c>
      <c r="P14" s="6">
        <v>650213</v>
      </c>
      <c r="Q14" s="6">
        <v>1018489</v>
      </c>
      <c r="R14" s="6">
        <v>1159766</v>
      </c>
      <c r="S14" s="6">
        <v>921687</v>
      </c>
      <c r="T14" s="6">
        <v>900918</v>
      </c>
      <c r="U14" s="6">
        <v>871596</v>
      </c>
      <c r="V14" s="6">
        <v>1012777</v>
      </c>
      <c r="W14" s="6">
        <v>808018</v>
      </c>
      <c r="X14" s="6">
        <v>738291</v>
      </c>
      <c r="Y14" s="6">
        <v>1221607</v>
      </c>
      <c r="Z14" s="6">
        <v>824875</v>
      </c>
      <c r="AA14" s="6">
        <v>586300</v>
      </c>
      <c r="AB14" s="6">
        <v>739136</v>
      </c>
      <c r="AC14" s="6">
        <v>931731</v>
      </c>
      <c r="AD14" s="6">
        <v>962141</v>
      </c>
      <c r="AE14" s="6">
        <v>1091621</v>
      </c>
      <c r="AF14" s="6">
        <v>1103623</v>
      </c>
      <c r="AG14" s="6">
        <v>882102</v>
      </c>
      <c r="AH14" s="6">
        <v>1301877</v>
      </c>
      <c r="AI14" s="6">
        <v>1044068</v>
      </c>
      <c r="AJ14" s="6">
        <v>1011850</v>
      </c>
      <c r="AK14" s="6">
        <v>1233273</v>
      </c>
      <c r="AL14" s="6">
        <v>1006234</v>
      </c>
      <c r="AM14" s="6">
        <v>689124</v>
      </c>
      <c r="AN14" s="6">
        <v>875993</v>
      </c>
      <c r="AO14" s="6">
        <v>1238832</v>
      </c>
      <c r="AP14" s="6">
        <v>979679</v>
      </c>
      <c r="AQ14" s="6">
        <v>1207452</v>
      </c>
      <c r="AR14" s="6">
        <v>1003612</v>
      </c>
      <c r="AS14" s="6">
        <v>1055856</v>
      </c>
      <c r="AT14" s="6">
        <v>1316885</v>
      </c>
      <c r="AU14" s="6">
        <v>974399</v>
      </c>
      <c r="AV14" s="6">
        <v>1129503</v>
      </c>
      <c r="AW14" s="6">
        <v>1213607</v>
      </c>
      <c r="AX14" s="6">
        <v>1016708</v>
      </c>
      <c r="AY14" s="6">
        <v>758352</v>
      </c>
      <c r="AZ14" s="6">
        <v>731267</v>
      </c>
      <c r="BA14" s="6">
        <v>1187224</v>
      </c>
      <c r="BB14" s="6">
        <v>1324929</v>
      </c>
      <c r="BC14" s="6">
        <v>1155678</v>
      </c>
      <c r="BD14" s="6">
        <v>1433057</v>
      </c>
      <c r="BE14" s="6">
        <v>1040110</v>
      </c>
      <c r="BF14" s="6">
        <v>1261127</v>
      </c>
      <c r="BG14" s="6">
        <v>1194425</v>
      </c>
      <c r="BH14" s="6">
        <v>1395771</v>
      </c>
      <c r="BI14" s="6">
        <v>1472967</v>
      </c>
      <c r="BJ14" s="6">
        <v>1247510</v>
      </c>
    </row>
    <row r="15" spans="2:62" ht="13.5" x14ac:dyDescent="0.25">
      <c r="B15" s="1" t="s">
        <v>15</v>
      </c>
      <c r="C15" s="6">
        <v>47310</v>
      </c>
      <c r="D15" s="6">
        <v>84257</v>
      </c>
      <c r="E15" s="6">
        <v>126880</v>
      </c>
      <c r="F15" s="6">
        <v>109672</v>
      </c>
      <c r="G15" s="6">
        <v>120962</v>
      </c>
      <c r="H15" s="6">
        <v>109213</v>
      </c>
      <c r="I15" s="6">
        <v>100589</v>
      </c>
      <c r="J15" s="6">
        <v>128935</v>
      </c>
      <c r="K15" s="6">
        <v>128167</v>
      </c>
      <c r="L15" s="6">
        <v>128775</v>
      </c>
      <c r="M15" s="6">
        <v>127309</v>
      </c>
      <c r="N15" s="6">
        <v>87253</v>
      </c>
      <c r="O15" s="6">
        <v>24463</v>
      </c>
      <c r="P15" s="6">
        <v>86660</v>
      </c>
      <c r="Q15" s="6">
        <v>150009</v>
      </c>
      <c r="R15" s="6">
        <v>145929</v>
      </c>
      <c r="S15" s="6">
        <v>159536</v>
      </c>
      <c r="T15" s="6">
        <v>122757</v>
      </c>
      <c r="U15" s="6">
        <v>133671</v>
      </c>
      <c r="V15" s="6">
        <v>147324</v>
      </c>
      <c r="W15" s="6">
        <v>111138</v>
      </c>
      <c r="X15" s="6">
        <v>115012</v>
      </c>
      <c r="Y15" s="6">
        <v>160255</v>
      </c>
      <c r="Z15" s="6">
        <v>109568</v>
      </c>
      <c r="AA15" s="6">
        <v>59708</v>
      </c>
      <c r="AB15" s="6">
        <v>74821</v>
      </c>
      <c r="AC15" s="6">
        <v>85482</v>
      </c>
      <c r="AD15" s="6">
        <v>86643</v>
      </c>
      <c r="AE15" s="6">
        <v>111014</v>
      </c>
      <c r="AF15" s="6">
        <v>105790</v>
      </c>
      <c r="AG15" s="6">
        <v>88506</v>
      </c>
      <c r="AH15" s="6">
        <v>114410</v>
      </c>
      <c r="AI15" s="6">
        <v>95432</v>
      </c>
      <c r="AJ15" s="6">
        <v>94513</v>
      </c>
      <c r="AK15" s="6">
        <v>97051</v>
      </c>
      <c r="AL15" s="6">
        <v>80466</v>
      </c>
      <c r="AM15" s="6">
        <v>60947</v>
      </c>
      <c r="AN15" s="6">
        <v>63991</v>
      </c>
      <c r="AO15" s="6">
        <v>102120</v>
      </c>
      <c r="AP15" s="6">
        <v>88487</v>
      </c>
      <c r="AQ15" s="6">
        <v>118496</v>
      </c>
      <c r="AR15" s="6">
        <v>94184</v>
      </c>
      <c r="AS15" s="6">
        <v>91937</v>
      </c>
      <c r="AT15" s="6">
        <v>117917</v>
      </c>
      <c r="AU15" s="6">
        <v>81844</v>
      </c>
      <c r="AV15" s="6">
        <v>83479</v>
      </c>
      <c r="AW15" s="6">
        <v>85556</v>
      </c>
      <c r="AX15" s="6">
        <v>83121</v>
      </c>
      <c r="AY15" s="6">
        <v>65544</v>
      </c>
      <c r="AZ15" s="6">
        <v>67972</v>
      </c>
      <c r="BA15" s="6">
        <v>105377</v>
      </c>
      <c r="BB15" s="6">
        <v>102465</v>
      </c>
      <c r="BC15" s="6">
        <v>93942</v>
      </c>
      <c r="BD15" s="6">
        <v>104000</v>
      </c>
      <c r="BE15" s="6">
        <v>75272</v>
      </c>
      <c r="BF15" s="6">
        <v>106178</v>
      </c>
      <c r="BG15" s="6">
        <v>102169</v>
      </c>
      <c r="BH15" s="6">
        <v>134097</v>
      </c>
      <c r="BI15" s="6">
        <v>122249</v>
      </c>
      <c r="BJ15" s="6">
        <v>78456</v>
      </c>
    </row>
    <row r="16" spans="2:62" ht="13.5" x14ac:dyDescent="0.25">
      <c r="B16" s="1" t="s">
        <v>16</v>
      </c>
      <c r="C16" s="6">
        <v>33464</v>
      </c>
      <c r="D16" s="6">
        <v>28413</v>
      </c>
      <c r="E16" s="6">
        <v>42441</v>
      </c>
      <c r="F16" s="6">
        <v>42021</v>
      </c>
      <c r="G16" s="6">
        <v>39386</v>
      </c>
      <c r="H16" s="6">
        <v>37853</v>
      </c>
      <c r="I16" s="6">
        <v>37979</v>
      </c>
      <c r="J16" s="6">
        <v>49718</v>
      </c>
      <c r="K16" s="6">
        <v>54590</v>
      </c>
      <c r="L16" s="6">
        <v>45108</v>
      </c>
      <c r="M16" s="6">
        <v>42872</v>
      </c>
      <c r="N16" s="6">
        <v>23730</v>
      </c>
      <c r="O16" s="6">
        <v>7659</v>
      </c>
      <c r="P16" s="6">
        <v>37207</v>
      </c>
      <c r="Q16" s="6">
        <v>50816</v>
      </c>
      <c r="R16" s="6">
        <v>53169</v>
      </c>
      <c r="S16" s="6">
        <v>49606</v>
      </c>
      <c r="T16" s="6">
        <v>47009</v>
      </c>
      <c r="U16" s="6">
        <v>50516</v>
      </c>
      <c r="V16" s="6">
        <v>52936</v>
      </c>
      <c r="W16" s="6">
        <v>47319</v>
      </c>
      <c r="X16" s="6">
        <v>47153</v>
      </c>
      <c r="Y16" s="6">
        <v>60917</v>
      </c>
      <c r="Z16" s="6">
        <v>39784</v>
      </c>
      <c r="AA16" s="6">
        <v>26849</v>
      </c>
      <c r="AB16" s="6">
        <v>29038</v>
      </c>
      <c r="AC16" s="6">
        <v>36353</v>
      </c>
      <c r="AD16" s="6">
        <v>42791</v>
      </c>
      <c r="AE16" s="6">
        <v>44433</v>
      </c>
      <c r="AF16" s="6">
        <v>48207</v>
      </c>
      <c r="AG16" s="6">
        <v>40260</v>
      </c>
      <c r="AH16" s="6">
        <v>49983</v>
      </c>
      <c r="AI16" s="6">
        <v>47875</v>
      </c>
      <c r="AJ16" s="6">
        <v>43468</v>
      </c>
      <c r="AK16" s="6">
        <v>51193</v>
      </c>
      <c r="AL16" s="6">
        <v>43501</v>
      </c>
      <c r="AM16" s="6">
        <v>34377</v>
      </c>
      <c r="AN16" s="6">
        <v>43878</v>
      </c>
      <c r="AO16" s="6">
        <v>56743</v>
      </c>
      <c r="AP16" s="6">
        <v>41481</v>
      </c>
      <c r="AQ16" s="6">
        <v>48285</v>
      </c>
      <c r="AR16" s="6">
        <v>44422</v>
      </c>
      <c r="AS16" s="6">
        <v>46220</v>
      </c>
      <c r="AT16" s="6">
        <v>57054</v>
      </c>
      <c r="AU16" s="6">
        <v>44222</v>
      </c>
      <c r="AV16" s="6">
        <v>44877</v>
      </c>
      <c r="AW16" s="6">
        <v>44234</v>
      </c>
      <c r="AX16" s="6">
        <v>36530</v>
      </c>
      <c r="AY16" s="6">
        <v>29570</v>
      </c>
      <c r="AZ16" s="6">
        <v>27804</v>
      </c>
      <c r="BA16" s="6">
        <v>47686</v>
      </c>
      <c r="BB16" s="6">
        <v>46428</v>
      </c>
      <c r="BC16" s="6">
        <v>43028</v>
      </c>
      <c r="BD16" s="6">
        <v>54632</v>
      </c>
      <c r="BE16" s="6">
        <v>40378</v>
      </c>
      <c r="BF16" s="6">
        <v>45121</v>
      </c>
      <c r="BG16" s="6">
        <v>45968</v>
      </c>
      <c r="BH16" s="6">
        <v>50881</v>
      </c>
      <c r="BI16" s="6">
        <v>54946</v>
      </c>
      <c r="BJ16" s="6">
        <v>45375</v>
      </c>
    </row>
    <row r="17" spans="2:62" ht="13.5" x14ac:dyDescent="0.25">
      <c r="B17" s="1" t="s">
        <v>17</v>
      </c>
      <c r="C17" s="6">
        <v>4704</v>
      </c>
      <c r="D17" s="6">
        <v>4572</v>
      </c>
      <c r="E17" s="6">
        <v>6756</v>
      </c>
      <c r="F17" s="6">
        <v>5976</v>
      </c>
      <c r="G17" s="6">
        <v>6132</v>
      </c>
      <c r="H17" s="6">
        <v>5700</v>
      </c>
      <c r="I17" s="6">
        <v>7428</v>
      </c>
      <c r="J17" s="6">
        <v>9552</v>
      </c>
      <c r="K17" s="6">
        <v>8820</v>
      </c>
      <c r="L17" s="6">
        <v>9048</v>
      </c>
      <c r="M17" s="6">
        <v>10536</v>
      </c>
      <c r="N17" s="6">
        <v>5160</v>
      </c>
      <c r="O17" s="6">
        <v>120</v>
      </c>
      <c r="P17" s="6">
        <v>2352</v>
      </c>
      <c r="Q17" s="6">
        <v>5076</v>
      </c>
      <c r="R17" s="6">
        <v>4140</v>
      </c>
      <c r="S17" s="6">
        <v>4620</v>
      </c>
      <c r="T17" s="6">
        <v>3612</v>
      </c>
      <c r="U17" s="6">
        <v>3300</v>
      </c>
      <c r="V17" s="6">
        <v>5148</v>
      </c>
      <c r="W17" s="6">
        <v>1932</v>
      </c>
      <c r="X17" s="6">
        <v>1188</v>
      </c>
      <c r="Y17" s="6">
        <v>3624</v>
      </c>
      <c r="Z17" s="6">
        <v>3792</v>
      </c>
      <c r="AA17" s="6">
        <v>144</v>
      </c>
      <c r="AB17" s="6">
        <v>1992</v>
      </c>
      <c r="AC17" s="6">
        <v>4392</v>
      </c>
      <c r="AD17" s="6">
        <v>5460</v>
      </c>
      <c r="AE17" s="6">
        <v>5976</v>
      </c>
      <c r="AF17" s="6">
        <v>4248</v>
      </c>
      <c r="AG17" s="6">
        <v>2892</v>
      </c>
      <c r="AH17" s="6">
        <v>6420</v>
      </c>
      <c r="AI17" s="6">
        <v>4452</v>
      </c>
      <c r="AJ17" s="6">
        <v>7272</v>
      </c>
      <c r="AK17" s="6">
        <v>5472</v>
      </c>
      <c r="AL17" s="6">
        <v>2916</v>
      </c>
      <c r="AM17" s="6">
        <v>233</v>
      </c>
      <c r="AN17" s="6">
        <v>3408</v>
      </c>
      <c r="AO17" s="6">
        <v>4752</v>
      </c>
      <c r="AP17" s="6">
        <v>3984</v>
      </c>
      <c r="AQ17" s="6">
        <v>4625</v>
      </c>
      <c r="AR17" s="6">
        <v>2892</v>
      </c>
      <c r="AS17" s="6">
        <v>2364</v>
      </c>
      <c r="AT17" s="6">
        <v>3984</v>
      </c>
      <c r="AU17" s="6">
        <v>3216</v>
      </c>
      <c r="AV17" s="6">
        <v>7656</v>
      </c>
      <c r="AW17" s="6">
        <v>7260</v>
      </c>
      <c r="AX17" s="6">
        <v>5088</v>
      </c>
      <c r="AY17" s="6">
        <v>3456</v>
      </c>
      <c r="AZ17" s="6">
        <v>3775</v>
      </c>
      <c r="BA17" s="6">
        <v>6032</v>
      </c>
      <c r="BB17" s="6">
        <v>7709</v>
      </c>
      <c r="BC17" s="6">
        <v>6772</v>
      </c>
      <c r="BD17" s="6">
        <v>7181</v>
      </c>
      <c r="BE17" s="6">
        <v>5359</v>
      </c>
      <c r="BF17" s="6">
        <v>7511</v>
      </c>
      <c r="BG17" s="6">
        <v>7088</v>
      </c>
      <c r="BH17" s="6">
        <v>8290</v>
      </c>
      <c r="BI17" s="6">
        <v>9583</v>
      </c>
      <c r="BJ17" s="6">
        <v>4475</v>
      </c>
    </row>
    <row r="18" spans="2:62" ht="13.5" x14ac:dyDescent="0.25">
      <c r="B18" s="1" t="s">
        <v>18</v>
      </c>
      <c r="C18" s="6">
        <v>98303</v>
      </c>
      <c r="D18" s="6">
        <v>105915</v>
      </c>
      <c r="E18" s="6">
        <v>192311</v>
      </c>
      <c r="F18" s="6">
        <v>306844</v>
      </c>
      <c r="G18" s="6">
        <v>226474</v>
      </c>
      <c r="H18" s="6">
        <v>256168</v>
      </c>
      <c r="I18" s="6">
        <v>183497</v>
      </c>
      <c r="J18" s="6">
        <v>196966</v>
      </c>
      <c r="K18" s="6">
        <v>145041</v>
      </c>
      <c r="L18" s="6">
        <v>208011</v>
      </c>
      <c r="M18" s="6">
        <v>319667</v>
      </c>
      <c r="N18" s="6">
        <v>205078</v>
      </c>
      <c r="O18" s="6">
        <v>19470</v>
      </c>
      <c r="P18" s="6">
        <v>113564</v>
      </c>
      <c r="Q18" s="6">
        <v>323522</v>
      </c>
      <c r="R18" s="6">
        <v>332709</v>
      </c>
      <c r="S18" s="6">
        <v>364574</v>
      </c>
      <c r="T18" s="6">
        <v>194977</v>
      </c>
      <c r="U18" s="6">
        <v>182869</v>
      </c>
      <c r="V18" s="6">
        <v>166115</v>
      </c>
      <c r="W18" s="6">
        <v>209321</v>
      </c>
      <c r="X18" s="6">
        <v>238803</v>
      </c>
      <c r="Y18" s="6">
        <v>278110</v>
      </c>
      <c r="Z18" s="6">
        <v>248761</v>
      </c>
      <c r="AA18" s="6">
        <v>39667</v>
      </c>
      <c r="AB18" s="6">
        <v>168361</v>
      </c>
      <c r="AC18" s="6">
        <v>216936</v>
      </c>
      <c r="AD18" s="6">
        <v>343374</v>
      </c>
      <c r="AE18" s="6">
        <v>182530</v>
      </c>
      <c r="AF18" s="6">
        <v>265628</v>
      </c>
      <c r="AG18" s="6">
        <v>206585</v>
      </c>
      <c r="AH18" s="6">
        <v>332470</v>
      </c>
      <c r="AI18" s="6">
        <v>189533</v>
      </c>
      <c r="AJ18" s="6">
        <v>357782</v>
      </c>
      <c r="AK18" s="6">
        <v>309174</v>
      </c>
      <c r="AL18" s="6">
        <v>327429</v>
      </c>
      <c r="AM18" s="6">
        <v>72944</v>
      </c>
      <c r="AN18" s="6">
        <v>216607</v>
      </c>
      <c r="AO18" s="6">
        <v>341147</v>
      </c>
      <c r="AP18" s="6">
        <v>244846</v>
      </c>
      <c r="AQ18" s="6">
        <v>208333</v>
      </c>
      <c r="AR18" s="6">
        <v>244303</v>
      </c>
      <c r="AS18" s="6">
        <v>152639</v>
      </c>
      <c r="AT18" s="6">
        <v>421365</v>
      </c>
      <c r="AU18" s="6">
        <v>314878</v>
      </c>
      <c r="AV18" s="6">
        <v>179169</v>
      </c>
      <c r="AW18" s="6">
        <v>216232</v>
      </c>
      <c r="AX18" s="6">
        <v>239763</v>
      </c>
      <c r="AY18" s="6">
        <v>73222</v>
      </c>
      <c r="AZ18" s="6">
        <v>191345</v>
      </c>
      <c r="BA18" s="6">
        <v>165139</v>
      </c>
      <c r="BB18" s="6">
        <v>297700</v>
      </c>
      <c r="BC18" s="6">
        <v>217060</v>
      </c>
      <c r="BD18" s="6">
        <v>542560</v>
      </c>
      <c r="BE18" s="6">
        <v>153443</v>
      </c>
      <c r="BF18" s="6">
        <v>233466</v>
      </c>
      <c r="BG18" s="6">
        <v>195788</v>
      </c>
      <c r="BH18" s="6">
        <v>210187</v>
      </c>
      <c r="BI18" s="6">
        <v>223593</v>
      </c>
      <c r="BJ18" s="6">
        <v>295935</v>
      </c>
    </row>
    <row r="19" spans="2:62" ht="13.5" x14ac:dyDescent="0.25">
      <c r="B19" s="1" t="s">
        <v>19</v>
      </c>
      <c r="C19" s="6">
        <v>25552</v>
      </c>
      <c r="D19" s="6">
        <v>40129</v>
      </c>
      <c r="E19" s="6">
        <v>64182</v>
      </c>
      <c r="F19" s="6">
        <v>54631</v>
      </c>
      <c r="G19" s="6">
        <v>57188</v>
      </c>
      <c r="H19" s="6">
        <v>49610</v>
      </c>
      <c r="I19" s="6">
        <v>51716</v>
      </c>
      <c r="J19" s="6">
        <v>70042</v>
      </c>
      <c r="K19" s="6">
        <v>72089</v>
      </c>
      <c r="L19" s="6">
        <v>69166</v>
      </c>
      <c r="M19" s="6">
        <v>64832</v>
      </c>
      <c r="N19" s="6">
        <v>42798</v>
      </c>
      <c r="O19" s="6">
        <v>8781</v>
      </c>
      <c r="P19" s="6">
        <v>48828</v>
      </c>
      <c r="Q19" s="6">
        <v>74493</v>
      </c>
      <c r="R19" s="6">
        <v>74695</v>
      </c>
      <c r="S19" s="6">
        <v>77398</v>
      </c>
      <c r="T19" s="6">
        <v>54694</v>
      </c>
      <c r="U19" s="6">
        <v>63273</v>
      </c>
      <c r="V19" s="6">
        <v>80045</v>
      </c>
      <c r="W19" s="6">
        <v>59117</v>
      </c>
      <c r="X19" s="6">
        <v>61281</v>
      </c>
      <c r="Y19" s="6">
        <v>75078</v>
      </c>
      <c r="Z19" s="6">
        <v>57349</v>
      </c>
      <c r="AA19" s="6">
        <v>28226</v>
      </c>
      <c r="AB19" s="6">
        <v>44629</v>
      </c>
      <c r="AC19" s="6">
        <v>48313</v>
      </c>
      <c r="AD19" s="6">
        <v>53662</v>
      </c>
      <c r="AE19" s="6">
        <v>63546</v>
      </c>
      <c r="AF19" s="6">
        <v>53193</v>
      </c>
      <c r="AG19" s="6">
        <v>45175</v>
      </c>
      <c r="AH19" s="6">
        <v>67491</v>
      </c>
      <c r="AI19" s="6">
        <v>55362</v>
      </c>
      <c r="AJ19" s="6">
        <v>53208</v>
      </c>
      <c r="AK19" s="6">
        <v>52267</v>
      </c>
      <c r="AL19" s="6">
        <v>46059</v>
      </c>
      <c r="AM19" s="6">
        <v>27792</v>
      </c>
      <c r="AN19" s="6">
        <v>36437</v>
      </c>
      <c r="AO19" s="6">
        <v>50126</v>
      </c>
      <c r="AP19" s="6">
        <v>48598</v>
      </c>
      <c r="AQ19" s="6">
        <v>54531</v>
      </c>
      <c r="AR19" s="6">
        <v>45026</v>
      </c>
      <c r="AS19" s="6">
        <v>43176</v>
      </c>
      <c r="AT19" s="6">
        <v>58355</v>
      </c>
      <c r="AU19" s="6">
        <v>41962</v>
      </c>
      <c r="AV19" s="6">
        <v>45854</v>
      </c>
      <c r="AW19" s="6">
        <v>46430</v>
      </c>
      <c r="AX19" s="6">
        <v>40385</v>
      </c>
      <c r="AY19" s="6">
        <v>27479</v>
      </c>
      <c r="AZ19" s="6">
        <v>31335</v>
      </c>
      <c r="BA19" s="6">
        <v>46315</v>
      </c>
      <c r="BB19" s="6">
        <v>49835</v>
      </c>
      <c r="BC19" s="6">
        <v>45801</v>
      </c>
      <c r="BD19" s="6">
        <v>50288</v>
      </c>
      <c r="BE19" s="6">
        <v>41123</v>
      </c>
      <c r="BF19" s="6">
        <v>53173</v>
      </c>
      <c r="BG19" s="6">
        <v>53412</v>
      </c>
      <c r="BH19" s="6">
        <v>56998</v>
      </c>
      <c r="BI19" s="6">
        <v>53184</v>
      </c>
      <c r="BJ19" s="6">
        <v>40646</v>
      </c>
    </row>
    <row r="20" spans="2:62" ht="13.5" x14ac:dyDescent="0.25">
      <c r="B20" s="1" t="s">
        <v>20</v>
      </c>
      <c r="C20" s="6">
        <v>1250</v>
      </c>
      <c r="D20" s="6">
        <v>11309</v>
      </c>
      <c r="E20" s="6">
        <v>20931</v>
      </c>
      <c r="F20" s="6">
        <v>19802</v>
      </c>
      <c r="G20" s="6">
        <v>23362</v>
      </c>
      <c r="H20" s="6">
        <v>31841</v>
      </c>
      <c r="I20" s="6">
        <v>30466</v>
      </c>
      <c r="J20" s="6">
        <v>30518</v>
      </c>
      <c r="K20" s="6">
        <v>49057</v>
      </c>
      <c r="L20" s="6">
        <v>23525</v>
      </c>
      <c r="M20" s="6">
        <v>50982</v>
      </c>
      <c r="N20" s="6">
        <v>9461</v>
      </c>
      <c r="O20" s="6">
        <v>4263</v>
      </c>
      <c r="P20" s="6">
        <v>10786</v>
      </c>
      <c r="Q20" s="6">
        <v>28538</v>
      </c>
      <c r="R20" s="6">
        <v>32681</v>
      </c>
      <c r="S20" s="6">
        <v>43055</v>
      </c>
      <c r="T20" s="6">
        <v>28889</v>
      </c>
      <c r="U20" s="6">
        <v>30091</v>
      </c>
      <c r="V20" s="6">
        <v>18792</v>
      </c>
      <c r="W20" s="6">
        <v>18405</v>
      </c>
      <c r="X20" s="6">
        <v>26456</v>
      </c>
      <c r="Y20" s="6">
        <v>27548</v>
      </c>
      <c r="Z20" s="6">
        <v>41463</v>
      </c>
      <c r="AA20" s="6">
        <v>2345</v>
      </c>
      <c r="AB20" s="6">
        <v>12190</v>
      </c>
      <c r="AC20" s="6">
        <v>36645</v>
      </c>
      <c r="AD20" s="6">
        <v>31234</v>
      </c>
      <c r="AE20" s="6">
        <v>15989</v>
      </c>
      <c r="AF20" s="6">
        <v>23554</v>
      </c>
      <c r="AG20" s="6">
        <v>33821</v>
      </c>
      <c r="AH20" s="6">
        <v>41012</v>
      </c>
      <c r="AI20" s="6">
        <v>34532</v>
      </c>
      <c r="AJ20" s="6">
        <v>17312</v>
      </c>
      <c r="AK20" s="6">
        <v>25013</v>
      </c>
      <c r="AL20" s="6">
        <v>38184</v>
      </c>
      <c r="AM20" s="6">
        <v>8675</v>
      </c>
      <c r="AN20" s="6">
        <v>11735</v>
      </c>
      <c r="AO20" s="6">
        <v>41769</v>
      </c>
      <c r="AP20" s="6">
        <v>29012</v>
      </c>
      <c r="AQ20" s="6">
        <v>22103</v>
      </c>
      <c r="AR20" s="6">
        <v>23861</v>
      </c>
      <c r="AS20" s="6">
        <v>8323</v>
      </c>
      <c r="AT20" s="6">
        <v>36897</v>
      </c>
      <c r="AU20" s="6">
        <v>30517</v>
      </c>
      <c r="AV20" s="6">
        <v>17886</v>
      </c>
      <c r="AW20" s="6">
        <v>39568</v>
      </c>
      <c r="AX20" s="6">
        <v>36426</v>
      </c>
      <c r="AY20" s="6">
        <v>4459</v>
      </c>
      <c r="AZ20" s="6">
        <v>15898</v>
      </c>
      <c r="BA20" s="6">
        <v>10452</v>
      </c>
      <c r="BB20" s="6">
        <v>25145</v>
      </c>
      <c r="BC20" s="6">
        <v>17699</v>
      </c>
      <c r="BD20" s="6">
        <v>16923</v>
      </c>
      <c r="BE20" s="6">
        <v>9873</v>
      </c>
      <c r="BF20" s="6">
        <v>14411</v>
      </c>
      <c r="BG20" s="6">
        <v>23622</v>
      </c>
      <c r="BH20" s="6">
        <v>13635</v>
      </c>
      <c r="BI20" s="6">
        <v>9355</v>
      </c>
      <c r="BJ20" s="6">
        <v>4155</v>
      </c>
    </row>
    <row r="21" spans="2:62" ht="13.5" x14ac:dyDescent="0.25">
      <c r="B21" s="1" t="s">
        <v>21</v>
      </c>
      <c r="C21" s="6">
        <v>6400</v>
      </c>
      <c r="D21" s="6">
        <v>42628</v>
      </c>
      <c r="E21" s="6">
        <v>79761</v>
      </c>
      <c r="F21" s="6">
        <v>87859</v>
      </c>
      <c r="G21" s="6">
        <v>103801</v>
      </c>
      <c r="H21" s="6">
        <v>80200</v>
      </c>
      <c r="I21" s="6">
        <v>82748</v>
      </c>
      <c r="J21" s="6">
        <v>79736</v>
      </c>
      <c r="K21" s="6">
        <v>80434</v>
      </c>
      <c r="L21" s="6">
        <v>117280</v>
      </c>
      <c r="M21" s="6">
        <v>123770</v>
      </c>
      <c r="N21" s="6">
        <v>50500</v>
      </c>
      <c r="O21" s="6">
        <v>7400</v>
      </c>
      <c r="P21" s="6">
        <v>47414</v>
      </c>
      <c r="Q21" s="6">
        <v>139200</v>
      </c>
      <c r="R21" s="6">
        <v>158700</v>
      </c>
      <c r="S21" s="6">
        <v>145600</v>
      </c>
      <c r="T21" s="6">
        <v>107984</v>
      </c>
      <c r="U21" s="6">
        <v>76230</v>
      </c>
      <c r="V21" s="6">
        <v>70327</v>
      </c>
      <c r="W21" s="6">
        <v>74300</v>
      </c>
      <c r="X21" s="6">
        <v>82266</v>
      </c>
      <c r="Y21" s="6">
        <v>99200</v>
      </c>
      <c r="Z21" s="6">
        <v>90500</v>
      </c>
      <c r="AA21" s="6">
        <v>17090</v>
      </c>
      <c r="AB21" s="6">
        <v>54700</v>
      </c>
      <c r="AC21" s="6">
        <v>71090</v>
      </c>
      <c r="AD21" s="6">
        <v>86600</v>
      </c>
      <c r="AE21" s="6">
        <v>98614</v>
      </c>
      <c r="AF21" s="6">
        <v>133350</v>
      </c>
      <c r="AG21" s="6">
        <v>84574</v>
      </c>
      <c r="AH21" s="6">
        <v>145911</v>
      </c>
      <c r="AI21" s="6">
        <v>56980</v>
      </c>
      <c r="AJ21" s="6">
        <v>98700</v>
      </c>
      <c r="AK21" s="6">
        <v>97700</v>
      </c>
      <c r="AL21" s="6">
        <v>87950</v>
      </c>
      <c r="AM21" s="6">
        <v>11050</v>
      </c>
      <c r="AN21" s="6">
        <v>51900</v>
      </c>
      <c r="AO21" s="6">
        <v>94312</v>
      </c>
      <c r="AP21" s="6">
        <v>104500</v>
      </c>
      <c r="AQ21" s="6">
        <v>94300</v>
      </c>
      <c r="AR21" s="6">
        <v>98102</v>
      </c>
      <c r="AS21" s="6">
        <v>85722</v>
      </c>
      <c r="AT21" s="6">
        <v>133163</v>
      </c>
      <c r="AU21" s="6">
        <v>103640</v>
      </c>
      <c r="AV21" s="6">
        <v>91350</v>
      </c>
      <c r="AW21" s="6">
        <v>82820</v>
      </c>
      <c r="AX21" s="6">
        <v>80850</v>
      </c>
      <c r="AY21" s="6">
        <v>17630</v>
      </c>
      <c r="AZ21" s="6">
        <v>33040</v>
      </c>
      <c r="BA21" s="6">
        <v>59310</v>
      </c>
      <c r="BB21" s="6">
        <v>97196</v>
      </c>
      <c r="BC21" s="6">
        <v>88368</v>
      </c>
      <c r="BD21" s="6">
        <v>152274</v>
      </c>
      <c r="BE21" s="6">
        <v>58260</v>
      </c>
      <c r="BF21" s="6">
        <v>75018</v>
      </c>
      <c r="BG21" s="6">
        <v>79590</v>
      </c>
      <c r="BH21" s="6">
        <v>101693</v>
      </c>
      <c r="BI21" s="6">
        <v>85300</v>
      </c>
      <c r="BJ21" s="6">
        <v>47200</v>
      </c>
    </row>
    <row r="22" spans="2:62" ht="13.5" x14ac:dyDescent="0.25">
      <c r="B22" s="1" t="s">
        <v>22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</row>
    <row r="23" spans="2:62" ht="13.5" x14ac:dyDescent="0.25">
      <c r="B23" s="1" t="s">
        <v>23</v>
      </c>
      <c r="C23" s="6">
        <v>19089</v>
      </c>
      <c r="D23" s="6">
        <v>27344</v>
      </c>
      <c r="E23" s="6">
        <v>38825</v>
      </c>
      <c r="F23" s="6">
        <v>30171</v>
      </c>
      <c r="G23" s="6">
        <v>35211</v>
      </c>
      <c r="H23" s="6">
        <v>31634</v>
      </c>
      <c r="I23" s="6">
        <v>28816</v>
      </c>
      <c r="J23" s="6">
        <v>36569</v>
      </c>
      <c r="K23" s="6">
        <v>32819</v>
      </c>
      <c r="L23" s="6">
        <v>33548</v>
      </c>
      <c r="M23" s="6">
        <v>31597</v>
      </c>
      <c r="N23" s="6">
        <v>20441</v>
      </c>
      <c r="O23" s="6">
        <v>6217</v>
      </c>
      <c r="P23" s="6">
        <v>22632</v>
      </c>
      <c r="Q23" s="6">
        <v>31674</v>
      </c>
      <c r="R23" s="6">
        <v>33475</v>
      </c>
      <c r="S23" s="6">
        <v>36587</v>
      </c>
      <c r="T23" s="6">
        <v>29128</v>
      </c>
      <c r="U23" s="6">
        <v>28351</v>
      </c>
      <c r="V23" s="6">
        <v>32157</v>
      </c>
      <c r="W23" s="6">
        <v>29513</v>
      </c>
      <c r="X23" s="6">
        <v>28177</v>
      </c>
      <c r="Y23" s="6">
        <v>34326</v>
      </c>
      <c r="Z23" s="6">
        <v>27219</v>
      </c>
      <c r="AA23" s="6">
        <v>17930</v>
      </c>
      <c r="AB23" s="6">
        <v>24470</v>
      </c>
      <c r="AC23" s="6">
        <v>55146</v>
      </c>
      <c r="AD23" s="6">
        <v>26828</v>
      </c>
      <c r="AE23" s="6">
        <v>38010</v>
      </c>
      <c r="AF23" s="6">
        <v>33101</v>
      </c>
      <c r="AG23" s="6">
        <v>30316</v>
      </c>
      <c r="AH23" s="6">
        <v>36838</v>
      </c>
      <c r="AI23" s="6">
        <v>33005</v>
      </c>
      <c r="AJ23" s="6">
        <v>36135</v>
      </c>
      <c r="AK23" s="6">
        <v>32740</v>
      </c>
      <c r="AL23" s="6">
        <v>40210</v>
      </c>
      <c r="AM23" s="6">
        <v>23974</v>
      </c>
      <c r="AN23" s="6">
        <v>22221</v>
      </c>
      <c r="AO23" s="6">
        <v>36488</v>
      </c>
      <c r="AP23" s="6">
        <v>35002</v>
      </c>
      <c r="AQ23" s="6">
        <v>38894</v>
      </c>
      <c r="AR23" s="6">
        <v>32672</v>
      </c>
      <c r="AS23" s="6">
        <v>33059</v>
      </c>
      <c r="AT23" s="6">
        <v>41357</v>
      </c>
      <c r="AU23" s="6">
        <v>32030</v>
      </c>
      <c r="AV23" s="6">
        <v>35644</v>
      </c>
      <c r="AW23" s="6">
        <v>37167</v>
      </c>
      <c r="AX23" s="6">
        <v>37308</v>
      </c>
      <c r="AY23" s="6">
        <v>33405</v>
      </c>
      <c r="AZ23" s="6">
        <v>34016</v>
      </c>
      <c r="BA23" s="6">
        <v>45676</v>
      </c>
      <c r="BB23" s="6">
        <v>50632</v>
      </c>
      <c r="BC23" s="6">
        <v>41429</v>
      </c>
      <c r="BD23" s="6">
        <v>47351</v>
      </c>
      <c r="BE23" s="6">
        <v>36741</v>
      </c>
      <c r="BF23" s="6">
        <v>46131</v>
      </c>
      <c r="BG23" s="6">
        <v>44404</v>
      </c>
      <c r="BH23" s="6">
        <v>33721</v>
      </c>
      <c r="BI23" s="6">
        <v>35811</v>
      </c>
      <c r="BJ23" s="6">
        <v>20213</v>
      </c>
    </row>
    <row r="24" spans="2:62" ht="13.5" x14ac:dyDescent="0.25">
      <c r="B24" s="1" t="s">
        <v>25</v>
      </c>
      <c r="C24" s="6">
        <v>2141</v>
      </c>
      <c r="D24" s="6">
        <v>2172</v>
      </c>
      <c r="E24" s="6">
        <v>2824</v>
      </c>
      <c r="F24" s="6">
        <v>3850</v>
      </c>
      <c r="G24" s="6">
        <v>3928</v>
      </c>
      <c r="H24" s="6">
        <v>3573</v>
      </c>
      <c r="I24" s="6">
        <v>3318</v>
      </c>
      <c r="J24" s="6">
        <v>4180</v>
      </c>
      <c r="K24" s="6">
        <v>5118</v>
      </c>
      <c r="L24" s="6">
        <v>2528</v>
      </c>
      <c r="M24" s="6">
        <v>3676</v>
      </c>
      <c r="N24" s="6">
        <v>2212</v>
      </c>
      <c r="O24" s="6">
        <v>442</v>
      </c>
      <c r="P24" s="6">
        <v>1983</v>
      </c>
      <c r="Q24" s="6">
        <v>2916</v>
      </c>
      <c r="R24" s="6">
        <v>3592</v>
      </c>
      <c r="S24" s="6">
        <v>2382</v>
      </c>
      <c r="T24" s="6">
        <v>2644</v>
      </c>
      <c r="U24" s="6">
        <v>2776</v>
      </c>
      <c r="V24" s="6">
        <v>3030</v>
      </c>
      <c r="W24" s="6">
        <v>2435</v>
      </c>
      <c r="X24" s="6">
        <v>1942</v>
      </c>
      <c r="Y24" s="6">
        <v>2308</v>
      </c>
      <c r="Z24" s="6">
        <v>1942</v>
      </c>
      <c r="AA24" s="6">
        <v>950</v>
      </c>
      <c r="AB24" s="6">
        <v>1996</v>
      </c>
      <c r="AC24" s="6">
        <v>1820</v>
      </c>
      <c r="AD24" s="6">
        <v>2306</v>
      </c>
      <c r="AE24" s="6">
        <v>2338</v>
      </c>
      <c r="AF24" s="6">
        <v>2235</v>
      </c>
      <c r="AG24" s="6">
        <v>2152</v>
      </c>
      <c r="AH24" s="6">
        <v>3042</v>
      </c>
      <c r="AI24" s="6">
        <v>2765</v>
      </c>
      <c r="AJ24" s="6">
        <v>2592</v>
      </c>
      <c r="AK24" s="6">
        <v>2040</v>
      </c>
      <c r="AL24" s="6">
        <v>1998</v>
      </c>
      <c r="AM24" s="6">
        <v>1560</v>
      </c>
      <c r="AN24" s="6">
        <v>2123</v>
      </c>
      <c r="AO24" s="6">
        <v>3816</v>
      </c>
      <c r="AP24" s="6">
        <v>3455</v>
      </c>
      <c r="AQ24" s="6">
        <v>4268</v>
      </c>
      <c r="AR24" s="6">
        <v>3799</v>
      </c>
      <c r="AS24" s="6">
        <v>4377</v>
      </c>
      <c r="AT24" s="6">
        <v>4560</v>
      </c>
      <c r="AU24" s="6">
        <v>2875</v>
      </c>
      <c r="AV24" s="6">
        <v>3601</v>
      </c>
      <c r="AW24" s="6">
        <v>3056</v>
      </c>
      <c r="AX24" s="6">
        <v>1935</v>
      </c>
      <c r="AY24" s="6">
        <v>1689</v>
      </c>
      <c r="AZ24" s="6">
        <v>1518</v>
      </c>
      <c r="BA24" s="6">
        <v>2370</v>
      </c>
      <c r="BB24" s="6">
        <v>2800</v>
      </c>
      <c r="BC24" s="6">
        <v>2337</v>
      </c>
      <c r="BD24" s="6">
        <v>2559</v>
      </c>
      <c r="BE24" s="6">
        <v>1902</v>
      </c>
      <c r="BF24" s="6">
        <v>2553</v>
      </c>
      <c r="BG24" s="6">
        <v>2357</v>
      </c>
      <c r="BH24" s="6">
        <v>2914</v>
      </c>
      <c r="BI24" s="6">
        <v>2952</v>
      </c>
      <c r="BJ24" s="6">
        <v>1626</v>
      </c>
    </row>
    <row r="25" spans="2:62" ht="13.5" x14ac:dyDescent="0.25">
      <c r="B25" s="1" t="s">
        <v>24</v>
      </c>
      <c r="C25" s="6">
        <v>66008</v>
      </c>
      <c r="D25" s="6">
        <v>90836</v>
      </c>
      <c r="E25" s="6">
        <v>141235</v>
      </c>
      <c r="F25" s="6">
        <v>132061</v>
      </c>
      <c r="G25" s="6">
        <v>143944</v>
      </c>
      <c r="H25" s="6">
        <v>130739</v>
      </c>
      <c r="I25" s="6">
        <v>119067</v>
      </c>
      <c r="J25" s="6">
        <v>145048</v>
      </c>
      <c r="K25" s="6">
        <v>142210</v>
      </c>
      <c r="L25" s="6">
        <v>144851</v>
      </c>
      <c r="M25" s="6">
        <v>167885</v>
      </c>
      <c r="N25" s="6">
        <v>97058</v>
      </c>
      <c r="O25" s="6">
        <v>18459</v>
      </c>
      <c r="P25" s="6">
        <v>100228</v>
      </c>
      <c r="Q25" s="6">
        <v>179106</v>
      </c>
      <c r="R25" s="6">
        <v>196238</v>
      </c>
      <c r="S25" s="6">
        <v>176079</v>
      </c>
      <c r="T25" s="6">
        <v>145265</v>
      </c>
      <c r="U25" s="6">
        <v>140819</v>
      </c>
      <c r="V25" s="6">
        <v>155205</v>
      </c>
      <c r="W25" s="6">
        <v>133037</v>
      </c>
      <c r="X25" s="6">
        <v>130143</v>
      </c>
      <c r="Y25" s="6">
        <v>191973</v>
      </c>
      <c r="Z25" s="6">
        <v>140669</v>
      </c>
      <c r="AA25" s="6">
        <v>75020</v>
      </c>
      <c r="AB25" s="6">
        <v>111228</v>
      </c>
      <c r="AC25" s="6">
        <v>142781</v>
      </c>
      <c r="AD25" s="6">
        <v>160476</v>
      </c>
      <c r="AE25" s="6">
        <v>161725</v>
      </c>
      <c r="AF25" s="6">
        <v>173965</v>
      </c>
      <c r="AG25" s="6">
        <v>137506</v>
      </c>
      <c r="AH25" s="6">
        <v>206903</v>
      </c>
      <c r="AI25" s="6">
        <v>151693</v>
      </c>
      <c r="AJ25" s="6">
        <v>168740</v>
      </c>
      <c r="AK25" s="6">
        <v>188061</v>
      </c>
      <c r="AL25" s="6">
        <v>163554</v>
      </c>
      <c r="AM25" s="6">
        <v>87120</v>
      </c>
      <c r="AN25" s="6">
        <v>129680</v>
      </c>
      <c r="AO25" s="6">
        <v>188230</v>
      </c>
      <c r="AP25" s="6">
        <v>155109</v>
      </c>
      <c r="AQ25" s="6">
        <v>175354</v>
      </c>
      <c r="AR25" s="6">
        <v>155331</v>
      </c>
      <c r="AS25" s="6">
        <v>149045</v>
      </c>
      <c r="AT25" s="6">
        <v>215862</v>
      </c>
      <c r="AU25" s="6">
        <v>158663</v>
      </c>
      <c r="AV25" s="6">
        <v>161284</v>
      </c>
      <c r="AW25" s="6">
        <v>175624</v>
      </c>
      <c r="AX25" s="6">
        <v>155532</v>
      </c>
      <c r="AY25" s="6">
        <v>99703</v>
      </c>
      <c r="AZ25" s="6">
        <v>110998</v>
      </c>
      <c r="BA25" s="6">
        <v>165554</v>
      </c>
      <c r="BB25" s="6">
        <v>198191</v>
      </c>
      <c r="BC25" s="6">
        <v>168512</v>
      </c>
      <c r="BD25" s="6">
        <v>238038</v>
      </c>
      <c r="BE25" s="6">
        <v>143710</v>
      </c>
      <c r="BF25" s="6">
        <v>181354</v>
      </c>
      <c r="BG25" s="6">
        <v>171422</v>
      </c>
      <c r="BH25" s="6">
        <v>197838</v>
      </c>
      <c r="BI25" s="6">
        <v>203385</v>
      </c>
      <c r="BJ25" s="6">
        <v>178464</v>
      </c>
    </row>
    <row r="26" spans="2:62" ht="13.5" x14ac:dyDescent="0.25">
      <c r="B26" s="8" t="s">
        <v>26</v>
      </c>
      <c r="C26" s="9">
        <f>SUM(C14:C25)</f>
        <v>739095</v>
      </c>
      <c r="D26" s="9">
        <f t="shared" ref="D26:BJ26" si="51">SUM(D14:D25)</f>
        <v>1020800</v>
      </c>
      <c r="E26" s="9">
        <f t="shared" si="51"/>
        <v>1576636</v>
      </c>
      <c r="F26" s="9">
        <f t="shared" si="51"/>
        <v>1479802</v>
      </c>
      <c r="G26" s="9">
        <f t="shared" si="51"/>
        <v>1602182</v>
      </c>
      <c r="H26" s="9">
        <f t="shared" si="51"/>
        <v>1457006</v>
      </c>
      <c r="I26" s="9">
        <f t="shared" si="51"/>
        <v>1331179</v>
      </c>
      <c r="J26" s="9">
        <f t="shared" si="51"/>
        <v>1622956</v>
      </c>
      <c r="K26" s="9">
        <f t="shared" si="51"/>
        <v>1602234</v>
      </c>
      <c r="L26" s="9">
        <f t="shared" si="51"/>
        <v>1615082</v>
      </c>
      <c r="M26" s="9">
        <f t="shared" si="51"/>
        <v>1866282</v>
      </c>
      <c r="N26" s="9">
        <f t="shared" si="51"/>
        <v>1093157</v>
      </c>
      <c r="O26" s="9">
        <f t="shared" si="51"/>
        <v>209325</v>
      </c>
      <c r="P26" s="9">
        <f t="shared" si="51"/>
        <v>1121867</v>
      </c>
      <c r="Q26" s="9">
        <f t="shared" si="51"/>
        <v>2003839</v>
      </c>
      <c r="R26" s="9">
        <f t="shared" si="51"/>
        <v>2195094</v>
      </c>
      <c r="S26" s="9">
        <f t="shared" si="51"/>
        <v>1981124</v>
      </c>
      <c r="T26" s="9">
        <f t="shared" si="51"/>
        <v>1637877</v>
      </c>
      <c r="U26" s="9">
        <f t="shared" si="51"/>
        <v>1583492</v>
      </c>
      <c r="V26" s="9">
        <f t="shared" si="51"/>
        <v>1743856</v>
      </c>
      <c r="W26" s="9">
        <f t="shared" si="51"/>
        <v>1494535</v>
      </c>
      <c r="X26" s="9">
        <f t="shared" si="51"/>
        <v>1470712</v>
      </c>
      <c r="Y26" s="9">
        <f t="shared" si="51"/>
        <v>2154946</v>
      </c>
      <c r="Z26" s="9">
        <f t="shared" si="51"/>
        <v>1585922</v>
      </c>
      <c r="AA26" s="9">
        <f t="shared" si="51"/>
        <v>854229</v>
      </c>
      <c r="AB26" s="9">
        <f t="shared" si="51"/>
        <v>1262561</v>
      </c>
      <c r="AC26" s="9">
        <f t="shared" si="51"/>
        <v>1630689</v>
      </c>
      <c r="AD26" s="9">
        <f t="shared" si="51"/>
        <v>1801515</v>
      </c>
      <c r="AE26" s="9">
        <f t="shared" si="51"/>
        <v>1815796</v>
      </c>
      <c r="AF26" s="9">
        <f t="shared" si="51"/>
        <v>1946894</v>
      </c>
      <c r="AG26" s="9">
        <f t="shared" si="51"/>
        <v>1553889</v>
      </c>
      <c r="AH26" s="9">
        <f t="shared" si="51"/>
        <v>2306357</v>
      </c>
      <c r="AI26" s="9">
        <f t="shared" si="51"/>
        <v>1715697</v>
      </c>
      <c r="AJ26" s="9">
        <f t="shared" si="51"/>
        <v>1891572</v>
      </c>
      <c r="AK26" s="9">
        <f t="shared" si="51"/>
        <v>2093984</v>
      </c>
      <c r="AL26" s="9">
        <f t="shared" si="51"/>
        <v>1838501</v>
      </c>
      <c r="AM26" s="9">
        <f t="shared" si="51"/>
        <v>1017796</v>
      </c>
      <c r="AN26" s="9">
        <f t="shared" si="51"/>
        <v>1457973</v>
      </c>
      <c r="AO26" s="9">
        <f t="shared" si="51"/>
        <v>2158335</v>
      </c>
      <c r="AP26" s="9">
        <f t="shared" si="51"/>
        <v>1734153</v>
      </c>
      <c r="AQ26" s="9">
        <f t="shared" si="51"/>
        <v>1976641</v>
      </c>
      <c r="AR26" s="9">
        <f t="shared" si="51"/>
        <v>1748204</v>
      </c>
      <c r="AS26" s="9">
        <f t="shared" si="51"/>
        <v>1672718</v>
      </c>
      <c r="AT26" s="9">
        <f t="shared" si="51"/>
        <v>2407399</v>
      </c>
      <c r="AU26" s="9">
        <f t="shared" si="51"/>
        <v>1788246</v>
      </c>
      <c r="AV26" s="9">
        <f t="shared" si="51"/>
        <v>1800303</v>
      </c>
      <c r="AW26" s="9">
        <f t="shared" si="51"/>
        <v>1951554</v>
      </c>
      <c r="AX26" s="9">
        <f t="shared" si="51"/>
        <v>1733646</v>
      </c>
      <c r="AY26" s="9">
        <f t="shared" si="51"/>
        <v>1114509</v>
      </c>
      <c r="AZ26" s="9">
        <f t="shared" si="51"/>
        <v>1248968</v>
      </c>
      <c r="BA26" s="9">
        <f t="shared" si="51"/>
        <v>1841135</v>
      </c>
      <c r="BB26" s="9">
        <f t="shared" si="51"/>
        <v>2203030</v>
      </c>
      <c r="BC26" s="9">
        <f t="shared" si="51"/>
        <v>1880626</v>
      </c>
      <c r="BD26" s="9">
        <f t="shared" si="51"/>
        <v>2648863</v>
      </c>
      <c r="BE26" s="9">
        <f t="shared" si="51"/>
        <v>1606171</v>
      </c>
      <c r="BF26" s="9">
        <f t="shared" si="51"/>
        <v>2026043</v>
      </c>
      <c r="BG26" s="9">
        <f t="shared" si="51"/>
        <v>1920245</v>
      </c>
      <c r="BH26" s="9">
        <f t="shared" si="51"/>
        <v>2206025</v>
      </c>
      <c r="BI26" s="9">
        <f t="shared" si="51"/>
        <v>2273325</v>
      </c>
      <c r="BJ26" s="9">
        <f t="shared" si="51"/>
        <v>1964055</v>
      </c>
    </row>
    <row r="27" spans="2:62" ht="13.5" x14ac:dyDescent="0.25">
      <c r="B27" s="5" t="s">
        <v>43</v>
      </c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2:62" ht="13.5" x14ac:dyDescent="0.25">
      <c r="B28" s="1" t="s">
        <v>27</v>
      </c>
      <c r="C28" s="6">
        <v>23199</v>
      </c>
      <c r="D28" s="6">
        <v>34888</v>
      </c>
      <c r="E28" s="6">
        <v>50741</v>
      </c>
      <c r="F28" s="6">
        <v>44245</v>
      </c>
      <c r="G28" s="6">
        <v>52469</v>
      </c>
      <c r="H28" s="6">
        <v>44078</v>
      </c>
      <c r="I28" s="6">
        <v>46319</v>
      </c>
      <c r="J28" s="6">
        <v>50999</v>
      </c>
      <c r="K28" s="6">
        <v>47769</v>
      </c>
      <c r="L28" s="6">
        <v>64652</v>
      </c>
      <c r="M28" s="6">
        <v>57641</v>
      </c>
      <c r="N28" s="6">
        <v>34989</v>
      </c>
      <c r="O28" s="6">
        <v>5955</v>
      </c>
      <c r="P28" s="6">
        <v>27446</v>
      </c>
      <c r="Q28" s="6">
        <v>72102</v>
      </c>
      <c r="R28" s="6">
        <v>58678</v>
      </c>
      <c r="S28" s="6">
        <v>57981</v>
      </c>
      <c r="T28" s="6">
        <v>54933</v>
      </c>
      <c r="U28" s="6">
        <v>64246</v>
      </c>
      <c r="V28" s="6">
        <v>57431</v>
      </c>
      <c r="W28" s="6">
        <v>49507</v>
      </c>
      <c r="X28" s="6">
        <v>44926</v>
      </c>
      <c r="Y28" s="6">
        <v>69786</v>
      </c>
      <c r="Z28" s="6">
        <v>53290</v>
      </c>
      <c r="AA28" s="6">
        <v>30115</v>
      </c>
      <c r="AB28" s="6">
        <v>44349</v>
      </c>
      <c r="AC28" s="6">
        <v>51874</v>
      </c>
      <c r="AD28" s="6">
        <v>62145</v>
      </c>
      <c r="AE28" s="6">
        <v>60303</v>
      </c>
      <c r="AF28" s="6">
        <v>65822</v>
      </c>
      <c r="AG28" s="6">
        <v>56687</v>
      </c>
      <c r="AH28" s="6">
        <v>71130</v>
      </c>
      <c r="AI28" s="6">
        <v>63400</v>
      </c>
      <c r="AJ28" s="6">
        <v>62532</v>
      </c>
      <c r="AK28" s="6">
        <v>57870</v>
      </c>
      <c r="AL28" s="6">
        <v>73904</v>
      </c>
      <c r="AM28" s="6">
        <v>31884</v>
      </c>
      <c r="AN28" s="6">
        <v>45768</v>
      </c>
      <c r="AO28" s="6">
        <v>66901</v>
      </c>
      <c r="AP28" s="6">
        <v>67780</v>
      </c>
      <c r="AQ28" s="6">
        <v>63971</v>
      </c>
      <c r="AR28" s="6">
        <v>64309</v>
      </c>
      <c r="AS28" s="6">
        <v>56043</v>
      </c>
      <c r="AT28" s="6">
        <v>73552</v>
      </c>
      <c r="AU28" s="6">
        <v>64697</v>
      </c>
      <c r="AV28" s="6">
        <v>59195</v>
      </c>
      <c r="AW28" s="6">
        <v>72628</v>
      </c>
      <c r="AX28" s="6">
        <v>70265</v>
      </c>
      <c r="AY28" s="6">
        <v>33495</v>
      </c>
      <c r="AZ28" s="6">
        <v>41952</v>
      </c>
      <c r="BA28" s="6">
        <v>72699</v>
      </c>
      <c r="BB28" s="6">
        <v>75335</v>
      </c>
      <c r="BC28" s="6">
        <v>66254</v>
      </c>
      <c r="BD28" s="6">
        <v>84646</v>
      </c>
      <c r="BE28" s="6">
        <v>53395</v>
      </c>
      <c r="BF28" s="6">
        <v>77830</v>
      </c>
      <c r="BG28" s="6">
        <v>64601</v>
      </c>
      <c r="BH28" s="6">
        <v>77329</v>
      </c>
      <c r="BI28" s="6">
        <v>77329</v>
      </c>
      <c r="BJ28" s="6">
        <v>66820</v>
      </c>
    </row>
    <row r="29" spans="2:62" ht="13.5" x14ac:dyDescent="0.25">
      <c r="B29" s="1" t="s">
        <v>28</v>
      </c>
      <c r="C29" s="6">
        <v>3727</v>
      </c>
      <c r="D29" s="6">
        <v>4274</v>
      </c>
      <c r="E29" s="6">
        <v>7338</v>
      </c>
      <c r="F29" s="6">
        <v>9685</v>
      </c>
      <c r="G29" s="6">
        <v>7706</v>
      </c>
      <c r="H29" s="6">
        <v>8647</v>
      </c>
      <c r="I29" s="6">
        <v>7227</v>
      </c>
      <c r="J29" s="6">
        <v>7446</v>
      </c>
      <c r="K29" s="6">
        <v>8928</v>
      </c>
      <c r="L29" s="6">
        <v>8541</v>
      </c>
      <c r="M29" s="6">
        <v>11024</v>
      </c>
      <c r="N29" s="6">
        <v>7205</v>
      </c>
      <c r="O29" s="6">
        <v>1038</v>
      </c>
      <c r="P29" s="6">
        <v>4990</v>
      </c>
      <c r="Q29" s="6">
        <v>11651</v>
      </c>
      <c r="R29" s="6">
        <v>11732</v>
      </c>
      <c r="S29" s="6">
        <v>12779</v>
      </c>
      <c r="T29" s="6">
        <v>6910</v>
      </c>
      <c r="U29" s="6">
        <v>7150</v>
      </c>
      <c r="V29" s="6">
        <v>7229</v>
      </c>
      <c r="W29" s="6">
        <v>6454</v>
      </c>
      <c r="X29" s="6">
        <v>8604</v>
      </c>
      <c r="Y29" s="6">
        <v>9281</v>
      </c>
      <c r="Z29" s="6">
        <v>7839</v>
      </c>
      <c r="AA29" s="6">
        <v>2357</v>
      </c>
      <c r="AB29" s="6">
        <v>5542</v>
      </c>
      <c r="AC29" s="6">
        <v>6558</v>
      </c>
      <c r="AD29" s="6">
        <v>8173</v>
      </c>
      <c r="AE29" s="6">
        <v>6791</v>
      </c>
      <c r="AF29" s="6">
        <v>8055</v>
      </c>
      <c r="AG29" s="6">
        <v>6566</v>
      </c>
      <c r="AH29" s="6">
        <v>9859</v>
      </c>
      <c r="AI29" s="6">
        <v>6317</v>
      </c>
      <c r="AJ29" s="6">
        <v>9712</v>
      </c>
      <c r="AK29" s="6">
        <v>8277</v>
      </c>
      <c r="AL29" s="6">
        <v>9179</v>
      </c>
      <c r="AM29" s="6">
        <v>2699</v>
      </c>
      <c r="AN29" s="6">
        <v>6795</v>
      </c>
      <c r="AO29" s="6">
        <v>9165</v>
      </c>
      <c r="AP29" s="6">
        <v>7196</v>
      </c>
      <c r="AQ29" s="6">
        <v>7448</v>
      </c>
      <c r="AR29" s="6">
        <v>6809</v>
      </c>
      <c r="AS29" s="6">
        <v>5825</v>
      </c>
      <c r="AT29" s="6">
        <v>10509</v>
      </c>
      <c r="AU29" s="6">
        <v>7244</v>
      </c>
      <c r="AV29" s="6">
        <v>6031</v>
      </c>
      <c r="AW29" s="6">
        <v>6650</v>
      </c>
      <c r="AX29" s="6">
        <v>7163</v>
      </c>
      <c r="AY29" s="6">
        <v>3210</v>
      </c>
      <c r="AZ29" s="6">
        <v>5612</v>
      </c>
      <c r="BA29" s="6">
        <v>6275</v>
      </c>
      <c r="BB29" s="6">
        <v>9128</v>
      </c>
      <c r="BC29" s="6">
        <v>6928</v>
      </c>
      <c r="BD29" s="6">
        <v>13435</v>
      </c>
      <c r="BE29" s="6">
        <v>5326</v>
      </c>
      <c r="BF29" s="6">
        <v>7636</v>
      </c>
      <c r="BG29" s="6">
        <v>6720</v>
      </c>
      <c r="BH29" s="6">
        <v>7858</v>
      </c>
      <c r="BI29" s="6">
        <v>7784</v>
      </c>
      <c r="BJ29" s="6">
        <v>6726</v>
      </c>
    </row>
    <row r="30" spans="2:62" ht="13.5" x14ac:dyDescent="0.25">
      <c r="B30" s="1" t="s">
        <v>29</v>
      </c>
      <c r="C30" s="6">
        <v>5209</v>
      </c>
      <c r="D30" s="6">
        <v>7264</v>
      </c>
      <c r="E30" s="6">
        <v>11234</v>
      </c>
      <c r="F30" s="6">
        <v>11747</v>
      </c>
      <c r="G30" s="6">
        <v>11859</v>
      </c>
      <c r="H30" s="6">
        <v>11179</v>
      </c>
      <c r="I30" s="6">
        <v>10584</v>
      </c>
      <c r="J30" s="6">
        <v>11204</v>
      </c>
      <c r="K30" s="6">
        <v>11635</v>
      </c>
      <c r="L30" s="6">
        <v>13614</v>
      </c>
      <c r="M30" s="6">
        <v>14249</v>
      </c>
      <c r="N30" s="6">
        <v>9255</v>
      </c>
      <c r="O30" s="6">
        <v>1466</v>
      </c>
      <c r="P30" s="6">
        <v>6696</v>
      </c>
      <c r="Q30" s="6">
        <v>16247</v>
      </c>
      <c r="R30" s="6">
        <v>16895</v>
      </c>
      <c r="S30" s="6">
        <v>17309</v>
      </c>
      <c r="T30" s="6">
        <v>13717</v>
      </c>
      <c r="U30" s="6">
        <v>14940</v>
      </c>
      <c r="V30" s="6">
        <v>13760</v>
      </c>
      <c r="W30" s="6">
        <v>11945</v>
      </c>
      <c r="X30" s="6">
        <v>13123</v>
      </c>
      <c r="Y30" s="6">
        <v>17311</v>
      </c>
      <c r="Z30" s="6">
        <v>14244</v>
      </c>
      <c r="AA30" s="6">
        <v>5774</v>
      </c>
      <c r="AB30" s="6">
        <v>10696</v>
      </c>
      <c r="AC30" s="6">
        <v>13239</v>
      </c>
      <c r="AD30" s="6">
        <v>15102</v>
      </c>
      <c r="AE30" s="6">
        <v>14214</v>
      </c>
      <c r="AF30" s="6">
        <v>15815</v>
      </c>
      <c r="AG30" s="6">
        <v>13707</v>
      </c>
      <c r="AH30" s="6">
        <v>14344</v>
      </c>
      <c r="AI30" s="6">
        <v>14262</v>
      </c>
      <c r="AJ30" s="6">
        <v>16457</v>
      </c>
      <c r="AK30" s="6">
        <v>14446</v>
      </c>
      <c r="AL30" s="6">
        <v>18231</v>
      </c>
      <c r="AM30" s="6">
        <v>6533</v>
      </c>
      <c r="AN30" s="6">
        <v>10948</v>
      </c>
      <c r="AO30" s="6">
        <v>16604</v>
      </c>
      <c r="AP30" s="6">
        <v>15912</v>
      </c>
      <c r="AQ30" s="6">
        <v>15242</v>
      </c>
      <c r="AR30" s="6">
        <v>15227</v>
      </c>
      <c r="AS30" s="6">
        <v>12183</v>
      </c>
      <c r="AT30" s="6">
        <v>19116</v>
      </c>
      <c r="AU30" s="6">
        <v>15138</v>
      </c>
      <c r="AV30" s="6">
        <v>13176</v>
      </c>
      <c r="AW30" s="6">
        <v>15511</v>
      </c>
      <c r="AX30" s="6">
        <v>15633</v>
      </c>
      <c r="AY30" s="6">
        <v>7153</v>
      </c>
      <c r="AZ30" s="6">
        <v>10321</v>
      </c>
      <c r="BA30" s="6">
        <v>14827</v>
      </c>
      <c r="BB30" s="6">
        <v>17407</v>
      </c>
      <c r="BC30" s="6">
        <v>14803</v>
      </c>
      <c r="BD30" s="6">
        <v>23631</v>
      </c>
      <c r="BE30" s="6">
        <v>11492</v>
      </c>
      <c r="BF30" s="6">
        <v>16492</v>
      </c>
      <c r="BG30" s="6">
        <v>14271</v>
      </c>
      <c r="BH30" s="6">
        <v>16703</v>
      </c>
      <c r="BI30" s="6">
        <v>16646</v>
      </c>
      <c r="BJ30" s="6">
        <v>14383</v>
      </c>
    </row>
    <row r="31" spans="2:62" ht="13.5" x14ac:dyDescent="0.25">
      <c r="B31" s="1" t="s">
        <v>30</v>
      </c>
      <c r="C31" s="6">
        <v>24370</v>
      </c>
      <c r="D31" s="6">
        <v>34200</v>
      </c>
      <c r="E31" s="6">
        <v>52706</v>
      </c>
      <c r="F31" s="6">
        <v>54965</v>
      </c>
      <c r="G31" s="6">
        <v>55577</v>
      </c>
      <c r="H31" s="6">
        <v>51944</v>
      </c>
      <c r="I31" s="6">
        <v>49628</v>
      </c>
      <c r="J31" s="6">
        <v>52710</v>
      </c>
      <c r="K31" s="6">
        <v>47744</v>
      </c>
      <c r="L31" s="6">
        <v>62787</v>
      </c>
      <c r="M31" s="6">
        <v>65701</v>
      </c>
      <c r="N31" s="6">
        <v>42670</v>
      </c>
      <c r="O31" s="6">
        <v>6897</v>
      </c>
      <c r="P31" s="6">
        <v>31634</v>
      </c>
      <c r="Q31" s="6">
        <v>75687</v>
      </c>
      <c r="R31" s="6">
        <v>78673</v>
      </c>
      <c r="S31" s="6">
        <v>80603</v>
      </c>
      <c r="T31" s="6">
        <v>64071</v>
      </c>
      <c r="U31" s="6">
        <v>69591</v>
      </c>
      <c r="V31" s="6">
        <v>64249</v>
      </c>
      <c r="W31" s="6">
        <v>56084</v>
      </c>
      <c r="X31" s="6">
        <v>61306</v>
      </c>
      <c r="Y31" s="6">
        <v>80800</v>
      </c>
      <c r="Z31" s="6">
        <v>66593</v>
      </c>
      <c r="AA31" s="6">
        <v>27039</v>
      </c>
      <c r="AB31" s="6">
        <v>49795</v>
      </c>
      <c r="AC31" s="6">
        <v>61717</v>
      </c>
      <c r="AD31" s="6">
        <v>70130</v>
      </c>
      <c r="AE31" s="6">
        <v>66252</v>
      </c>
      <c r="AF31" s="6">
        <v>73624</v>
      </c>
      <c r="AG31" s="6">
        <v>64141</v>
      </c>
      <c r="AH31" s="6">
        <v>66847</v>
      </c>
      <c r="AI31" s="6">
        <v>66744</v>
      </c>
      <c r="AJ31" s="6">
        <v>76897</v>
      </c>
      <c r="AK31" s="6">
        <v>67352</v>
      </c>
      <c r="AL31" s="6">
        <v>84638</v>
      </c>
      <c r="AM31" s="6">
        <v>30662</v>
      </c>
      <c r="AN31" s="6">
        <v>50891</v>
      </c>
      <c r="AO31" s="6">
        <v>77318</v>
      </c>
      <c r="AP31" s="6">
        <v>74504</v>
      </c>
      <c r="AQ31" s="6">
        <v>71125</v>
      </c>
      <c r="AR31" s="6">
        <v>71371</v>
      </c>
      <c r="AS31" s="6">
        <v>57341</v>
      </c>
      <c r="AT31" s="6">
        <v>89431</v>
      </c>
      <c r="AU31" s="6">
        <v>71007</v>
      </c>
      <c r="AV31" s="6">
        <v>61705</v>
      </c>
      <c r="AW31" s="6">
        <v>72356</v>
      </c>
      <c r="AX31" s="6">
        <v>77932</v>
      </c>
      <c r="AY31" s="6">
        <v>33477</v>
      </c>
      <c r="AZ31" s="6">
        <v>48252</v>
      </c>
      <c r="BA31" s="6">
        <v>69011</v>
      </c>
      <c r="BB31" s="6">
        <v>80905</v>
      </c>
      <c r="BC31" s="6">
        <v>68994</v>
      </c>
      <c r="BD31" s="6">
        <v>109300</v>
      </c>
      <c r="BE31" s="6">
        <v>53824</v>
      </c>
      <c r="BF31" s="6">
        <v>76857</v>
      </c>
      <c r="BG31" s="6">
        <v>66868</v>
      </c>
      <c r="BH31" s="6">
        <v>77847</v>
      </c>
      <c r="BI31" s="6">
        <v>77847</v>
      </c>
      <c r="BJ31" s="6">
        <v>67267</v>
      </c>
    </row>
    <row r="32" spans="2:62" ht="13.5" x14ac:dyDescent="0.25">
      <c r="B32" s="1" t="s">
        <v>31</v>
      </c>
      <c r="C32" s="6">
        <v>7217</v>
      </c>
      <c r="D32" s="6">
        <v>23430</v>
      </c>
      <c r="E32" s="6">
        <v>9008</v>
      </c>
      <c r="F32" s="6">
        <v>16573</v>
      </c>
      <c r="G32" s="6">
        <v>11540</v>
      </c>
      <c r="H32" s="6">
        <v>9222</v>
      </c>
      <c r="I32" s="6">
        <v>10380</v>
      </c>
      <c r="J32" s="6">
        <v>11940</v>
      </c>
      <c r="K32" s="6">
        <v>9645</v>
      </c>
      <c r="L32" s="6">
        <v>9543</v>
      </c>
      <c r="M32" s="6">
        <v>9035</v>
      </c>
      <c r="N32" s="6">
        <v>16657</v>
      </c>
      <c r="O32" s="6">
        <v>4718</v>
      </c>
      <c r="P32" s="6">
        <v>2599</v>
      </c>
      <c r="Q32" s="6">
        <v>9175</v>
      </c>
      <c r="R32" s="6">
        <v>11077</v>
      </c>
      <c r="S32" s="6">
        <v>11181</v>
      </c>
      <c r="T32" s="6">
        <v>5954</v>
      </c>
      <c r="U32" s="6">
        <v>12804</v>
      </c>
      <c r="V32" s="6">
        <v>9096</v>
      </c>
      <c r="W32" s="6">
        <v>16948</v>
      </c>
      <c r="X32" s="6">
        <v>10151</v>
      </c>
      <c r="Y32" s="6">
        <v>10768</v>
      </c>
      <c r="Z32" s="6">
        <v>14994</v>
      </c>
      <c r="AA32" s="6">
        <v>10728</v>
      </c>
      <c r="AB32" s="6">
        <v>14463</v>
      </c>
      <c r="AC32" s="6">
        <v>10248</v>
      </c>
      <c r="AD32" s="6">
        <v>14874</v>
      </c>
      <c r="AE32" s="6">
        <v>16824</v>
      </c>
      <c r="AF32" s="6">
        <v>10801</v>
      </c>
      <c r="AG32" s="6">
        <v>26395</v>
      </c>
      <c r="AH32" s="6">
        <v>19345</v>
      </c>
      <c r="AI32" s="6">
        <v>19407</v>
      </c>
      <c r="AJ32" s="6">
        <v>20855</v>
      </c>
      <c r="AK32" s="6">
        <v>14813</v>
      </c>
      <c r="AL32" s="6">
        <v>28123</v>
      </c>
      <c r="AM32" s="6">
        <v>20027</v>
      </c>
      <c r="AN32" s="6">
        <v>20027</v>
      </c>
      <c r="AO32" s="6">
        <v>20944</v>
      </c>
      <c r="AP32" s="6">
        <v>12787</v>
      </c>
      <c r="AQ32" s="6">
        <v>19169</v>
      </c>
      <c r="AR32" s="6">
        <v>22990</v>
      </c>
      <c r="AS32" s="6">
        <v>17982</v>
      </c>
      <c r="AT32" s="6">
        <v>15332</v>
      </c>
      <c r="AU32" s="6">
        <v>11485</v>
      </c>
      <c r="AV32" s="6">
        <v>19937</v>
      </c>
      <c r="AW32" s="6">
        <v>12342</v>
      </c>
      <c r="AX32" s="6">
        <v>0</v>
      </c>
      <c r="AY32" s="6">
        <v>8613</v>
      </c>
      <c r="AZ32" s="6">
        <v>15302</v>
      </c>
      <c r="BA32" s="6">
        <v>22684</v>
      </c>
      <c r="BB32" s="6">
        <v>19675</v>
      </c>
      <c r="BC32" s="6">
        <v>16769</v>
      </c>
      <c r="BD32" s="6">
        <v>0</v>
      </c>
      <c r="BE32" s="6">
        <v>13444</v>
      </c>
      <c r="BF32" s="6">
        <v>20588</v>
      </c>
      <c r="BG32" s="6">
        <v>18163</v>
      </c>
      <c r="BH32" s="6">
        <v>19058</v>
      </c>
      <c r="BI32" s="6">
        <v>19058</v>
      </c>
      <c r="BJ32" s="6">
        <v>16468</v>
      </c>
    </row>
    <row r="33" spans="2:62" ht="13.5" x14ac:dyDescent="0.25">
      <c r="B33" s="8" t="s">
        <v>32</v>
      </c>
      <c r="C33" s="9">
        <f>SUM(C28:C32)</f>
        <v>63722</v>
      </c>
      <c r="D33" s="9">
        <f t="shared" ref="D33:BJ33" si="52">SUM(D28:D32)</f>
        <v>104056</v>
      </c>
      <c r="E33" s="9">
        <f t="shared" si="52"/>
        <v>131027</v>
      </c>
      <c r="F33" s="9">
        <f t="shared" si="52"/>
        <v>137215</v>
      </c>
      <c r="G33" s="9">
        <f t="shared" si="52"/>
        <v>139151</v>
      </c>
      <c r="H33" s="9">
        <f t="shared" si="52"/>
        <v>125070</v>
      </c>
      <c r="I33" s="9">
        <f t="shared" si="52"/>
        <v>124138</v>
      </c>
      <c r="J33" s="9">
        <f t="shared" si="52"/>
        <v>134299</v>
      </c>
      <c r="K33" s="9">
        <f t="shared" si="52"/>
        <v>125721</v>
      </c>
      <c r="L33" s="9">
        <f t="shared" si="52"/>
        <v>159137</v>
      </c>
      <c r="M33" s="9">
        <f t="shared" si="52"/>
        <v>157650</v>
      </c>
      <c r="N33" s="9">
        <f t="shared" si="52"/>
        <v>110776</v>
      </c>
      <c r="O33" s="9">
        <f t="shared" si="52"/>
        <v>20074</v>
      </c>
      <c r="P33" s="9">
        <f t="shared" si="52"/>
        <v>73365</v>
      </c>
      <c r="Q33" s="9">
        <f t="shared" si="52"/>
        <v>184862</v>
      </c>
      <c r="R33" s="9">
        <f t="shared" si="52"/>
        <v>177055</v>
      </c>
      <c r="S33" s="9">
        <f t="shared" si="52"/>
        <v>179853</v>
      </c>
      <c r="T33" s="9">
        <f t="shared" si="52"/>
        <v>145585</v>
      </c>
      <c r="U33" s="9">
        <f t="shared" si="52"/>
        <v>168731</v>
      </c>
      <c r="V33" s="9">
        <f t="shared" si="52"/>
        <v>151765</v>
      </c>
      <c r="W33" s="9">
        <f t="shared" si="52"/>
        <v>140938</v>
      </c>
      <c r="X33" s="9">
        <f t="shared" si="52"/>
        <v>138110</v>
      </c>
      <c r="Y33" s="9">
        <f t="shared" si="52"/>
        <v>187946</v>
      </c>
      <c r="Z33" s="9">
        <f t="shared" si="52"/>
        <v>156960</v>
      </c>
      <c r="AA33" s="9">
        <f t="shared" si="52"/>
        <v>76013</v>
      </c>
      <c r="AB33" s="9">
        <f t="shared" si="52"/>
        <v>124845</v>
      </c>
      <c r="AC33" s="9">
        <f t="shared" si="52"/>
        <v>143636</v>
      </c>
      <c r="AD33" s="9">
        <f t="shared" si="52"/>
        <v>170424</v>
      </c>
      <c r="AE33" s="9">
        <f t="shared" si="52"/>
        <v>164384</v>
      </c>
      <c r="AF33" s="9">
        <f t="shared" si="52"/>
        <v>174117</v>
      </c>
      <c r="AG33" s="9">
        <f t="shared" si="52"/>
        <v>167496</v>
      </c>
      <c r="AH33" s="9">
        <f t="shared" si="52"/>
        <v>181525</v>
      </c>
      <c r="AI33" s="9">
        <f t="shared" si="52"/>
        <v>170130</v>
      </c>
      <c r="AJ33" s="9">
        <f t="shared" si="52"/>
        <v>186453</v>
      </c>
      <c r="AK33" s="9">
        <f t="shared" si="52"/>
        <v>162758</v>
      </c>
      <c r="AL33" s="9">
        <f t="shared" si="52"/>
        <v>214075</v>
      </c>
      <c r="AM33" s="9">
        <f t="shared" si="52"/>
        <v>91805</v>
      </c>
      <c r="AN33" s="9">
        <f t="shared" si="52"/>
        <v>134429</v>
      </c>
      <c r="AO33" s="9">
        <f t="shared" si="52"/>
        <v>190932</v>
      </c>
      <c r="AP33" s="9">
        <f t="shared" si="52"/>
        <v>178179</v>
      </c>
      <c r="AQ33" s="9">
        <f t="shared" si="52"/>
        <v>176955</v>
      </c>
      <c r="AR33" s="9">
        <f t="shared" si="52"/>
        <v>180706</v>
      </c>
      <c r="AS33" s="9">
        <f t="shared" si="52"/>
        <v>149374</v>
      </c>
      <c r="AT33" s="9">
        <f t="shared" si="52"/>
        <v>207940</v>
      </c>
      <c r="AU33" s="9">
        <f t="shared" si="52"/>
        <v>169571</v>
      </c>
      <c r="AV33" s="9">
        <f t="shared" si="52"/>
        <v>160044</v>
      </c>
      <c r="AW33" s="9">
        <f t="shared" si="52"/>
        <v>179487</v>
      </c>
      <c r="AX33" s="9">
        <f t="shared" si="52"/>
        <v>170993</v>
      </c>
      <c r="AY33" s="9">
        <f t="shared" si="52"/>
        <v>85948</v>
      </c>
      <c r="AZ33" s="9">
        <f t="shared" si="52"/>
        <v>121439</v>
      </c>
      <c r="BA33" s="9">
        <f t="shared" si="52"/>
        <v>185496</v>
      </c>
      <c r="BB33" s="9">
        <f t="shared" si="52"/>
        <v>202450</v>
      </c>
      <c r="BC33" s="9">
        <f t="shared" si="52"/>
        <v>173748</v>
      </c>
      <c r="BD33" s="9">
        <f t="shared" si="52"/>
        <v>231012</v>
      </c>
      <c r="BE33" s="9">
        <f t="shared" si="52"/>
        <v>137481</v>
      </c>
      <c r="BF33" s="9">
        <f t="shared" si="52"/>
        <v>199403</v>
      </c>
      <c r="BG33" s="9">
        <f t="shared" si="52"/>
        <v>170623</v>
      </c>
      <c r="BH33" s="9">
        <f t="shared" si="52"/>
        <v>198795</v>
      </c>
      <c r="BI33" s="9">
        <f t="shared" si="52"/>
        <v>198664</v>
      </c>
      <c r="BJ33" s="9">
        <f t="shared" si="52"/>
        <v>171664</v>
      </c>
    </row>
    <row r="34" spans="2:62" ht="13.5" x14ac:dyDescent="0.25">
      <c r="B34" s="5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2:62" ht="13.5" x14ac:dyDescent="0.25">
      <c r="B35" s="1" t="s">
        <v>34</v>
      </c>
      <c r="C35" s="6">
        <v>64929</v>
      </c>
      <c r="D35" s="6">
        <v>78739</v>
      </c>
      <c r="E35" s="6">
        <v>113772</v>
      </c>
      <c r="F35" s="6">
        <v>123634</v>
      </c>
      <c r="G35" s="6">
        <v>114597</v>
      </c>
      <c r="H35" s="6">
        <v>114225</v>
      </c>
      <c r="I35" s="6">
        <v>101867</v>
      </c>
      <c r="J35" s="6">
        <v>117825</v>
      </c>
      <c r="K35" s="6">
        <v>107182</v>
      </c>
      <c r="L35" s="6">
        <v>121080</v>
      </c>
      <c r="M35" s="6">
        <v>130354</v>
      </c>
      <c r="N35" s="6">
        <v>90773</v>
      </c>
      <c r="O35" s="6">
        <v>26058</v>
      </c>
      <c r="P35" s="6">
        <v>80005</v>
      </c>
      <c r="Q35" s="6">
        <v>143177</v>
      </c>
      <c r="R35" s="6">
        <v>147131</v>
      </c>
      <c r="S35" s="6">
        <v>143701</v>
      </c>
      <c r="T35" s="6">
        <v>108861</v>
      </c>
      <c r="U35" s="6">
        <v>114169</v>
      </c>
      <c r="V35" s="6">
        <v>114093</v>
      </c>
      <c r="W35" s="6">
        <v>115088</v>
      </c>
      <c r="X35" s="6">
        <v>117874</v>
      </c>
      <c r="Y35" s="6">
        <v>134134</v>
      </c>
      <c r="Z35" s="6">
        <v>118468</v>
      </c>
      <c r="AA35" s="6">
        <v>58486</v>
      </c>
      <c r="AB35" s="6">
        <v>88448</v>
      </c>
      <c r="AC35" s="6">
        <v>98363</v>
      </c>
      <c r="AD35" s="6">
        <v>126629</v>
      </c>
      <c r="AE35" s="6">
        <v>104658</v>
      </c>
      <c r="AF35" s="6">
        <v>109190</v>
      </c>
      <c r="AG35" s="6">
        <v>95505</v>
      </c>
      <c r="AH35" s="6">
        <v>125130</v>
      </c>
      <c r="AI35" s="6">
        <v>98381</v>
      </c>
      <c r="AJ35" s="6">
        <v>127420</v>
      </c>
      <c r="AK35" s="6">
        <v>117465</v>
      </c>
      <c r="AL35" s="6">
        <v>116560</v>
      </c>
      <c r="AM35" s="6">
        <v>63982</v>
      </c>
      <c r="AN35" s="6">
        <v>107847</v>
      </c>
      <c r="AO35" s="6">
        <v>123788</v>
      </c>
      <c r="AP35" s="6">
        <v>98061</v>
      </c>
      <c r="AQ35" s="6">
        <v>117095</v>
      </c>
      <c r="AR35" s="6">
        <v>101035</v>
      </c>
      <c r="AS35" s="6">
        <v>92119</v>
      </c>
      <c r="AT35" s="6">
        <v>150591</v>
      </c>
      <c r="AU35" s="6">
        <v>122764</v>
      </c>
      <c r="AV35" s="6">
        <v>110441</v>
      </c>
      <c r="AW35" s="6">
        <v>111081</v>
      </c>
      <c r="AX35" s="6">
        <v>107635</v>
      </c>
      <c r="AY35" s="6">
        <v>67134</v>
      </c>
      <c r="AZ35" s="6">
        <v>110160</v>
      </c>
      <c r="BA35" s="6">
        <v>102878</v>
      </c>
      <c r="BB35" s="6">
        <v>123683</v>
      </c>
      <c r="BC35" s="6">
        <v>107969</v>
      </c>
      <c r="BD35" s="6">
        <v>142676</v>
      </c>
      <c r="BE35" s="6">
        <v>94337</v>
      </c>
      <c r="BF35" s="6">
        <v>120871</v>
      </c>
      <c r="BG35" s="6">
        <v>107368</v>
      </c>
      <c r="BH35" s="6">
        <v>121509</v>
      </c>
      <c r="BI35" s="6">
        <v>123875</v>
      </c>
      <c r="BJ35" s="6">
        <v>103781</v>
      </c>
    </row>
    <row r="36" spans="2:62" ht="13.5" x14ac:dyDescent="0.25">
      <c r="B36" s="1" t="s">
        <v>35</v>
      </c>
      <c r="C36" s="6">
        <v>8438</v>
      </c>
      <c r="D36" s="6">
        <v>7312</v>
      </c>
      <c r="E36" s="6">
        <v>7032</v>
      </c>
      <c r="F36" s="6">
        <v>10283</v>
      </c>
      <c r="G36" s="6">
        <v>8441</v>
      </c>
      <c r="H36" s="6">
        <v>9728</v>
      </c>
      <c r="I36" s="6">
        <v>9784</v>
      </c>
      <c r="J36" s="6">
        <v>5738</v>
      </c>
      <c r="K36" s="6">
        <v>4635</v>
      </c>
      <c r="L36" s="6">
        <v>5399</v>
      </c>
      <c r="M36" s="6">
        <v>9218</v>
      </c>
      <c r="N36" s="6">
        <v>10191</v>
      </c>
      <c r="O36" s="6">
        <v>5520</v>
      </c>
      <c r="P36" s="6">
        <v>4387</v>
      </c>
      <c r="Q36" s="6">
        <v>5069</v>
      </c>
      <c r="R36" s="6">
        <v>6438</v>
      </c>
      <c r="S36" s="6">
        <v>1295</v>
      </c>
      <c r="T36" s="6">
        <v>5663</v>
      </c>
      <c r="U36" s="6">
        <v>7320</v>
      </c>
      <c r="V36" s="6">
        <v>2026</v>
      </c>
      <c r="W36" s="6">
        <v>5343</v>
      </c>
      <c r="X36" s="6">
        <v>14575</v>
      </c>
      <c r="Y36" s="6">
        <v>2730</v>
      </c>
      <c r="Z36" s="6">
        <v>22205</v>
      </c>
      <c r="AA36" s="6">
        <v>806</v>
      </c>
      <c r="AB36" s="6">
        <v>6846</v>
      </c>
      <c r="AC36" s="6">
        <v>4204</v>
      </c>
      <c r="AD36" s="6">
        <v>-1490</v>
      </c>
      <c r="AE36" s="6">
        <v>3647</v>
      </c>
      <c r="AF36" s="6">
        <v>-6581</v>
      </c>
      <c r="AG36" s="6">
        <v>5616</v>
      </c>
      <c r="AH36" s="6">
        <v>3195</v>
      </c>
      <c r="AI36" s="6">
        <v>3247</v>
      </c>
      <c r="AJ36" s="6">
        <v>4252</v>
      </c>
      <c r="AK36" s="6">
        <v>3373</v>
      </c>
      <c r="AL36" s="6">
        <v>-2359</v>
      </c>
      <c r="AM36" s="6">
        <v>6127</v>
      </c>
      <c r="AN36" s="6">
        <v>2381</v>
      </c>
      <c r="AO36" s="6">
        <v>1380</v>
      </c>
      <c r="AP36" s="6">
        <v>1529</v>
      </c>
      <c r="AQ36" s="6">
        <v>2415</v>
      </c>
      <c r="AR36" s="6">
        <v>1632</v>
      </c>
      <c r="AS36" s="6">
        <v>3500</v>
      </c>
      <c r="AT36" s="6">
        <v>1806</v>
      </c>
      <c r="AU36" s="6">
        <v>1821</v>
      </c>
      <c r="AV36" s="6">
        <v>1953</v>
      </c>
      <c r="AW36" s="6">
        <v>2088</v>
      </c>
      <c r="AX36" s="6">
        <v>2617</v>
      </c>
      <c r="AY36" s="6">
        <v>2559</v>
      </c>
      <c r="AZ36" s="6">
        <v>2573</v>
      </c>
      <c r="BA36" s="6">
        <v>1130</v>
      </c>
      <c r="BB36" s="6">
        <v>3778</v>
      </c>
      <c r="BC36" s="6">
        <v>784</v>
      </c>
      <c r="BD36" s="6">
        <v>3673</v>
      </c>
      <c r="BE36" s="6">
        <v>1811</v>
      </c>
      <c r="BF36" s="6">
        <v>1177</v>
      </c>
      <c r="BG36" s="6">
        <v>2911</v>
      </c>
      <c r="BH36" s="6">
        <v>5965</v>
      </c>
      <c r="BI36" s="6">
        <v>3979</v>
      </c>
      <c r="BJ36" s="6">
        <v>3438</v>
      </c>
    </row>
    <row r="37" spans="2:62" ht="13.5" x14ac:dyDescent="0.25">
      <c r="B37" s="1" t="s">
        <v>36</v>
      </c>
      <c r="C37" s="6">
        <v>2741</v>
      </c>
      <c r="D37" s="6">
        <v>4486</v>
      </c>
      <c r="E37" s="6">
        <v>6569</v>
      </c>
      <c r="F37" s="6">
        <v>3770</v>
      </c>
      <c r="G37" s="6">
        <v>4144</v>
      </c>
      <c r="H37" s="6">
        <v>3809</v>
      </c>
      <c r="I37" s="6">
        <v>3580</v>
      </c>
      <c r="J37" s="6">
        <v>4651</v>
      </c>
      <c r="K37" s="6">
        <v>4643</v>
      </c>
      <c r="L37" s="6">
        <v>4493</v>
      </c>
      <c r="M37" s="6">
        <v>4290</v>
      </c>
      <c r="N37" s="6">
        <v>2605</v>
      </c>
      <c r="O37" s="6">
        <v>113</v>
      </c>
      <c r="P37" s="6">
        <v>4010</v>
      </c>
      <c r="Q37" s="6">
        <v>5673</v>
      </c>
      <c r="R37" s="6">
        <v>7169</v>
      </c>
      <c r="S37" s="6">
        <v>3027</v>
      </c>
      <c r="T37" s="6">
        <v>4571</v>
      </c>
      <c r="U37" s="6">
        <v>4641</v>
      </c>
      <c r="V37" s="6">
        <v>4872</v>
      </c>
      <c r="W37" s="6">
        <v>4704</v>
      </c>
      <c r="X37" s="6">
        <v>2697</v>
      </c>
      <c r="Y37" s="6">
        <v>6837</v>
      </c>
      <c r="Z37" s="6">
        <v>4409</v>
      </c>
      <c r="AA37" s="6">
        <v>3034</v>
      </c>
      <c r="AB37" s="6">
        <v>3557</v>
      </c>
      <c r="AC37" s="6">
        <v>5316</v>
      </c>
      <c r="AD37" s="6">
        <v>5838</v>
      </c>
      <c r="AE37" s="6">
        <v>8682</v>
      </c>
      <c r="AF37" s="6">
        <v>7908</v>
      </c>
      <c r="AG37" s="6">
        <v>4386</v>
      </c>
      <c r="AH37" s="6">
        <v>5795</v>
      </c>
      <c r="AI37" s="6">
        <v>4407</v>
      </c>
      <c r="AJ37" s="6">
        <v>4676</v>
      </c>
      <c r="AK37" s="6">
        <v>4615</v>
      </c>
      <c r="AL37" s="6">
        <v>4379</v>
      </c>
      <c r="AM37" s="6">
        <v>2484</v>
      </c>
      <c r="AN37" s="6">
        <v>2821</v>
      </c>
      <c r="AO37" s="6">
        <v>5618</v>
      </c>
      <c r="AP37" s="6">
        <v>5607</v>
      </c>
      <c r="AQ37" s="6">
        <v>6256</v>
      </c>
      <c r="AR37" s="6">
        <v>3712</v>
      </c>
      <c r="AS37" s="6">
        <v>4398</v>
      </c>
      <c r="AT37" s="6">
        <v>6308</v>
      </c>
      <c r="AU37" s="6">
        <v>4228</v>
      </c>
      <c r="AV37" s="6">
        <v>5812</v>
      </c>
      <c r="AW37" s="6">
        <v>5414</v>
      </c>
      <c r="AX37" s="6">
        <v>5826</v>
      </c>
      <c r="AY37" s="6">
        <v>10138</v>
      </c>
      <c r="AZ37" s="6">
        <v>8663</v>
      </c>
      <c r="BA37" s="6">
        <v>17694</v>
      </c>
      <c r="BB37" s="6">
        <v>8845</v>
      </c>
      <c r="BC37" s="6">
        <v>6268</v>
      </c>
      <c r="BD37" s="6">
        <v>6138</v>
      </c>
      <c r="BE37" s="6">
        <v>5370</v>
      </c>
      <c r="BF37" s="6">
        <v>5277</v>
      </c>
      <c r="BG37" s="6">
        <v>6302</v>
      </c>
      <c r="BH37" s="6">
        <v>7385</v>
      </c>
      <c r="BI37" s="6">
        <v>8308</v>
      </c>
      <c r="BJ37" s="6">
        <v>7179</v>
      </c>
    </row>
    <row r="38" spans="2:62" ht="13.5" x14ac:dyDescent="0.25">
      <c r="B38" s="1" t="s">
        <v>23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/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</row>
    <row r="39" spans="2:62" ht="13.5" x14ac:dyDescent="0.25">
      <c r="B39" s="8" t="s">
        <v>37</v>
      </c>
      <c r="C39" s="11">
        <f>SUM(C35:C38)</f>
        <v>76108</v>
      </c>
      <c r="D39" s="11">
        <f t="shared" ref="D39:BJ39" si="53">SUM(D35:D38)</f>
        <v>90537</v>
      </c>
      <c r="E39" s="11">
        <f t="shared" si="53"/>
        <v>127373</v>
      </c>
      <c r="F39" s="11">
        <f t="shared" si="53"/>
        <v>137687</v>
      </c>
      <c r="G39" s="11">
        <f t="shared" si="53"/>
        <v>127182</v>
      </c>
      <c r="H39" s="11">
        <f t="shared" si="53"/>
        <v>127762</v>
      </c>
      <c r="I39" s="11">
        <f t="shared" si="53"/>
        <v>115231</v>
      </c>
      <c r="J39" s="11">
        <f t="shared" si="53"/>
        <v>128214</v>
      </c>
      <c r="K39" s="11">
        <f t="shared" si="53"/>
        <v>116460</v>
      </c>
      <c r="L39" s="11">
        <f t="shared" si="53"/>
        <v>130972</v>
      </c>
      <c r="M39" s="11">
        <f t="shared" si="53"/>
        <v>143862</v>
      </c>
      <c r="N39" s="11">
        <f t="shared" si="53"/>
        <v>103569</v>
      </c>
      <c r="O39" s="11">
        <f t="shared" si="53"/>
        <v>31691</v>
      </c>
      <c r="P39" s="11">
        <f t="shared" si="53"/>
        <v>88402</v>
      </c>
      <c r="Q39" s="11">
        <f t="shared" si="53"/>
        <v>153919</v>
      </c>
      <c r="R39" s="11">
        <f t="shared" si="53"/>
        <v>160738</v>
      </c>
      <c r="S39" s="11">
        <f t="shared" si="53"/>
        <v>148023</v>
      </c>
      <c r="T39" s="11">
        <f t="shared" si="53"/>
        <v>119095</v>
      </c>
      <c r="U39" s="11">
        <f t="shared" si="53"/>
        <v>126130</v>
      </c>
      <c r="V39" s="11">
        <f t="shared" si="53"/>
        <v>120991</v>
      </c>
      <c r="W39" s="11">
        <f t="shared" si="53"/>
        <v>125135</v>
      </c>
      <c r="X39" s="11">
        <f t="shared" si="53"/>
        <v>135146</v>
      </c>
      <c r="Y39" s="11">
        <f t="shared" si="53"/>
        <v>143701</v>
      </c>
      <c r="Z39" s="11">
        <f t="shared" si="53"/>
        <v>145082</v>
      </c>
      <c r="AA39" s="11">
        <f t="shared" si="53"/>
        <v>62326</v>
      </c>
      <c r="AB39" s="11">
        <f t="shared" si="53"/>
        <v>98851</v>
      </c>
      <c r="AC39" s="11">
        <f t="shared" si="53"/>
        <v>107883</v>
      </c>
      <c r="AD39" s="11">
        <f t="shared" si="53"/>
        <v>130977</v>
      </c>
      <c r="AE39" s="11">
        <f t="shared" si="53"/>
        <v>116987</v>
      </c>
      <c r="AF39" s="11">
        <f t="shared" si="53"/>
        <v>110517</v>
      </c>
      <c r="AG39" s="11">
        <f t="shared" si="53"/>
        <v>105507</v>
      </c>
      <c r="AH39" s="11">
        <f t="shared" si="53"/>
        <v>134120</v>
      </c>
      <c r="AI39" s="11">
        <f t="shared" si="53"/>
        <v>106035</v>
      </c>
      <c r="AJ39" s="11">
        <f t="shared" si="53"/>
        <v>136348</v>
      </c>
      <c r="AK39" s="11">
        <f t="shared" si="53"/>
        <v>125453</v>
      </c>
      <c r="AL39" s="11">
        <f t="shared" si="53"/>
        <v>118580</v>
      </c>
      <c r="AM39" s="11">
        <f t="shared" si="53"/>
        <v>72593</v>
      </c>
      <c r="AN39" s="11">
        <f t="shared" si="53"/>
        <v>113049</v>
      </c>
      <c r="AO39" s="11">
        <f t="shared" si="53"/>
        <v>130786</v>
      </c>
      <c r="AP39" s="11">
        <f t="shared" si="53"/>
        <v>105197</v>
      </c>
      <c r="AQ39" s="11">
        <f t="shared" si="53"/>
        <v>125766</v>
      </c>
      <c r="AR39" s="11">
        <f t="shared" si="53"/>
        <v>106379</v>
      </c>
      <c r="AS39" s="11">
        <f t="shared" si="53"/>
        <v>100017</v>
      </c>
      <c r="AT39" s="11">
        <f t="shared" si="53"/>
        <v>158705</v>
      </c>
      <c r="AU39" s="11">
        <f t="shared" si="53"/>
        <v>128813</v>
      </c>
      <c r="AV39" s="11">
        <f t="shared" si="53"/>
        <v>118206</v>
      </c>
      <c r="AW39" s="11">
        <f t="shared" si="53"/>
        <v>118583</v>
      </c>
      <c r="AX39" s="11">
        <f t="shared" si="53"/>
        <v>116078</v>
      </c>
      <c r="AY39" s="11">
        <f t="shared" si="53"/>
        <v>79831</v>
      </c>
      <c r="AZ39" s="11">
        <f t="shared" si="53"/>
        <v>121396</v>
      </c>
      <c r="BA39" s="11">
        <f t="shared" si="53"/>
        <v>121702</v>
      </c>
      <c r="BB39" s="11">
        <f t="shared" si="53"/>
        <v>136306</v>
      </c>
      <c r="BC39" s="11">
        <f t="shared" si="53"/>
        <v>115021</v>
      </c>
      <c r="BD39" s="11">
        <f t="shared" si="53"/>
        <v>152487</v>
      </c>
      <c r="BE39" s="11">
        <f t="shared" si="53"/>
        <v>101518</v>
      </c>
      <c r="BF39" s="11">
        <f t="shared" si="53"/>
        <v>127325</v>
      </c>
      <c r="BG39" s="11">
        <f t="shared" si="53"/>
        <v>116581</v>
      </c>
      <c r="BH39" s="11">
        <f t="shared" si="53"/>
        <v>134859</v>
      </c>
      <c r="BI39" s="11">
        <f t="shared" si="53"/>
        <v>136162</v>
      </c>
      <c r="BJ39" s="11">
        <f t="shared" si="53"/>
        <v>114398</v>
      </c>
    </row>
    <row r="40" spans="2:62" ht="13.5" x14ac:dyDescent="0.25">
      <c r="B40" s="5" t="s">
        <v>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2:62" ht="13.5" x14ac:dyDescent="0.25">
      <c r="B41" s="1" t="s">
        <v>14</v>
      </c>
      <c r="C41" s="6">
        <v>75538</v>
      </c>
      <c r="D41" s="6">
        <v>106164</v>
      </c>
      <c r="E41" s="6">
        <v>108869</v>
      </c>
      <c r="F41" s="6">
        <v>128178</v>
      </c>
      <c r="G41" s="6">
        <v>122570</v>
      </c>
      <c r="H41" s="6">
        <v>138736</v>
      </c>
      <c r="I41" s="6">
        <v>135346</v>
      </c>
      <c r="J41" s="6">
        <v>123490</v>
      </c>
      <c r="K41" s="6">
        <v>127556</v>
      </c>
      <c r="L41" s="6">
        <v>136211</v>
      </c>
      <c r="M41" s="6">
        <v>129973</v>
      </c>
      <c r="N41" s="6">
        <v>112470</v>
      </c>
      <c r="O41" s="6">
        <v>59258</v>
      </c>
      <c r="P41" s="6">
        <v>84472</v>
      </c>
      <c r="Q41" s="6">
        <v>129056</v>
      </c>
      <c r="R41" s="6">
        <v>155070</v>
      </c>
      <c r="S41" s="6">
        <v>142690</v>
      </c>
      <c r="T41" s="6">
        <v>149333</v>
      </c>
      <c r="U41" s="6">
        <v>127057</v>
      </c>
      <c r="V41" s="6">
        <v>139845</v>
      </c>
      <c r="W41" s="6">
        <v>137525</v>
      </c>
      <c r="X41" s="6">
        <v>118245</v>
      </c>
      <c r="Y41" s="6">
        <v>146134</v>
      </c>
      <c r="Z41" s="6">
        <v>186135</v>
      </c>
      <c r="AA41" s="6">
        <v>88399</v>
      </c>
      <c r="AB41" s="6">
        <v>107285</v>
      </c>
      <c r="AC41" s="6">
        <v>110469</v>
      </c>
      <c r="AD41" s="6">
        <v>167788</v>
      </c>
      <c r="AE41" s="6">
        <v>140208</v>
      </c>
      <c r="AF41" s="6">
        <v>159189</v>
      </c>
      <c r="AG41" s="6">
        <v>145608</v>
      </c>
      <c r="AH41" s="6">
        <v>133286</v>
      </c>
      <c r="AI41" s="6">
        <v>165717</v>
      </c>
      <c r="AJ41" s="6">
        <v>126230</v>
      </c>
      <c r="AK41" s="6">
        <v>183138</v>
      </c>
      <c r="AL41" s="6">
        <v>194195</v>
      </c>
      <c r="AM41" s="6">
        <v>97719</v>
      </c>
      <c r="AN41" s="6">
        <v>162660</v>
      </c>
      <c r="AO41" s="6">
        <v>128953</v>
      </c>
      <c r="AP41" s="6">
        <v>182176</v>
      </c>
      <c r="AQ41" s="6">
        <v>203363</v>
      </c>
      <c r="AR41" s="6">
        <v>151916</v>
      </c>
      <c r="AS41" s="6">
        <v>139897</v>
      </c>
      <c r="AT41" s="6">
        <v>200003</v>
      </c>
      <c r="AU41" s="6">
        <v>167606</v>
      </c>
      <c r="AV41" s="6">
        <v>139811</v>
      </c>
      <c r="AW41" s="6">
        <v>166733</v>
      </c>
      <c r="AX41" s="6">
        <v>179878</v>
      </c>
      <c r="AY41" s="6">
        <v>111228</v>
      </c>
      <c r="AZ41" s="6">
        <v>149798</v>
      </c>
      <c r="BA41" s="6">
        <v>160913</v>
      </c>
      <c r="BB41" s="6">
        <v>157160</v>
      </c>
      <c r="BC41" s="6">
        <v>190573</v>
      </c>
      <c r="BD41" s="6">
        <v>190282</v>
      </c>
      <c r="BE41" s="6">
        <v>143528</v>
      </c>
      <c r="BF41" s="6">
        <v>170758</v>
      </c>
      <c r="BG41" s="6">
        <v>184543</v>
      </c>
      <c r="BH41" s="6">
        <v>167036</v>
      </c>
      <c r="BI41" s="6">
        <v>189410</v>
      </c>
      <c r="BJ41" s="6">
        <v>192034</v>
      </c>
    </row>
    <row r="42" spans="2:62" ht="13.5" x14ac:dyDescent="0.25">
      <c r="B42" s="1" t="s">
        <v>34</v>
      </c>
      <c r="C42" s="6">
        <v>88865</v>
      </c>
      <c r="D42" s="6">
        <v>147244</v>
      </c>
      <c r="E42" s="6">
        <v>148097</v>
      </c>
      <c r="F42" s="6">
        <v>183286</v>
      </c>
      <c r="G42" s="6">
        <v>170416</v>
      </c>
      <c r="H42" s="6">
        <v>180187</v>
      </c>
      <c r="I42" s="6">
        <v>184421</v>
      </c>
      <c r="J42" s="6">
        <v>177588</v>
      </c>
      <c r="K42" s="6">
        <v>185729</v>
      </c>
      <c r="L42" s="6">
        <v>168715</v>
      </c>
      <c r="M42" s="6">
        <v>194570</v>
      </c>
      <c r="N42" s="6">
        <v>168637</v>
      </c>
      <c r="O42" s="6">
        <v>86203</v>
      </c>
      <c r="P42" s="6">
        <v>122880</v>
      </c>
      <c r="Q42" s="6">
        <v>190995</v>
      </c>
      <c r="R42" s="6">
        <v>233083</v>
      </c>
      <c r="S42" s="6">
        <v>219477</v>
      </c>
      <c r="T42" s="6">
        <v>219280</v>
      </c>
      <c r="U42" s="6">
        <v>175781</v>
      </c>
      <c r="V42" s="6">
        <v>220166</v>
      </c>
      <c r="W42" s="6">
        <v>197036</v>
      </c>
      <c r="X42" s="6">
        <v>176879</v>
      </c>
      <c r="Y42" s="6">
        <v>216808</v>
      </c>
      <c r="Z42" s="6">
        <v>365578</v>
      </c>
      <c r="AA42" s="6">
        <v>105526</v>
      </c>
      <c r="AB42" s="6">
        <v>146602</v>
      </c>
      <c r="AC42" s="6">
        <v>128790</v>
      </c>
      <c r="AD42" s="6">
        <v>213771</v>
      </c>
      <c r="AE42" s="6">
        <v>182202</v>
      </c>
      <c r="AF42" s="6">
        <v>198546</v>
      </c>
      <c r="AG42" s="6">
        <v>186888</v>
      </c>
      <c r="AH42" s="6">
        <v>173623</v>
      </c>
      <c r="AI42" s="6">
        <v>207208</v>
      </c>
      <c r="AJ42" s="6">
        <v>164881</v>
      </c>
      <c r="AK42" s="6">
        <v>215372</v>
      </c>
      <c r="AL42" s="6">
        <v>275234</v>
      </c>
      <c r="AM42" s="6">
        <v>101725</v>
      </c>
      <c r="AN42" s="6">
        <v>209291</v>
      </c>
      <c r="AO42" s="6">
        <v>201751</v>
      </c>
      <c r="AP42" s="6">
        <v>216895</v>
      </c>
      <c r="AQ42" s="6">
        <v>211075</v>
      </c>
      <c r="AR42" s="6">
        <v>194143</v>
      </c>
      <c r="AS42" s="6">
        <v>161676</v>
      </c>
      <c r="AT42" s="6">
        <v>274139</v>
      </c>
      <c r="AU42" s="6">
        <v>194090</v>
      </c>
      <c r="AV42" s="6">
        <v>165380</v>
      </c>
      <c r="AW42" s="6">
        <v>196029</v>
      </c>
      <c r="AX42" s="6">
        <v>289950</v>
      </c>
      <c r="AY42" s="6">
        <v>114345</v>
      </c>
      <c r="AZ42" s="6">
        <v>162377</v>
      </c>
      <c r="BA42" s="6">
        <v>180765</v>
      </c>
      <c r="BB42" s="6">
        <v>197703</v>
      </c>
      <c r="BC42" s="6">
        <v>230070</v>
      </c>
      <c r="BD42" s="6">
        <v>271524</v>
      </c>
      <c r="BE42" s="6">
        <v>182394</v>
      </c>
      <c r="BF42" s="6">
        <v>207930</v>
      </c>
      <c r="BG42" s="6">
        <v>228145</v>
      </c>
      <c r="BH42" s="6">
        <v>214658</v>
      </c>
      <c r="BI42" s="6">
        <v>221293</v>
      </c>
      <c r="BJ42" s="6">
        <v>224357</v>
      </c>
    </row>
    <row r="43" spans="2:62" ht="13.5" x14ac:dyDescent="0.25">
      <c r="B43" s="1" t="s">
        <v>23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</row>
    <row r="44" spans="2:62" ht="13.5" x14ac:dyDescent="0.25">
      <c r="B44" s="8" t="s">
        <v>39</v>
      </c>
      <c r="C44" s="11">
        <f>SUM(C41:C43)</f>
        <v>164403</v>
      </c>
      <c r="D44" s="11">
        <f t="shared" ref="D44:BJ44" si="54">SUM(D41:D43)</f>
        <v>253408</v>
      </c>
      <c r="E44" s="11">
        <f t="shared" si="54"/>
        <v>256966</v>
      </c>
      <c r="F44" s="11">
        <f t="shared" si="54"/>
        <v>311464</v>
      </c>
      <c r="G44" s="11">
        <f t="shared" si="54"/>
        <v>292986</v>
      </c>
      <c r="H44" s="11">
        <f t="shared" si="54"/>
        <v>318923</v>
      </c>
      <c r="I44" s="11">
        <f t="shared" si="54"/>
        <v>319767</v>
      </c>
      <c r="J44" s="11">
        <f t="shared" si="54"/>
        <v>301078</v>
      </c>
      <c r="K44" s="11">
        <f t="shared" si="54"/>
        <v>313285</v>
      </c>
      <c r="L44" s="11">
        <f t="shared" si="54"/>
        <v>304926</v>
      </c>
      <c r="M44" s="11">
        <f t="shared" si="54"/>
        <v>324543</v>
      </c>
      <c r="N44" s="11">
        <f t="shared" si="54"/>
        <v>281107</v>
      </c>
      <c r="O44" s="11">
        <f t="shared" si="54"/>
        <v>145461</v>
      </c>
      <c r="P44" s="11">
        <f t="shared" si="54"/>
        <v>207352</v>
      </c>
      <c r="Q44" s="11">
        <f t="shared" si="54"/>
        <v>320051</v>
      </c>
      <c r="R44" s="11">
        <f t="shared" si="54"/>
        <v>388153</v>
      </c>
      <c r="S44" s="11">
        <f t="shared" si="54"/>
        <v>362167</v>
      </c>
      <c r="T44" s="11">
        <f t="shared" si="54"/>
        <v>368613</v>
      </c>
      <c r="U44" s="11">
        <f t="shared" si="54"/>
        <v>302838</v>
      </c>
      <c r="V44" s="11">
        <f t="shared" si="54"/>
        <v>360011</v>
      </c>
      <c r="W44" s="11">
        <f t="shared" si="54"/>
        <v>334561</v>
      </c>
      <c r="X44" s="11">
        <f t="shared" si="54"/>
        <v>295124</v>
      </c>
      <c r="Y44" s="11">
        <f t="shared" si="54"/>
        <v>362942</v>
      </c>
      <c r="Z44" s="11">
        <f t="shared" si="54"/>
        <v>551713</v>
      </c>
      <c r="AA44" s="11">
        <f t="shared" si="54"/>
        <v>193925</v>
      </c>
      <c r="AB44" s="11">
        <f t="shared" si="54"/>
        <v>253887</v>
      </c>
      <c r="AC44" s="11">
        <f t="shared" si="54"/>
        <v>239259</v>
      </c>
      <c r="AD44" s="11">
        <f t="shared" si="54"/>
        <v>381559</v>
      </c>
      <c r="AE44" s="11">
        <f t="shared" si="54"/>
        <v>322410</v>
      </c>
      <c r="AF44" s="11">
        <f t="shared" si="54"/>
        <v>357735</v>
      </c>
      <c r="AG44" s="11">
        <f t="shared" si="54"/>
        <v>332496</v>
      </c>
      <c r="AH44" s="11">
        <f t="shared" si="54"/>
        <v>306909</v>
      </c>
      <c r="AI44" s="11">
        <f t="shared" si="54"/>
        <v>372925</v>
      </c>
      <c r="AJ44" s="11">
        <f t="shared" si="54"/>
        <v>291111</v>
      </c>
      <c r="AK44" s="11">
        <f t="shared" si="54"/>
        <v>398510</v>
      </c>
      <c r="AL44" s="11">
        <f t="shared" si="54"/>
        <v>469429</v>
      </c>
      <c r="AM44" s="11">
        <f t="shared" si="54"/>
        <v>199444</v>
      </c>
      <c r="AN44" s="11">
        <f t="shared" si="54"/>
        <v>371951</v>
      </c>
      <c r="AO44" s="11">
        <f t="shared" si="54"/>
        <v>330704</v>
      </c>
      <c r="AP44" s="11">
        <f t="shared" si="54"/>
        <v>399071</v>
      </c>
      <c r="AQ44" s="11">
        <f t="shared" si="54"/>
        <v>414438</v>
      </c>
      <c r="AR44" s="11">
        <f t="shared" si="54"/>
        <v>346059</v>
      </c>
      <c r="AS44" s="11">
        <f t="shared" si="54"/>
        <v>301573</v>
      </c>
      <c r="AT44" s="11">
        <f t="shared" si="54"/>
        <v>474142</v>
      </c>
      <c r="AU44" s="11">
        <f t="shared" si="54"/>
        <v>361696</v>
      </c>
      <c r="AV44" s="11">
        <f t="shared" si="54"/>
        <v>305191</v>
      </c>
      <c r="AW44" s="11">
        <f t="shared" si="54"/>
        <v>362762</v>
      </c>
      <c r="AX44" s="11">
        <f t="shared" si="54"/>
        <v>469828</v>
      </c>
      <c r="AY44" s="11">
        <f t="shared" si="54"/>
        <v>225573</v>
      </c>
      <c r="AZ44" s="11">
        <f t="shared" si="54"/>
        <v>312175</v>
      </c>
      <c r="BA44" s="11">
        <f t="shared" si="54"/>
        <v>341678</v>
      </c>
      <c r="BB44" s="11">
        <f t="shared" si="54"/>
        <v>354863</v>
      </c>
      <c r="BC44" s="11">
        <f t="shared" si="54"/>
        <v>420643</v>
      </c>
      <c r="BD44" s="11">
        <f t="shared" si="54"/>
        <v>461806</v>
      </c>
      <c r="BE44" s="11">
        <f t="shared" si="54"/>
        <v>325922</v>
      </c>
      <c r="BF44" s="11">
        <f t="shared" si="54"/>
        <v>378688</v>
      </c>
      <c r="BG44" s="11">
        <f t="shared" si="54"/>
        <v>412688</v>
      </c>
      <c r="BH44" s="11">
        <f t="shared" si="54"/>
        <v>381694</v>
      </c>
      <c r="BI44" s="11">
        <f t="shared" si="54"/>
        <v>410703</v>
      </c>
      <c r="BJ44" s="11">
        <f t="shared" si="54"/>
        <v>416391</v>
      </c>
    </row>
    <row r="45" spans="2:62" ht="13.5" x14ac:dyDescent="0.25">
      <c r="B45" s="5" t="s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2:62" ht="13.5" x14ac:dyDescent="0.25">
      <c r="B46" s="1" t="s">
        <v>14</v>
      </c>
      <c r="C46" s="6">
        <v>65935</v>
      </c>
      <c r="D46" s="6">
        <v>96926</v>
      </c>
      <c r="E46" s="6">
        <v>95815</v>
      </c>
      <c r="F46" s="6">
        <v>108508</v>
      </c>
      <c r="G46" s="6">
        <v>91765</v>
      </c>
      <c r="H46" s="6">
        <v>105227</v>
      </c>
      <c r="I46" s="6">
        <v>104490</v>
      </c>
      <c r="J46" s="6">
        <v>97994</v>
      </c>
      <c r="K46" s="6">
        <v>108493</v>
      </c>
      <c r="L46" s="6">
        <v>92237</v>
      </c>
      <c r="M46" s="6">
        <v>103156</v>
      </c>
      <c r="N46" s="6">
        <v>105151</v>
      </c>
      <c r="O46" s="6">
        <v>34377</v>
      </c>
      <c r="P46" s="6">
        <v>95333</v>
      </c>
      <c r="Q46" s="6">
        <v>114885</v>
      </c>
      <c r="R46" s="6">
        <v>113039</v>
      </c>
      <c r="S46" s="6">
        <v>118726</v>
      </c>
      <c r="T46" s="6">
        <v>94625</v>
      </c>
      <c r="U46" s="6">
        <v>113019</v>
      </c>
      <c r="V46" s="6">
        <v>103395</v>
      </c>
      <c r="W46" s="6">
        <v>106994</v>
      </c>
      <c r="X46" s="6">
        <v>89443</v>
      </c>
      <c r="Y46" s="6">
        <v>131480</v>
      </c>
      <c r="Z46" s="6">
        <v>95105</v>
      </c>
      <c r="AA46" s="6">
        <v>91484</v>
      </c>
      <c r="AB46" s="6">
        <v>102307</v>
      </c>
      <c r="AC46" s="6">
        <v>90954</v>
      </c>
      <c r="AD46" s="6">
        <v>113973</v>
      </c>
      <c r="AE46" s="6">
        <v>117526</v>
      </c>
      <c r="AF46" s="6">
        <v>132171</v>
      </c>
      <c r="AG46" s="6">
        <v>131049</v>
      </c>
      <c r="AH46" s="6">
        <v>123266</v>
      </c>
      <c r="AI46" s="6">
        <v>90347</v>
      </c>
      <c r="AJ46" s="6">
        <v>124840</v>
      </c>
      <c r="AK46" s="6">
        <v>128038</v>
      </c>
      <c r="AL46" s="6">
        <v>166623</v>
      </c>
      <c r="AM46" s="6">
        <v>109194</v>
      </c>
      <c r="AN46" s="6">
        <v>128393</v>
      </c>
      <c r="AO46" s="6">
        <v>107075</v>
      </c>
      <c r="AP46" s="6">
        <v>110166</v>
      </c>
      <c r="AQ46" s="6">
        <v>118061</v>
      </c>
      <c r="AR46" s="6">
        <v>109908</v>
      </c>
      <c r="AS46" s="6">
        <v>110660</v>
      </c>
      <c r="AT46" s="6">
        <v>154599</v>
      </c>
      <c r="AU46" s="6">
        <v>105190</v>
      </c>
      <c r="AV46" s="6">
        <v>120550</v>
      </c>
      <c r="AW46" s="6">
        <v>113182</v>
      </c>
      <c r="AX46" s="6">
        <v>111294</v>
      </c>
      <c r="AY46" s="6">
        <v>95294</v>
      </c>
      <c r="AZ46" s="6">
        <v>90166</v>
      </c>
      <c r="BA46" s="6">
        <v>92529</v>
      </c>
      <c r="BB46" s="6">
        <v>123045</v>
      </c>
      <c r="BC46" s="6">
        <v>125916</v>
      </c>
      <c r="BD46" s="6">
        <v>210196</v>
      </c>
      <c r="BE46" s="6">
        <v>104952</v>
      </c>
      <c r="BF46" s="6">
        <v>163225</v>
      </c>
      <c r="BG46" s="6">
        <v>153633</v>
      </c>
      <c r="BH46" s="6">
        <v>160310</v>
      </c>
      <c r="BI46" s="6">
        <v>162053</v>
      </c>
      <c r="BJ46" s="6">
        <v>139965</v>
      </c>
    </row>
    <row r="47" spans="2:62" ht="13.5" x14ac:dyDescent="0.25">
      <c r="B47" s="1" t="s">
        <v>34</v>
      </c>
      <c r="C47" s="6">
        <v>10976</v>
      </c>
      <c r="D47" s="6">
        <v>10861</v>
      </c>
      <c r="E47" s="6">
        <v>26372</v>
      </c>
      <c r="F47" s="6">
        <v>27297</v>
      </c>
      <c r="G47" s="6">
        <v>27157</v>
      </c>
      <c r="H47" s="6">
        <v>45744</v>
      </c>
      <c r="I47" s="6">
        <v>34414</v>
      </c>
      <c r="J47" s="6">
        <v>33244</v>
      </c>
      <c r="K47" s="6">
        <v>53042</v>
      </c>
      <c r="L47" s="6">
        <v>33638</v>
      </c>
      <c r="M47" s="6">
        <v>45862</v>
      </c>
      <c r="N47" s="6">
        <v>23373</v>
      </c>
      <c r="O47" s="6">
        <v>13100</v>
      </c>
      <c r="P47" s="6">
        <v>14427</v>
      </c>
      <c r="Q47" s="6">
        <v>35423</v>
      </c>
      <c r="R47" s="6">
        <v>37259</v>
      </c>
      <c r="S47" s="6">
        <v>48182</v>
      </c>
      <c r="T47" s="6">
        <v>39532</v>
      </c>
      <c r="U47" s="6">
        <v>35155</v>
      </c>
      <c r="V47" s="6">
        <v>34732</v>
      </c>
      <c r="W47" s="6">
        <v>29060</v>
      </c>
      <c r="X47" s="6">
        <v>27568</v>
      </c>
      <c r="Y47" s="6">
        <v>42077</v>
      </c>
      <c r="Z47" s="6">
        <v>29695</v>
      </c>
      <c r="AA47" s="6">
        <v>14701</v>
      </c>
      <c r="AB47" s="6">
        <v>12672</v>
      </c>
      <c r="AC47" s="6">
        <v>33159</v>
      </c>
      <c r="AD47" s="6">
        <v>33415</v>
      </c>
      <c r="AE47" s="6">
        <v>28476</v>
      </c>
      <c r="AF47" s="6">
        <v>41194</v>
      </c>
      <c r="AG47" s="6">
        <v>33530</v>
      </c>
      <c r="AH47" s="6">
        <v>42710</v>
      </c>
      <c r="AI47" s="6">
        <v>58384</v>
      </c>
      <c r="AJ47" s="6">
        <v>19172</v>
      </c>
      <c r="AK47" s="6">
        <v>22390</v>
      </c>
      <c r="AL47" s="6">
        <v>56920</v>
      </c>
      <c r="AM47" s="6">
        <v>28832</v>
      </c>
      <c r="AN47" s="6">
        <v>21691</v>
      </c>
      <c r="AO47" s="6">
        <v>40372</v>
      </c>
      <c r="AP47" s="6">
        <v>44377</v>
      </c>
      <c r="AQ47" s="6">
        <v>34852</v>
      </c>
      <c r="AR47" s="6">
        <v>28936</v>
      </c>
      <c r="AS47" s="6">
        <v>21445</v>
      </c>
      <c r="AT47" s="6">
        <v>39469</v>
      </c>
      <c r="AU47" s="6">
        <v>20663</v>
      </c>
      <c r="AV47" s="6">
        <v>32053</v>
      </c>
      <c r="AW47" s="6">
        <v>34889</v>
      </c>
      <c r="AX47" s="6">
        <v>42308</v>
      </c>
      <c r="AY47" s="6">
        <v>11157</v>
      </c>
      <c r="AZ47" s="6">
        <v>17265</v>
      </c>
      <c r="BA47" s="6">
        <v>32071</v>
      </c>
      <c r="BB47" s="6">
        <v>34469</v>
      </c>
      <c r="BC47" s="6">
        <v>30346</v>
      </c>
      <c r="BD47" s="6">
        <v>27597</v>
      </c>
      <c r="BE47" s="6">
        <v>27727</v>
      </c>
      <c r="BF47" s="6">
        <v>25469</v>
      </c>
      <c r="BG47" s="6">
        <v>32990</v>
      </c>
      <c r="BH47" s="6">
        <v>31610</v>
      </c>
      <c r="BI47" s="6">
        <v>44693</v>
      </c>
      <c r="BJ47" s="6">
        <v>38500</v>
      </c>
    </row>
    <row r="48" spans="2:62" ht="13.5" x14ac:dyDescent="0.25">
      <c r="B48" s="1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</row>
    <row r="49" spans="2:62" ht="13.5" x14ac:dyDescent="0.25">
      <c r="B49" s="8" t="s">
        <v>41</v>
      </c>
      <c r="C49" s="11">
        <f t="shared" ref="C49:D49" si="55">SUM(C46:C48)</f>
        <v>76911</v>
      </c>
      <c r="D49" s="11">
        <f t="shared" si="55"/>
        <v>107787</v>
      </c>
      <c r="E49" s="11">
        <f>SUM(E46:E48)</f>
        <v>122187</v>
      </c>
      <c r="F49" s="11">
        <f t="shared" ref="F49:N49" si="56">SUM(F46:F48)</f>
        <v>135805</v>
      </c>
      <c r="G49" s="11">
        <f t="shared" si="56"/>
        <v>118922</v>
      </c>
      <c r="H49" s="11">
        <f t="shared" si="56"/>
        <v>150971</v>
      </c>
      <c r="I49" s="11">
        <f t="shared" si="56"/>
        <v>138904</v>
      </c>
      <c r="J49" s="11">
        <f t="shared" si="56"/>
        <v>131238</v>
      </c>
      <c r="K49" s="11">
        <f t="shared" si="56"/>
        <v>161535</v>
      </c>
      <c r="L49" s="11">
        <f t="shared" si="56"/>
        <v>125875</v>
      </c>
      <c r="M49" s="11">
        <f t="shared" si="56"/>
        <v>149018</v>
      </c>
      <c r="N49" s="11">
        <f t="shared" si="56"/>
        <v>128524</v>
      </c>
      <c r="O49" s="11">
        <f t="shared" ref="O49" si="57">SUM(O46:O48)</f>
        <v>47477</v>
      </c>
      <c r="P49" s="11">
        <f t="shared" ref="P49" si="58">SUM(P46:P48)</f>
        <v>109760</v>
      </c>
      <c r="Q49" s="11">
        <f t="shared" ref="Q49" si="59">SUM(Q46:Q48)</f>
        <v>150308</v>
      </c>
      <c r="R49" s="11">
        <f t="shared" ref="R49" si="60">SUM(R46:R48)</f>
        <v>150298</v>
      </c>
      <c r="S49" s="11">
        <f t="shared" ref="S49" si="61">SUM(S46:S48)</f>
        <v>166908</v>
      </c>
      <c r="T49" s="11">
        <f t="shared" ref="T49" si="62">SUM(T46:T48)</f>
        <v>134157</v>
      </c>
      <c r="U49" s="11">
        <f t="shared" ref="U49" si="63">SUM(U46:U48)</f>
        <v>148174</v>
      </c>
      <c r="V49" s="11">
        <f t="shared" ref="V49" si="64">SUM(V46:V48)</f>
        <v>138127</v>
      </c>
      <c r="W49" s="11">
        <f t="shared" ref="W49" si="65">SUM(W46:W48)</f>
        <v>136054</v>
      </c>
      <c r="X49" s="11">
        <f t="shared" ref="X49" si="66">SUM(X46:X48)</f>
        <v>117011</v>
      </c>
      <c r="Y49" s="11">
        <f t="shared" ref="Y49" si="67">SUM(Y46:Y48)</f>
        <v>173557</v>
      </c>
      <c r="Z49" s="11">
        <f t="shared" ref="Z49" si="68">SUM(Z46:Z48)</f>
        <v>124800</v>
      </c>
      <c r="AA49" s="11">
        <f t="shared" ref="AA49" si="69">SUM(AA46:AA48)</f>
        <v>106185</v>
      </c>
      <c r="AB49" s="11">
        <f t="shared" ref="AB49" si="70">SUM(AB46:AB48)</f>
        <v>114979</v>
      </c>
      <c r="AC49" s="11">
        <f t="shared" ref="AC49" si="71">SUM(AC46:AC48)</f>
        <v>124113</v>
      </c>
      <c r="AD49" s="11">
        <f t="shared" ref="AD49" si="72">SUM(AD46:AD48)</f>
        <v>147388</v>
      </c>
      <c r="AE49" s="11">
        <f t="shared" ref="AE49" si="73">SUM(AE46:AE48)</f>
        <v>146002</v>
      </c>
      <c r="AF49" s="11">
        <f t="shared" ref="AF49" si="74">SUM(AF46:AF48)</f>
        <v>173365</v>
      </c>
      <c r="AG49" s="11">
        <f t="shared" ref="AG49" si="75">SUM(AG46:AG48)</f>
        <v>164579</v>
      </c>
      <c r="AH49" s="11">
        <f t="shared" ref="AH49" si="76">SUM(AH46:AH48)</f>
        <v>165976</v>
      </c>
      <c r="AI49" s="11">
        <f t="shared" ref="AI49" si="77">SUM(AI46:AI48)</f>
        <v>148731</v>
      </c>
      <c r="AJ49" s="11">
        <f t="shared" ref="AJ49" si="78">SUM(AJ46:AJ48)</f>
        <v>144012</v>
      </c>
      <c r="AK49" s="11">
        <f t="shared" ref="AK49" si="79">SUM(AK46:AK48)</f>
        <v>150428</v>
      </c>
      <c r="AL49" s="11">
        <f t="shared" ref="AL49" si="80">SUM(AL46:AL48)</f>
        <v>223543</v>
      </c>
      <c r="AM49" s="11">
        <f t="shared" ref="AM49" si="81">SUM(AM46:AM48)</f>
        <v>138026</v>
      </c>
      <c r="AN49" s="11">
        <f t="shared" ref="AN49" si="82">SUM(AN46:AN48)</f>
        <v>150084</v>
      </c>
      <c r="AO49" s="11">
        <f t="shared" ref="AO49" si="83">SUM(AO46:AO48)</f>
        <v>147447</v>
      </c>
      <c r="AP49" s="11">
        <f t="shared" ref="AP49" si="84">SUM(AP46:AP48)</f>
        <v>154543</v>
      </c>
      <c r="AQ49" s="11">
        <f t="shared" ref="AQ49" si="85">SUM(AQ46:AQ48)</f>
        <v>152913</v>
      </c>
      <c r="AR49" s="11">
        <f t="shared" ref="AR49" si="86">SUM(AR46:AR48)</f>
        <v>138844</v>
      </c>
      <c r="AS49" s="11">
        <f t="shared" ref="AS49" si="87">SUM(AS46:AS48)</f>
        <v>132105</v>
      </c>
      <c r="AT49" s="11">
        <f t="shared" ref="AT49" si="88">SUM(AT46:AT48)</f>
        <v>194068</v>
      </c>
      <c r="AU49" s="11">
        <f t="shared" ref="AU49" si="89">SUM(AU46:AU48)</f>
        <v>125853</v>
      </c>
      <c r="AV49" s="11">
        <f t="shared" ref="AV49" si="90">SUM(AV46:AV48)</f>
        <v>152603</v>
      </c>
      <c r="AW49" s="11">
        <f t="shared" ref="AW49" si="91">SUM(AW46:AW48)</f>
        <v>148071</v>
      </c>
      <c r="AX49" s="11">
        <f t="shared" ref="AX49" si="92">SUM(AX46:AX48)</f>
        <v>153602</v>
      </c>
      <c r="AY49" s="11">
        <f t="shared" ref="AY49" si="93">SUM(AY46:AY48)</f>
        <v>106451</v>
      </c>
      <c r="AZ49" s="11">
        <f t="shared" ref="AZ49" si="94">SUM(AZ46:AZ48)</f>
        <v>107431</v>
      </c>
      <c r="BA49" s="11">
        <f t="shared" ref="BA49" si="95">SUM(BA46:BA48)</f>
        <v>124600</v>
      </c>
      <c r="BB49" s="11">
        <f t="shared" ref="BB49" si="96">SUM(BB46:BB48)</f>
        <v>157514</v>
      </c>
      <c r="BC49" s="11">
        <f t="shared" ref="BC49" si="97">SUM(BC46:BC48)</f>
        <v>156262</v>
      </c>
      <c r="BD49" s="11">
        <f t="shared" ref="BD49" si="98">SUM(BD46:BD48)</f>
        <v>237793</v>
      </c>
      <c r="BE49" s="11">
        <f t="shared" ref="BE49" si="99">SUM(BE46:BE48)</f>
        <v>132679</v>
      </c>
      <c r="BF49" s="11">
        <f t="shared" ref="BF49" si="100">SUM(BF46:BF48)</f>
        <v>188694</v>
      </c>
      <c r="BG49" s="11">
        <f t="shared" ref="BG49" si="101">SUM(BG46:BG48)</f>
        <v>186623</v>
      </c>
      <c r="BH49" s="11">
        <f t="shared" ref="BH49" si="102">SUM(BH46:BH48)</f>
        <v>191920</v>
      </c>
      <c r="BI49" s="11">
        <f t="shared" ref="BI49" si="103">SUM(BI46:BI48)</f>
        <v>206746</v>
      </c>
      <c r="BJ49" s="11">
        <f t="shared" ref="BJ49" si="104">SUM(BJ46:BJ48)</f>
        <v>178465</v>
      </c>
    </row>
    <row r="50" spans="2:62" ht="13.5" x14ac:dyDescent="0.25">
      <c r="B50" s="5" t="s">
        <v>42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</row>
    <row r="51" spans="2:62" ht="13.5" x14ac:dyDescent="0.25">
      <c r="B51" s="1" t="s">
        <v>44</v>
      </c>
      <c r="C51" s="6">
        <v>57946</v>
      </c>
      <c r="D51" s="6">
        <v>74511</v>
      </c>
      <c r="E51" s="6">
        <v>74029</v>
      </c>
      <c r="F51" s="6">
        <v>82095</v>
      </c>
      <c r="G51" s="6">
        <v>79434</v>
      </c>
      <c r="H51" s="6">
        <v>78059</v>
      </c>
      <c r="I51" s="6">
        <v>88732</v>
      </c>
      <c r="J51" s="6">
        <v>113453</v>
      </c>
      <c r="K51" s="6">
        <v>86684</v>
      </c>
      <c r="L51" s="6">
        <v>85703</v>
      </c>
      <c r="M51" s="6">
        <v>101943</v>
      </c>
      <c r="N51" s="6">
        <v>55125</v>
      </c>
      <c r="O51" s="6">
        <v>65371</v>
      </c>
      <c r="P51" s="6">
        <v>69311</v>
      </c>
      <c r="Q51" s="6">
        <v>88556</v>
      </c>
      <c r="R51" s="6">
        <v>106912</v>
      </c>
      <c r="S51" s="6">
        <v>96505</v>
      </c>
      <c r="T51" s="6">
        <v>103315</v>
      </c>
      <c r="U51" s="6">
        <v>72819</v>
      </c>
      <c r="V51" s="6">
        <v>104774</v>
      </c>
      <c r="W51" s="6">
        <v>87590</v>
      </c>
      <c r="X51" s="6">
        <v>88430</v>
      </c>
      <c r="Y51" s="6">
        <v>100078</v>
      </c>
      <c r="Z51" s="6">
        <v>119999</v>
      </c>
      <c r="AA51" s="6">
        <v>74532</v>
      </c>
      <c r="AB51" s="6">
        <v>87010</v>
      </c>
      <c r="AC51" s="6">
        <v>89151</v>
      </c>
      <c r="AD51" s="6">
        <v>115590</v>
      </c>
      <c r="AE51" s="6">
        <v>103449</v>
      </c>
      <c r="AF51" s="6">
        <v>119738</v>
      </c>
      <c r="AG51" s="6">
        <v>95617</v>
      </c>
      <c r="AH51" s="6">
        <v>222535</v>
      </c>
      <c r="AI51" s="6">
        <v>107421</v>
      </c>
      <c r="AJ51" s="6">
        <v>126772</v>
      </c>
      <c r="AK51" s="6">
        <v>110328</v>
      </c>
      <c r="AL51" s="6">
        <v>121207</v>
      </c>
      <c r="AM51" s="6">
        <v>99505</v>
      </c>
      <c r="AN51" s="6">
        <v>106255</v>
      </c>
      <c r="AO51" s="6">
        <v>91774</v>
      </c>
      <c r="AP51" s="6">
        <v>108334</v>
      </c>
      <c r="AQ51" s="6">
        <v>111653</v>
      </c>
      <c r="AR51" s="6">
        <v>103318</v>
      </c>
      <c r="AS51" s="6">
        <v>95603</v>
      </c>
      <c r="AT51" s="6">
        <v>121768</v>
      </c>
      <c r="AU51" s="6">
        <v>158634</v>
      </c>
      <c r="AV51" s="6">
        <v>88639</v>
      </c>
      <c r="AW51" s="6">
        <v>98969</v>
      </c>
      <c r="AX51" s="6">
        <v>97524</v>
      </c>
      <c r="AY51" s="6">
        <v>89152</v>
      </c>
      <c r="AZ51" s="6">
        <v>97441</v>
      </c>
      <c r="BA51" s="6">
        <v>108890</v>
      </c>
      <c r="BB51" s="6">
        <v>115202</v>
      </c>
      <c r="BC51" s="6">
        <v>132920</v>
      </c>
      <c r="BD51" s="6">
        <v>137080</v>
      </c>
      <c r="BE51" s="6">
        <v>125746</v>
      </c>
      <c r="BF51" s="6">
        <v>115636</v>
      </c>
      <c r="BG51" s="6">
        <v>115956</v>
      </c>
      <c r="BH51" s="6">
        <v>115421</v>
      </c>
      <c r="BI51" s="6">
        <v>123158</v>
      </c>
      <c r="BJ51" s="6">
        <v>124864</v>
      </c>
    </row>
    <row r="52" spans="2:62" ht="13.5" x14ac:dyDescent="0.25">
      <c r="B52" s="1" t="s">
        <v>45</v>
      </c>
      <c r="C52" s="6">
        <v>20808</v>
      </c>
      <c r="D52" s="6">
        <v>30266</v>
      </c>
      <c r="E52" s="6">
        <v>31538</v>
      </c>
      <c r="F52" s="6">
        <v>37518</v>
      </c>
      <c r="G52" s="6">
        <v>36949</v>
      </c>
      <c r="H52" s="6">
        <v>38250</v>
      </c>
      <c r="I52" s="6">
        <v>37705</v>
      </c>
      <c r="J52" s="6">
        <v>35854</v>
      </c>
      <c r="K52" s="6">
        <v>38497</v>
      </c>
      <c r="L52" s="6">
        <v>53695</v>
      </c>
      <c r="M52" s="6">
        <v>45052</v>
      </c>
      <c r="N52" s="6">
        <v>30925</v>
      </c>
      <c r="O52" s="6">
        <v>28370</v>
      </c>
      <c r="P52" s="6">
        <v>31562</v>
      </c>
      <c r="Q52" s="6">
        <v>42405</v>
      </c>
      <c r="R52" s="6">
        <v>49712</v>
      </c>
      <c r="S52" s="6">
        <v>45616</v>
      </c>
      <c r="T52" s="6">
        <v>51480</v>
      </c>
      <c r="U52" s="6">
        <v>41307</v>
      </c>
      <c r="V52" s="6">
        <v>35805</v>
      </c>
      <c r="W52" s="6">
        <v>38300</v>
      </c>
      <c r="X52" s="6">
        <v>40815</v>
      </c>
      <c r="Y52" s="6">
        <v>45002</v>
      </c>
      <c r="Z52" s="6">
        <v>52631</v>
      </c>
      <c r="AA52" s="6">
        <v>20323</v>
      </c>
      <c r="AB52" s="6">
        <v>38701</v>
      </c>
      <c r="AC52" s="6">
        <v>34512</v>
      </c>
      <c r="AD52" s="6">
        <v>54060</v>
      </c>
      <c r="AE52" s="6">
        <v>46914</v>
      </c>
      <c r="AF52" s="6">
        <v>50023</v>
      </c>
      <c r="AG52" s="6">
        <v>43527</v>
      </c>
      <c r="AH52" s="6">
        <v>47837</v>
      </c>
      <c r="AI52" s="6">
        <v>53940</v>
      </c>
      <c r="AJ52" s="6">
        <v>43470</v>
      </c>
      <c r="AK52" s="6">
        <v>57130</v>
      </c>
      <c r="AL52" s="6">
        <v>73819</v>
      </c>
      <c r="AM52" s="6">
        <v>27394</v>
      </c>
      <c r="AN52" s="6">
        <v>49902</v>
      </c>
      <c r="AO52" s="6">
        <v>41740</v>
      </c>
      <c r="AP52" s="6">
        <v>56382</v>
      </c>
      <c r="AQ52" s="6">
        <v>64041</v>
      </c>
      <c r="AR52" s="6">
        <v>44981</v>
      </c>
      <c r="AS52" s="6">
        <v>38474</v>
      </c>
      <c r="AT52" s="6">
        <v>60379</v>
      </c>
      <c r="AU52" s="6">
        <v>52296</v>
      </c>
      <c r="AV52" s="6">
        <v>44261</v>
      </c>
      <c r="AW52" s="6">
        <v>54242</v>
      </c>
      <c r="AX52" s="6">
        <v>56522</v>
      </c>
      <c r="AY52" s="6">
        <v>56093</v>
      </c>
      <c r="AZ52" s="6">
        <v>54099</v>
      </c>
      <c r="BA52" s="6">
        <v>53862</v>
      </c>
      <c r="BB52" s="6">
        <v>52035</v>
      </c>
      <c r="BC52" s="6">
        <v>61664</v>
      </c>
      <c r="BD52" s="6">
        <v>67218</v>
      </c>
      <c r="BE52" s="6">
        <v>53614</v>
      </c>
      <c r="BF52" s="6">
        <v>43390</v>
      </c>
      <c r="BG52" s="6">
        <v>42533</v>
      </c>
      <c r="BH52" s="6">
        <v>46732</v>
      </c>
      <c r="BI52" s="6">
        <v>52990</v>
      </c>
      <c r="BJ52" s="6">
        <v>53724</v>
      </c>
    </row>
    <row r="53" spans="2:62" ht="13.5" x14ac:dyDescent="0.25">
      <c r="B53" s="1" t="s">
        <v>46</v>
      </c>
      <c r="C53" s="6">
        <v>17621</v>
      </c>
      <c r="D53" s="6">
        <v>21590</v>
      </c>
      <c r="E53" s="6">
        <v>22840</v>
      </c>
      <c r="F53" s="6">
        <v>24875</v>
      </c>
      <c r="G53" s="6">
        <v>22576</v>
      </c>
      <c r="H53" s="6">
        <v>25683</v>
      </c>
      <c r="I53" s="6">
        <v>24550</v>
      </c>
      <c r="J53" s="6">
        <v>23910</v>
      </c>
      <c r="K53" s="6">
        <v>29813</v>
      </c>
      <c r="L53" s="6">
        <v>25524</v>
      </c>
      <c r="M53" s="6">
        <v>30511</v>
      </c>
      <c r="N53" s="6">
        <v>21219</v>
      </c>
      <c r="O53" s="6">
        <v>16003</v>
      </c>
      <c r="P53" s="6">
        <v>20709</v>
      </c>
      <c r="Q53" s="6">
        <v>25979</v>
      </c>
      <c r="R53" s="6">
        <v>29994</v>
      </c>
      <c r="S53" s="6">
        <v>27609</v>
      </c>
      <c r="T53" s="6">
        <v>29028</v>
      </c>
      <c r="U53" s="6">
        <v>25954</v>
      </c>
      <c r="V53" s="6">
        <v>30368</v>
      </c>
      <c r="W53" s="6">
        <v>26963</v>
      </c>
      <c r="X53" s="6">
        <v>28928</v>
      </c>
      <c r="Y53" s="6">
        <v>25162</v>
      </c>
      <c r="Z53" s="6">
        <v>24055</v>
      </c>
      <c r="AA53" s="6">
        <v>22093</v>
      </c>
      <c r="AB53" s="6">
        <v>27237</v>
      </c>
      <c r="AC53" s="6">
        <v>26616</v>
      </c>
      <c r="AD53" s="6">
        <v>36291</v>
      </c>
      <c r="AE53" s="6">
        <v>32443</v>
      </c>
      <c r="AF53" s="6">
        <v>36912</v>
      </c>
      <c r="AG53" s="6">
        <v>42016</v>
      </c>
      <c r="AH53" s="6">
        <v>32529</v>
      </c>
      <c r="AI53" s="6">
        <v>38182</v>
      </c>
      <c r="AJ53" s="6">
        <v>29397</v>
      </c>
      <c r="AK53" s="6">
        <v>39718</v>
      </c>
      <c r="AL53" s="6">
        <v>43429</v>
      </c>
      <c r="AM53" s="6">
        <v>22487</v>
      </c>
      <c r="AN53" s="6">
        <v>41540</v>
      </c>
      <c r="AO53" s="6">
        <v>30365</v>
      </c>
      <c r="AP53" s="6">
        <v>40537</v>
      </c>
      <c r="AQ53" s="6">
        <v>41137</v>
      </c>
      <c r="AR53" s="6">
        <v>39770</v>
      </c>
      <c r="AS53" s="6">
        <v>34901</v>
      </c>
      <c r="AT53" s="6">
        <v>50783</v>
      </c>
      <c r="AU53" s="6">
        <v>61857</v>
      </c>
      <c r="AV53" s="6">
        <v>31777</v>
      </c>
      <c r="AW53" s="6">
        <v>36380</v>
      </c>
      <c r="AX53" s="6">
        <v>41286</v>
      </c>
      <c r="AY53" s="6">
        <v>22840</v>
      </c>
      <c r="AZ53" s="6">
        <v>32329</v>
      </c>
      <c r="BA53" s="6">
        <v>43316</v>
      </c>
      <c r="BB53" s="6">
        <v>34262</v>
      </c>
      <c r="BC53" s="6">
        <v>42960</v>
      </c>
      <c r="BD53" s="6">
        <v>50350</v>
      </c>
      <c r="BE53" s="6">
        <v>33511</v>
      </c>
      <c r="BF53" s="6">
        <v>46192</v>
      </c>
      <c r="BG53" s="6">
        <v>38001</v>
      </c>
      <c r="BH53" s="6">
        <v>42421</v>
      </c>
      <c r="BI53" s="6">
        <v>62826</v>
      </c>
      <c r="BJ53" s="6">
        <v>63696</v>
      </c>
    </row>
    <row r="54" spans="2:62" ht="13.5" x14ac:dyDescent="0.25">
      <c r="B54" s="1" t="s">
        <v>47</v>
      </c>
      <c r="C54" s="6">
        <v>17545</v>
      </c>
      <c r="D54" s="6">
        <v>22602</v>
      </c>
      <c r="E54" s="6">
        <v>21578</v>
      </c>
      <c r="F54" s="6">
        <v>25134</v>
      </c>
      <c r="G54" s="6">
        <v>28501</v>
      </c>
      <c r="H54" s="6">
        <v>27380</v>
      </c>
      <c r="I54" s="6">
        <v>26397</v>
      </c>
      <c r="J54" s="6">
        <v>24247</v>
      </c>
      <c r="K54" s="6">
        <v>29991</v>
      </c>
      <c r="L54" s="6">
        <v>21729</v>
      </c>
      <c r="M54" s="6">
        <v>24337</v>
      </c>
      <c r="N54" s="6">
        <v>6710</v>
      </c>
      <c r="O54" s="6">
        <v>17491</v>
      </c>
      <c r="P54" s="6">
        <v>17617</v>
      </c>
      <c r="Q54" s="6">
        <v>24892</v>
      </c>
      <c r="R54" s="6">
        <v>28209</v>
      </c>
      <c r="S54" s="6">
        <v>30217</v>
      </c>
      <c r="T54" s="6">
        <v>26880</v>
      </c>
      <c r="U54" s="6">
        <v>23384</v>
      </c>
      <c r="V54" s="6">
        <v>27113</v>
      </c>
      <c r="W54" s="6">
        <v>29116</v>
      </c>
      <c r="X54" s="6">
        <v>23038</v>
      </c>
      <c r="Y54" s="6">
        <v>39908</v>
      </c>
      <c r="Z54" s="6">
        <v>36204</v>
      </c>
      <c r="AA54" s="6">
        <v>17926</v>
      </c>
      <c r="AB54" s="6">
        <v>25200</v>
      </c>
      <c r="AC54" s="6">
        <v>24729</v>
      </c>
      <c r="AD54" s="6">
        <v>33850</v>
      </c>
      <c r="AE54" s="6">
        <v>28992</v>
      </c>
      <c r="AF54" s="6">
        <v>35121</v>
      </c>
      <c r="AG54" s="6">
        <v>38895</v>
      </c>
      <c r="AH54" s="6">
        <v>41126</v>
      </c>
      <c r="AI54" s="6">
        <v>44120</v>
      </c>
      <c r="AJ54" s="6">
        <v>33441</v>
      </c>
      <c r="AK54" s="6">
        <v>45201</v>
      </c>
      <c r="AL54" s="6">
        <v>54816</v>
      </c>
      <c r="AM54" s="6">
        <v>38952</v>
      </c>
      <c r="AN54" s="6">
        <v>30429</v>
      </c>
      <c r="AO54" s="6">
        <v>36002</v>
      </c>
      <c r="AP54" s="6">
        <v>50848</v>
      </c>
      <c r="AQ54" s="6">
        <v>54042</v>
      </c>
      <c r="AR54" s="6">
        <v>44170</v>
      </c>
      <c r="AS54" s="6">
        <v>39057</v>
      </c>
      <c r="AT54" s="6">
        <v>61098</v>
      </c>
      <c r="AU54" s="6">
        <v>51332</v>
      </c>
      <c r="AV54" s="6">
        <v>42750</v>
      </c>
      <c r="AW54" s="6">
        <v>50272</v>
      </c>
      <c r="AX54" s="6">
        <v>52597</v>
      </c>
      <c r="AY54" s="6">
        <v>41755</v>
      </c>
      <c r="AZ54" s="6">
        <v>45923</v>
      </c>
      <c r="BA54" s="6">
        <v>48376</v>
      </c>
      <c r="BB54" s="6">
        <v>74543</v>
      </c>
      <c r="BC54" s="6">
        <v>60227</v>
      </c>
      <c r="BD54" s="6">
        <v>67059</v>
      </c>
      <c r="BE54" s="6">
        <v>41984</v>
      </c>
      <c r="BF54" s="6">
        <v>53418</v>
      </c>
      <c r="BG54" s="6">
        <v>46412</v>
      </c>
      <c r="BH54" s="6">
        <v>46367</v>
      </c>
      <c r="BI54" s="6">
        <v>62016</v>
      </c>
      <c r="BJ54" s="6">
        <v>62875</v>
      </c>
    </row>
    <row r="55" spans="2:62" ht="13.5" x14ac:dyDescent="0.25">
      <c r="B55" s="8" t="s">
        <v>48</v>
      </c>
      <c r="C55" s="11">
        <f>SUM(C51:C54)</f>
        <v>113920</v>
      </c>
      <c r="D55" s="11">
        <f t="shared" ref="D55:BJ55" si="105">SUM(D51:D54)</f>
        <v>148969</v>
      </c>
      <c r="E55" s="11">
        <f t="shared" si="105"/>
        <v>149985</v>
      </c>
      <c r="F55" s="11">
        <f t="shared" si="105"/>
        <v>169622</v>
      </c>
      <c r="G55" s="11">
        <f t="shared" si="105"/>
        <v>167460</v>
      </c>
      <c r="H55" s="11">
        <f t="shared" si="105"/>
        <v>169372</v>
      </c>
      <c r="I55" s="11">
        <f t="shared" si="105"/>
        <v>177384</v>
      </c>
      <c r="J55" s="11">
        <f t="shared" si="105"/>
        <v>197464</v>
      </c>
      <c r="K55" s="11">
        <f t="shared" si="105"/>
        <v>184985</v>
      </c>
      <c r="L55" s="11">
        <f t="shared" si="105"/>
        <v>186651</v>
      </c>
      <c r="M55" s="11">
        <f t="shared" si="105"/>
        <v>201843</v>
      </c>
      <c r="N55" s="11">
        <f t="shared" si="105"/>
        <v>113979</v>
      </c>
      <c r="O55" s="11">
        <f t="shared" si="105"/>
        <v>127235</v>
      </c>
      <c r="P55" s="11">
        <f t="shared" si="105"/>
        <v>139199</v>
      </c>
      <c r="Q55" s="11">
        <f t="shared" si="105"/>
        <v>181832</v>
      </c>
      <c r="R55" s="11">
        <f t="shared" si="105"/>
        <v>214827</v>
      </c>
      <c r="S55" s="11">
        <f t="shared" si="105"/>
        <v>199947</v>
      </c>
      <c r="T55" s="11">
        <f t="shared" si="105"/>
        <v>210703</v>
      </c>
      <c r="U55" s="11">
        <f t="shared" si="105"/>
        <v>163464</v>
      </c>
      <c r="V55" s="11">
        <f t="shared" si="105"/>
        <v>198060</v>
      </c>
      <c r="W55" s="11">
        <f t="shared" si="105"/>
        <v>181969</v>
      </c>
      <c r="X55" s="11">
        <f t="shared" si="105"/>
        <v>181211</v>
      </c>
      <c r="Y55" s="11">
        <f t="shared" si="105"/>
        <v>210150</v>
      </c>
      <c r="Z55" s="11">
        <f t="shared" si="105"/>
        <v>232889</v>
      </c>
      <c r="AA55" s="11">
        <f t="shared" si="105"/>
        <v>134874</v>
      </c>
      <c r="AB55" s="11">
        <f t="shared" si="105"/>
        <v>178148</v>
      </c>
      <c r="AC55" s="11">
        <f t="shared" si="105"/>
        <v>175008</v>
      </c>
      <c r="AD55" s="11">
        <f t="shared" si="105"/>
        <v>239791</v>
      </c>
      <c r="AE55" s="11">
        <f t="shared" si="105"/>
        <v>211798</v>
      </c>
      <c r="AF55" s="11">
        <f t="shared" si="105"/>
        <v>241794</v>
      </c>
      <c r="AG55" s="11">
        <f t="shared" si="105"/>
        <v>220055</v>
      </c>
      <c r="AH55" s="11">
        <f t="shared" si="105"/>
        <v>344027</v>
      </c>
      <c r="AI55" s="11">
        <f t="shared" si="105"/>
        <v>243663</v>
      </c>
      <c r="AJ55" s="11">
        <f t="shared" si="105"/>
        <v>233080</v>
      </c>
      <c r="AK55" s="11">
        <f t="shared" si="105"/>
        <v>252377</v>
      </c>
      <c r="AL55" s="11">
        <f t="shared" si="105"/>
        <v>293271</v>
      </c>
      <c r="AM55" s="11">
        <f t="shared" si="105"/>
        <v>188338</v>
      </c>
      <c r="AN55" s="11">
        <f t="shared" si="105"/>
        <v>228126</v>
      </c>
      <c r="AO55" s="11">
        <f t="shared" si="105"/>
        <v>199881</v>
      </c>
      <c r="AP55" s="11">
        <f t="shared" si="105"/>
        <v>256101</v>
      </c>
      <c r="AQ55" s="11">
        <f t="shared" si="105"/>
        <v>270873</v>
      </c>
      <c r="AR55" s="11">
        <f t="shared" si="105"/>
        <v>232239</v>
      </c>
      <c r="AS55" s="11">
        <f t="shared" si="105"/>
        <v>208035</v>
      </c>
      <c r="AT55" s="11">
        <f t="shared" si="105"/>
        <v>294028</v>
      </c>
      <c r="AU55" s="11">
        <f t="shared" si="105"/>
        <v>324119</v>
      </c>
      <c r="AV55" s="11">
        <f t="shared" si="105"/>
        <v>207427</v>
      </c>
      <c r="AW55" s="11">
        <f t="shared" si="105"/>
        <v>239863</v>
      </c>
      <c r="AX55" s="11">
        <f t="shared" si="105"/>
        <v>247929</v>
      </c>
      <c r="AY55" s="11">
        <f t="shared" si="105"/>
        <v>209840</v>
      </c>
      <c r="AZ55" s="11">
        <f t="shared" si="105"/>
        <v>229792</v>
      </c>
      <c r="BA55" s="11">
        <f t="shared" si="105"/>
        <v>254444</v>
      </c>
      <c r="BB55" s="11">
        <f t="shared" si="105"/>
        <v>276042</v>
      </c>
      <c r="BC55" s="11">
        <f t="shared" si="105"/>
        <v>297771</v>
      </c>
      <c r="BD55" s="11">
        <f t="shared" si="105"/>
        <v>321707</v>
      </c>
      <c r="BE55" s="11">
        <f t="shared" si="105"/>
        <v>254855</v>
      </c>
      <c r="BF55" s="11">
        <f t="shared" si="105"/>
        <v>258636</v>
      </c>
      <c r="BG55" s="11">
        <f t="shared" si="105"/>
        <v>242902</v>
      </c>
      <c r="BH55" s="11">
        <f t="shared" si="105"/>
        <v>250941</v>
      </c>
      <c r="BI55" s="11">
        <f t="shared" si="105"/>
        <v>300990</v>
      </c>
      <c r="BJ55" s="11">
        <f t="shared" si="105"/>
        <v>305159</v>
      </c>
    </row>
    <row r="56" spans="2:62" x14ac:dyDescent="0.2">
      <c r="B56" s="5" t="s">
        <v>49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2:62" x14ac:dyDescent="0.2">
      <c r="B57" s="1" t="s">
        <v>44</v>
      </c>
      <c r="C57" s="6">
        <v>18619</v>
      </c>
      <c r="D57" s="6">
        <v>17558</v>
      </c>
      <c r="E57" s="6">
        <v>44421</v>
      </c>
      <c r="F57" s="6">
        <v>37244</v>
      </c>
      <c r="G57" s="6">
        <v>24953</v>
      </c>
      <c r="H57" s="6">
        <v>-24238</v>
      </c>
      <c r="I57" s="6">
        <v>29130</v>
      </c>
      <c r="J57" s="6">
        <v>21777</v>
      </c>
      <c r="K57" s="6">
        <v>-50</v>
      </c>
      <c r="L57" s="6">
        <v>19200</v>
      </c>
      <c r="M57" s="6">
        <v>15530</v>
      </c>
      <c r="N57" s="6">
        <v>-51943</v>
      </c>
      <c r="O57" s="6">
        <v>12885</v>
      </c>
      <c r="P57" s="6">
        <v>61258</v>
      </c>
      <c r="Q57" s="6">
        <v>32981</v>
      </c>
      <c r="R57" s="6">
        <v>27099</v>
      </c>
      <c r="S57" s="6">
        <v>39959</v>
      </c>
      <c r="T57" s="6">
        <v>-73188</v>
      </c>
      <c r="U57" s="6">
        <v>29661</v>
      </c>
      <c r="V57" s="6">
        <v>26078</v>
      </c>
      <c r="W57" s="6">
        <v>33959</v>
      </c>
      <c r="X57" s="6">
        <v>20149</v>
      </c>
      <c r="Y57" s="6">
        <v>16841</v>
      </c>
      <c r="Z57" s="6">
        <v>-47469</v>
      </c>
      <c r="AA57" s="6">
        <v>10742</v>
      </c>
      <c r="AB57" s="6">
        <v>46632</v>
      </c>
      <c r="AC57" s="6">
        <v>9056</v>
      </c>
      <c r="AD57" s="6">
        <v>25260</v>
      </c>
      <c r="AE57" s="6">
        <v>27242</v>
      </c>
      <c r="AF57" s="6">
        <v>8077</v>
      </c>
      <c r="AG57" s="6">
        <v>2913</v>
      </c>
      <c r="AH57" s="6">
        <v>21574</v>
      </c>
      <c r="AI57" s="6">
        <v>25406</v>
      </c>
      <c r="AJ57" s="6">
        <v>74553</v>
      </c>
      <c r="AK57" s="6">
        <v>14971</v>
      </c>
      <c r="AL57" s="6">
        <v>15794</v>
      </c>
      <c r="AM57" s="6">
        <v>23237</v>
      </c>
      <c r="AN57" s="6">
        <v>49698</v>
      </c>
      <c r="AO57" s="6">
        <v>18452</v>
      </c>
      <c r="AP57" s="6">
        <v>23885</v>
      </c>
      <c r="AQ57" s="6">
        <v>22788</v>
      </c>
      <c r="AR57" s="6">
        <v>50840</v>
      </c>
      <c r="AS57" s="6">
        <v>-1334</v>
      </c>
      <c r="AT57" s="6">
        <v>20002</v>
      </c>
      <c r="AU57" s="6">
        <v>25296</v>
      </c>
      <c r="AV57" s="6">
        <v>9907</v>
      </c>
      <c r="AW57" s="6">
        <v>22986</v>
      </c>
      <c r="AX57" s="6">
        <v>32216</v>
      </c>
      <c r="AY57" s="6">
        <v>17989</v>
      </c>
      <c r="AZ57" s="6">
        <v>22146</v>
      </c>
      <c r="BA57" s="6">
        <v>32297</v>
      </c>
      <c r="BB57" s="6">
        <v>18083</v>
      </c>
      <c r="BC57" s="6">
        <v>-2103</v>
      </c>
      <c r="BD57" s="6">
        <v>46225</v>
      </c>
      <c r="BE57" s="6">
        <v>18513</v>
      </c>
      <c r="BF57" s="6">
        <v>66911</v>
      </c>
      <c r="BG57" s="6">
        <v>16561</v>
      </c>
      <c r="BH57" s="6">
        <v>53374</v>
      </c>
      <c r="BI57" s="6">
        <v>48459</v>
      </c>
      <c r="BJ57" s="6">
        <v>38500</v>
      </c>
    </row>
    <row r="58" spans="2:62" x14ac:dyDescent="0.2">
      <c r="B58" s="1" t="s">
        <v>45</v>
      </c>
      <c r="C58" s="6">
        <v>10158</v>
      </c>
      <c r="D58" s="6">
        <v>16119</v>
      </c>
      <c r="E58" s="6">
        <v>14857</v>
      </c>
      <c r="F58" s="6">
        <v>18770</v>
      </c>
      <c r="G58" s="6">
        <v>18113</v>
      </c>
      <c r="H58" s="6">
        <v>13803</v>
      </c>
      <c r="I58" s="6">
        <v>11384</v>
      </c>
      <c r="J58" s="6">
        <v>13488</v>
      </c>
      <c r="K58" s="6">
        <v>13668</v>
      </c>
      <c r="L58" s="6">
        <v>20185</v>
      </c>
      <c r="M58" s="6">
        <v>13917</v>
      </c>
      <c r="N58" s="6">
        <v>19842</v>
      </c>
      <c r="O58" s="6">
        <v>8525</v>
      </c>
      <c r="P58" s="6">
        <v>6475</v>
      </c>
      <c r="Q58" s="6">
        <v>17746</v>
      </c>
      <c r="R58" s="6">
        <v>12644</v>
      </c>
      <c r="S58" s="6">
        <v>13302</v>
      </c>
      <c r="T58" s="6">
        <v>13305</v>
      </c>
      <c r="U58" s="6">
        <v>9781</v>
      </c>
      <c r="V58" s="6">
        <v>10000</v>
      </c>
      <c r="W58" s="6">
        <v>10567</v>
      </c>
      <c r="X58" s="6">
        <v>3640</v>
      </c>
      <c r="Y58" s="6">
        <v>22850</v>
      </c>
      <c r="Z58" s="6">
        <v>12663</v>
      </c>
      <c r="AA58" s="6">
        <v>9987</v>
      </c>
      <c r="AB58" s="6">
        <v>13801</v>
      </c>
      <c r="AC58" s="6">
        <v>11916</v>
      </c>
      <c r="AD58" s="6">
        <v>10862</v>
      </c>
      <c r="AE58" s="6">
        <v>14255</v>
      </c>
      <c r="AF58" s="6">
        <v>14688</v>
      </c>
      <c r="AG58" s="6">
        <v>6363</v>
      </c>
      <c r="AH58" s="6">
        <v>11656</v>
      </c>
      <c r="AI58" s="6">
        <v>10391</v>
      </c>
      <c r="AJ58" s="6">
        <v>13646</v>
      </c>
      <c r="AK58" s="6">
        <v>20792</v>
      </c>
      <c r="AL58" s="6">
        <v>20655</v>
      </c>
      <c r="AM58" s="6">
        <v>9707</v>
      </c>
      <c r="AN58" s="6">
        <v>18663</v>
      </c>
      <c r="AO58" s="6">
        <v>11917</v>
      </c>
      <c r="AP58" s="6">
        <v>9731</v>
      </c>
      <c r="AQ58" s="6">
        <v>10681</v>
      </c>
      <c r="AR58" s="6">
        <v>11100</v>
      </c>
      <c r="AS58" s="6">
        <v>18990</v>
      </c>
      <c r="AT58" s="6">
        <v>19224</v>
      </c>
      <c r="AU58" s="6">
        <v>25683</v>
      </c>
      <c r="AV58" s="6">
        <v>12367</v>
      </c>
      <c r="AW58" s="6">
        <v>21748</v>
      </c>
      <c r="AX58" s="6">
        <v>16269</v>
      </c>
      <c r="AY58" s="6">
        <v>12839</v>
      </c>
      <c r="AZ58" s="6">
        <v>21103</v>
      </c>
      <c r="BA58" s="6">
        <v>9743</v>
      </c>
      <c r="BB58" s="6">
        <v>11326</v>
      </c>
      <c r="BC58" s="6">
        <v>6988</v>
      </c>
      <c r="BD58" s="6">
        <v>7968</v>
      </c>
      <c r="BE58" s="6">
        <v>8331</v>
      </c>
      <c r="BF58" s="6">
        <v>3822</v>
      </c>
      <c r="BG58" s="6">
        <v>20590</v>
      </c>
      <c r="BH58" s="6">
        <v>9317</v>
      </c>
      <c r="BI58" s="6">
        <v>14925</v>
      </c>
      <c r="BJ58" s="6">
        <v>8400</v>
      </c>
    </row>
    <row r="59" spans="2:62" x14ac:dyDescent="0.2">
      <c r="B59" s="1" t="s">
        <v>46</v>
      </c>
      <c r="C59" s="6">
        <v>15034</v>
      </c>
      <c r="D59" s="6">
        <v>12445</v>
      </c>
      <c r="E59" s="6">
        <v>16814</v>
      </c>
      <c r="F59" s="6">
        <v>15985</v>
      </c>
      <c r="G59" s="6">
        <v>16744</v>
      </c>
      <c r="H59" s="6">
        <v>14045</v>
      </c>
      <c r="I59" s="6">
        <v>17009</v>
      </c>
      <c r="J59" s="6">
        <v>15099</v>
      </c>
      <c r="K59" s="6">
        <v>17121</v>
      </c>
      <c r="L59" s="6">
        <v>23194</v>
      </c>
      <c r="M59" s="6">
        <v>26581</v>
      </c>
      <c r="N59" s="6">
        <v>26876</v>
      </c>
      <c r="O59" s="6">
        <v>11918</v>
      </c>
      <c r="P59" s="6">
        <v>12422</v>
      </c>
      <c r="Q59" s="6">
        <v>14071</v>
      </c>
      <c r="R59" s="6">
        <v>15298</v>
      </c>
      <c r="S59" s="6">
        <v>15930</v>
      </c>
      <c r="T59" s="6">
        <v>8932</v>
      </c>
      <c r="U59" s="6">
        <v>19530</v>
      </c>
      <c r="V59" s="6">
        <v>18067</v>
      </c>
      <c r="W59" s="6">
        <v>16410</v>
      </c>
      <c r="X59" s="6">
        <v>14322</v>
      </c>
      <c r="Y59" s="6">
        <v>11324</v>
      </c>
      <c r="Z59" s="6">
        <v>42819</v>
      </c>
      <c r="AA59" s="6">
        <v>15322</v>
      </c>
      <c r="AB59" s="6">
        <v>12194</v>
      </c>
      <c r="AC59" s="6">
        <v>15304</v>
      </c>
      <c r="AD59" s="6">
        <v>14455</v>
      </c>
      <c r="AE59" s="6">
        <v>17754</v>
      </c>
      <c r="AF59" s="6">
        <v>15848</v>
      </c>
      <c r="AG59" s="6">
        <v>12558</v>
      </c>
      <c r="AH59" s="6">
        <v>12821</v>
      </c>
      <c r="AI59" s="6">
        <v>12739</v>
      </c>
      <c r="AJ59" s="6">
        <v>40379</v>
      </c>
      <c r="AK59" s="6">
        <v>17779</v>
      </c>
      <c r="AL59" s="6">
        <v>44744</v>
      </c>
      <c r="AM59" s="6">
        <v>16670</v>
      </c>
      <c r="AN59" s="6">
        <v>17733</v>
      </c>
      <c r="AO59" s="6">
        <v>20284</v>
      </c>
      <c r="AP59" s="6">
        <v>16317</v>
      </c>
      <c r="AQ59" s="6">
        <v>18130</v>
      </c>
      <c r="AR59" s="6">
        <v>21538</v>
      </c>
      <c r="AS59" s="6">
        <v>21921</v>
      </c>
      <c r="AT59" s="6">
        <v>6567</v>
      </c>
      <c r="AU59" s="6">
        <v>24013</v>
      </c>
      <c r="AV59" s="6">
        <v>22313</v>
      </c>
      <c r="AW59" s="6">
        <v>19502</v>
      </c>
      <c r="AX59" s="6">
        <v>38923</v>
      </c>
      <c r="AY59" s="6">
        <v>20404</v>
      </c>
      <c r="AZ59" s="6">
        <v>20136</v>
      </c>
      <c r="BA59" s="6">
        <v>19868</v>
      </c>
      <c r="BB59" s="6">
        <v>20905</v>
      </c>
      <c r="BC59" s="6">
        <v>22843</v>
      </c>
      <c r="BD59" s="6">
        <v>20929</v>
      </c>
      <c r="BE59" s="6">
        <v>22801</v>
      </c>
      <c r="BF59" s="6">
        <v>26262</v>
      </c>
      <c r="BG59" s="6">
        <v>22509</v>
      </c>
      <c r="BH59" s="6">
        <v>44313</v>
      </c>
      <c r="BI59" s="6">
        <v>31144</v>
      </c>
      <c r="BJ59" s="6">
        <v>45400</v>
      </c>
    </row>
    <row r="60" spans="2:62" x14ac:dyDescent="0.2">
      <c r="B60" s="1" t="s">
        <v>47</v>
      </c>
      <c r="C60" s="6">
        <v>40495</v>
      </c>
      <c r="D60" s="6">
        <v>21335</v>
      </c>
      <c r="E60" s="6">
        <v>26932</v>
      </c>
      <c r="F60" s="6">
        <v>51905</v>
      </c>
      <c r="G60" s="6">
        <v>47996</v>
      </c>
      <c r="H60" s="6">
        <v>54132</v>
      </c>
      <c r="I60" s="6">
        <v>50594</v>
      </c>
      <c r="J60" s="6">
        <v>49893</v>
      </c>
      <c r="K60" s="6">
        <v>49341</v>
      </c>
      <c r="L60" s="6">
        <v>36697</v>
      </c>
      <c r="M60" s="6">
        <v>30695</v>
      </c>
      <c r="N60" s="6">
        <v>9830</v>
      </c>
      <c r="O60" s="6">
        <v>16037</v>
      </c>
      <c r="P60" s="6">
        <v>15463</v>
      </c>
      <c r="Q60" s="6">
        <v>25694</v>
      </c>
      <c r="R60" s="6">
        <v>28556</v>
      </c>
      <c r="S60" s="6">
        <v>48784</v>
      </c>
      <c r="T60" s="6">
        <v>48707</v>
      </c>
      <c r="U60" s="6">
        <v>52384</v>
      </c>
      <c r="V60" s="6">
        <v>49627</v>
      </c>
      <c r="W60" s="6">
        <v>49026</v>
      </c>
      <c r="X60" s="6">
        <v>43970</v>
      </c>
      <c r="Y60" s="6">
        <v>29635</v>
      </c>
      <c r="Z60" s="6">
        <v>18794</v>
      </c>
      <c r="AA60" s="6">
        <v>31505</v>
      </c>
      <c r="AB60" s="6">
        <v>29242</v>
      </c>
      <c r="AC60" s="6">
        <v>34205</v>
      </c>
      <c r="AD60" s="6">
        <v>64711</v>
      </c>
      <c r="AE60" s="6">
        <v>41736</v>
      </c>
      <c r="AF60" s="6">
        <v>59673</v>
      </c>
      <c r="AG60" s="6">
        <v>83627</v>
      </c>
      <c r="AH60" s="6">
        <v>88157</v>
      </c>
      <c r="AI60" s="6">
        <v>68997</v>
      </c>
      <c r="AJ60" s="6">
        <v>70398</v>
      </c>
      <c r="AK60" s="6">
        <v>40805</v>
      </c>
      <c r="AL60" s="6">
        <v>53171</v>
      </c>
      <c r="AM60" s="6">
        <v>29761</v>
      </c>
      <c r="AN60" s="6">
        <v>29546</v>
      </c>
      <c r="AO60" s="6">
        <v>35322</v>
      </c>
      <c r="AP60" s="6">
        <v>30755</v>
      </c>
      <c r="AQ60" s="6">
        <v>60415</v>
      </c>
      <c r="AR60" s="6">
        <v>61157</v>
      </c>
      <c r="AS60" s="6">
        <v>60030</v>
      </c>
      <c r="AT60" s="6">
        <v>65120</v>
      </c>
      <c r="AU60" s="6">
        <v>48741</v>
      </c>
      <c r="AV60" s="6">
        <v>58135</v>
      </c>
      <c r="AW60" s="6">
        <v>38558</v>
      </c>
      <c r="AX60" s="6">
        <v>34563</v>
      </c>
      <c r="AY60" s="6">
        <v>18386</v>
      </c>
      <c r="AZ60" s="6">
        <v>18630</v>
      </c>
      <c r="BA60" s="6">
        <v>31075</v>
      </c>
      <c r="BB60" s="6">
        <v>31756</v>
      </c>
      <c r="BC60" s="6">
        <v>80305</v>
      </c>
      <c r="BD60" s="6">
        <v>59200</v>
      </c>
      <c r="BE60" s="6">
        <v>75488</v>
      </c>
      <c r="BF60" s="6">
        <v>67728</v>
      </c>
      <c r="BG60" s="6">
        <v>65758</v>
      </c>
      <c r="BH60" s="6">
        <v>59283</v>
      </c>
      <c r="BI60" s="6">
        <v>28638</v>
      </c>
      <c r="BJ60" s="6">
        <v>35000</v>
      </c>
    </row>
    <row r="61" spans="2:62" x14ac:dyDescent="0.2">
      <c r="B61" s="1" t="s">
        <v>50</v>
      </c>
      <c r="C61" s="6">
        <v>62459</v>
      </c>
      <c r="D61" s="6">
        <v>62944</v>
      </c>
      <c r="E61" s="6">
        <v>62834</v>
      </c>
      <c r="F61" s="6">
        <v>71482</v>
      </c>
      <c r="G61" s="6">
        <v>73197</v>
      </c>
      <c r="H61" s="6">
        <v>73929</v>
      </c>
      <c r="I61" s="6">
        <v>73124</v>
      </c>
      <c r="J61" s="6">
        <v>69603</v>
      </c>
      <c r="K61" s="6">
        <v>75762</v>
      </c>
      <c r="L61" s="6">
        <v>40789</v>
      </c>
      <c r="M61" s="6">
        <v>40752</v>
      </c>
      <c r="N61" s="6">
        <v>27989</v>
      </c>
      <c r="O61" s="6">
        <v>50824</v>
      </c>
      <c r="P61" s="6">
        <v>52073</v>
      </c>
      <c r="Q61" s="6">
        <v>65339</v>
      </c>
      <c r="R61" s="6">
        <v>63821</v>
      </c>
      <c r="S61" s="6">
        <v>70638</v>
      </c>
      <c r="T61" s="6">
        <v>68636</v>
      </c>
      <c r="U61" s="6">
        <v>61635</v>
      </c>
      <c r="V61" s="6">
        <v>65704</v>
      </c>
      <c r="W61" s="6">
        <v>57588</v>
      </c>
      <c r="X61" s="6">
        <v>55530</v>
      </c>
      <c r="Y61" s="6">
        <v>86456</v>
      </c>
      <c r="Z61" s="6">
        <v>76541</v>
      </c>
      <c r="AA61" s="6">
        <v>62928</v>
      </c>
      <c r="AB61" s="6">
        <v>46529</v>
      </c>
      <c r="AC61" s="6">
        <v>68965</v>
      </c>
      <c r="AD61" s="6">
        <v>74071</v>
      </c>
      <c r="AE61" s="6">
        <v>63334</v>
      </c>
      <c r="AF61" s="6">
        <v>71222</v>
      </c>
      <c r="AG61" s="6">
        <v>71741</v>
      </c>
      <c r="AH61" s="6">
        <v>62659</v>
      </c>
      <c r="AI61" s="6">
        <v>70008</v>
      </c>
      <c r="AJ61" s="6">
        <v>79915</v>
      </c>
      <c r="AK61" s="6">
        <v>55337</v>
      </c>
      <c r="AL61" s="6">
        <v>68835</v>
      </c>
      <c r="AM61" s="6">
        <v>57144</v>
      </c>
      <c r="AN61" s="6">
        <v>55700</v>
      </c>
      <c r="AO61" s="6">
        <v>66468</v>
      </c>
      <c r="AP61" s="6">
        <v>63739</v>
      </c>
      <c r="AQ61" s="6">
        <v>61156</v>
      </c>
      <c r="AR61" s="6">
        <v>57738</v>
      </c>
      <c r="AS61" s="6">
        <v>64828</v>
      </c>
      <c r="AT61" s="6">
        <v>64575</v>
      </c>
      <c r="AU61" s="6">
        <v>58267</v>
      </c>
      <c r="AV61" s="6">
        <v>66556</v>
      </c>
      <c r="AW61" s="6">
        <v>64296</v>
      </c>
      <c r="AX61" s="6">
        <v>55226</v>
      </c>
      <c r="AY61" s="6">
        <v>53550</v>
      </c>
      <c r="AZ61" s="6">
        <v>54432</v>
      </c>
      <c r="BA61" s="6">
        <v>56509</v>
      </c>
      <c r="BB61" s="6">
        <v>45059</v>
      </c>
      <c r="BC61" s="6">
        <v>52068</v>
      </c>
      <c r="BD61" s="6">
        <v>53951</v>
      </c>
      <c r="BE61" s="6">
        <v>54852</v>
      </c>
      <c r="BF61" s="6">
        <v>50072</v>
      </c>
      <c r="BG61" s="6">
        <v>54785</v>
      </c>
      <c r="BH61" s="6">
        <v>58734</v>
      </c>
      <c r="BI61" s="6">
        <v>70402</v>
      </c>
      <c r="BJ61" s="6">
        <v>70450</v>
      </c>
    </row>
    <row r="62" spans="2:62" x14ac:dyDescent="0.2">
      <c r="B62" s="8" t="s">
        <v>41</v>
      </c>
      <c r="C62" s="11">
        <f>SUM(C57:C61)</f>
        <v>146765</v>
      </c>
      <c r="D62" s="11">
        <f t="shared" ref="D62:BJ62" si="106">SUM(D57:D61)</f>
        <v>130401</v>
      </c>
      <c r="E62" s="11">
        <f t="shared" si="106"/>
        <v>165858</v>
      </c>
      <c r="F62" s="11">
        <f t="shared" si="106"/>
        <v>195386</v>
      </c>
      <c r="G62" s="11">
        <f t="shared" si="106"/>
        <v>181003</v>
      </c>
      <c r="H62" s="11">
        <f t="shared" si="106"/>
        <v>131671</v>
      </c>
      <c r="I62" s="11">
        <f t="shared" si="106"/>
        <v>181241</v>
      </c>
      <c r="J62" s="11">
        <f t="shared" si="106"/>
        <v>169860</v>
      </c>
      <c r="K62" s="11">
        <f t="shared" si="106"/>
        <v>155842</v>
      </c>
      <c r="L62" s="11">
        <f t="shared" si="106"/>
        <v>140065</v>
      </c>
      <c r="M62" s="11">
        <f t="shared" si="106"/>
        <v>127475</v>
      </c>
      <c r="N62" s="11">
        <f t="shared" si="106"/>
        <v>32594</v>
      </c>
      <c r="O62" s="11">
        <f t="shared" si="106"/>
        <v>100189</v>
      </c>
      <c r="P62" s="11">
        <f t="shared" si="106"/>
        <v>147691</v>
      </c>
      <c r="Q62" s="11">
        <f t="shared" si="106"/>
        <v>155831</v>
      </c>
      <c r="R62" s="11">
        <f t="shared" si="106"/>
        <v>147418</v>
      </c>
      <c r="S62" s="11">
        <f t="shared" si="106"/>
        <v>188613</v>
      </c>
      <c r="T62" s="11">
        <f t="shared" si="106"/>
        <v>66392</v>
      </c>
      <c r="U62" s="11">
        <f t="shared" si="106"/>
        <v>172991</v>
      </c>
      <c r="V62" s="11">
        <f t="shared" si="106"/>
        <v>169476</v>
      </c>
      <c r="W62" s="11">
        <f t="shared" si="106"/>
        <v>167550</v>
      </c>
      <c r="X62" s="11">
        <f t="shared" si="106"/>
        <v>137611</v>
      </c>
      <c r="Y62" s="11">
        <f t="shared" si="106"/>
        <v>167106</v>
      </c>
      <c r="Z62" s="11">
        <f t="shared" si="106"/>
        <v>103348</v>
      </c>
      <c r="AA62" s="11">
        <f t="shared" si="106"/>
        <v>130484</v>
      </c>
      <c r="AB62" s="11">
        <f t="shared" si="106"/>
        <v>148398</v>
      </c>
      <c r="AC62" s="11">
        <f t="shared" si="106"/>
        <v>139446</v>
      </c>
      <c r="AD62" s="11">
        <f t="shared" si="106"/>
        <v>189359</v>
      </c>
      <c r="AE62" s="11">
        <f t="shared" si="106"/>
        <v>164321</v>
      </c>
      <c r="AF62" s="11">
        <f t="shared" si="106"/>
        <v>169508</v>
      </c>
      <c r="AG62" s="11">
        <f t="shared" si="106"/>
        <v>177202</v>
      </c>
      <c r="AH62" s="11">
        <f t="shared" si="106"/>
        <v>196867</v>
      </c>
      <c r="AI62" s="11">
        <f t="shared" si="106"/>
        <v>187541</v>
      </c>
      <c r="AJ62" s="11">
        <f t="shared" si="106"/>
        <v>278891</v>
      </c>
      <c r="AK62" s="11">
        <f t="shared" si="106"/>
        <v>149684</v>
      </c>
      <c r="AL62" s="11">
        <f t="shared" si="106"/>
        <v>203199</v>
      </c>
      <c r="AM62" s="11">
        <f t="shared" si="106"/>
        <v>136519</v>
      </c>
      <c r="AN62" s="11">
        <f t="shared" si="106"/>
        <v>171340</v>
      </c>
      <c r="AO62" s="11">
        <f t="shared" si="106"/>
        <v>152443</v>
      </c>
      <c r="AP62" s="11">
        <f t="shared" si="106"/>
        <v>144427</v>
      </c>
      <c r="AQ62" s="11">
        <f t="shared" si="106"/>
        <v>173170</v>
      </c>
      <c r="AR62" s="11">
        <f t="shared" si="106"/>
        <v>202373</v>
      </c>
      <c r="AS62" s="11">
        <f t="shared" si="106"/>
        <v>164435</v>
      </c>
      <c r="AT62" s="11">
        <f t="shared" si="106"/>
        <v>175488</v>
      </c>
      <c r="AU62" s="11">
        <f t="shared" si="106"/>
        <v>182000</v>
      </c>
      <c r="AV62" s="11">
        <f t="shared" si="106"/>
        <v>169278</v>
      </c>
      <c r="AW62" s="11">
        <f t="shared" si="106"/>
        <v>167090</v>
      </c>
      <c r="AX62" s="11">
        <f t="shared" si="106"/>
        <v>177197</v>
      </c>
      <c r="AY62" s="11">
        <f t="shared" si="106"/>
        <v>123168</v>
      </c>
      <c r="AZ62" s="11">
        <f t="shared" si="106"/>
        <v>136447</v>
      </c>
      <c r="BA62" s="11">
        <f t="shared" si="106"/>
        <v>149492</v>
      </c>
      <c r="BB62" s="11">
        <f t="shared" si="106"/>
        <v>127129</v>
      </c>
      <c r="BC62" s="11">
        <f t="shared" si="106"/>
        <v>160101</v>
      </c>
      <c r="BD62" s="11">
        <f t="shared" si="106"/>
        <v>188273</v>
      </c>
      <c r="BE62" s="11">
        <f t="shared" si="106"/>
        <v>179985</v>
      </c>
      <c r="BF62" s="11">
        <f t="shared" si="106"/>
        <v>214795</v>
      </c>
      <c r="BG62" s="11">
        <f t="shared" si="106"/>
        <v>180203</v>
      </c>
      <c r="BH62" s="11">
        <f t="shared" si="106"/>
        <v>225021</v>
      </c>
      <c r="BI62" s="11">
        <f t="shared" si="106"/>
        <v>193568</v>
      </c>
      <c r="BJ62" s="11">
        <f t="shared" si="106"/>
        <v>197750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H50"/>
  <sheetViews>
    <sheetView showGridLines="0" topLeftCell="A13" zoomScale="75" zoomScaleNormal="75" workbookViewId="0">
      <selection activeCell="E32" sqref="E32"/>
    </sheetView>
  </sheetViews>
  <sheetFormatPr defaultColWidth="8.7109375" defaultRowHeight="14.25" x14ac:dyDescent="0.2"/>
  <cols>
    <col min="1" max="1" width="2.42578125" style="1" customWidth="1"/>
    <col min="2" max="2" width="24.42578125" style="1" bestFit="1" customWidth="1"/>
    <col min="3" max="3" width="14.85546875" style="1" bestFit="1" customWidth="1"/>
    <col min="4" max="14" width="16.85546875" style="1" bestFit="1" customWidth="1"/>
    <col min="15" max="15" width="14.7109375" style="1" bestFit="1" customWidth="1"/>
    <col min="16" max="25" width="16.85546875" style="1" bestFit="1" customWidth="1"/>
    <col min="26" max="26" width="14.7109375" style="1" bestFit="1" customWidth="1"/>
    <col min="27" max="28" width="10" style="1" bestFit="1" customWidth="1"/>
    <col min="29" max="29" width="10.140625" style="1" bestFit="1" customWidth="1"/>
    <col min="30" max="40" width="10" style="1" bestFit="1" customWidth="1"/>
    <col min="41" max="41" width="10.140625" style="1" bestFit="1" customWidth="1"/>
    <col min="42" max="52" width="10" style="1" bestFit="1" customWidth="1"/>
    <col min="53" max="53" width="10.140625" style="1" bestFit="1" customWidth="1"/>
    <col min="54" max="62" width="10" style="1" bestFit="1" customWidth="1"/>
    <col min="63" max="86" width="12.140625" style="1" bestFit="1" customWidth="1"/>
    <col min="87" max="16384" width="8.7109375" style="1"/>
  </cols>
  <sheetData>
    <row r="2" spans="2:86" ht="13.5" x14ac:dyDescent="0.25">
      <c r="B2" s="14" t="s">
        <v>3</v>
      </c>
      <c r="C2" s="43">
        <f>Gerencial!C2</f>
        <v>39814</v>
      </c>
      <c r="D2" s="43">
        <f>Gerencial!D2</f>
        <v>39845</v>
      </c>
      <c r="E2" s="43">
        <f>Gerencial!E2</f>
        <v>39873</v>
      </c>
      <c r="F2" s="43">
        <f>Gerencial!F2</f>
        <v>39904</v>
      </c>
      <c r="G2" s="43">
        <f>Gerencial!G2</f>
        <v>39934</v>
      </c>
      <c r="H2" s="43">
        <f>Gerencial!H2</f>
        <v>39965</v>
      </c>
      <c r="I2" s="43">
        <f>Gerencial!I2</f>
        <v>39995</v>
      </c>
      <c r="J2" s="43">
        <f>Gerencial!J2</f>
        <v>40026</v>
      </c>
      <c r="K2" s="43">
        <f>Gerencial!K2</f>
        <v>40057</v>
      </c>
      <c r="L2" s="43">
        <f>Gerencial!L2</f>
        <v>40087</v>
      </c>
      <c r="M2" s="43">
        <f>Gerencial!M2</f>
        <v>40118</v>
      </c>
      <c r="N2" s="43">
        <f>Gerencial!N2</f>
        <v>40148</v>
      </c>
      <c r="O2" s="43">
        <f>Gerencial!O2</f>
        <v>40179</v>
      </c>
      <c r="P2" s="43">
        <f>Gerencial!P2</f>
        <v>40210</v>
      </c>
      <c r="Q2" s="43">
        <f>Gerencial!Q2</f>
        <v>40238</v>
      </c>
      <c r="R2" s="43">
        <f>Gerencial!R2</f>
        <v>40269</v>
      </c>
      <c r="S2" s="43">
        <f>Gerencial!S2</f>
        <v>40299</v>
      </c>
      <c r="T2" s="43">
        <f>Gerencial!T2</f>
        <v>40330</v>
      </c>
      <c r="U2" s="43">
        <f>Gerencial!U2</f>
        <v>40360</v>
      </c>
      <c r="V2" s="43">
        <f>Gerencial!V2</f>
        <v>40391</v>
      </c>
      <c r="W2" s="43">
        <f>Gerencial!W2</f>
        <v>40422</v>
      </c>
      <c r="X2" s="43">
        <f>Gerencial!X2</f>
        <v>40452</v>
      </c>
      <c r="Y2" s="43">
        <f>Gerencial!Y2</f>
        <v>40483</v>
      </c>
      <c r="Z2" s="43">
        <f>Gerencial!Z2</f>
        <v>40513</v>
      </c>
      <c r="AA2" s="43">
        <f>Gerencial!AA2</f>
        <v>40544</v>
      </c>
      <c r="AB2" s="43">
        <f>Gerencial!AB2</f>
        <v>40575</v>
      </c>
      <c r="AC2" s="43">
        <f>Gerencial!AC2</f>
        <v>40603</v>
      </c>
      <c r="AD2" s="43">
        <f>Gerencial!AD2</f>
        <v>40634</v>
      </c>
      <c r="AE2" s="43">
        <f>Gerencial!AE2</f>
        <v>40664</v>
      </c>
      <c r="AF2" s="43">
        <f>Gerencial!AF2</f>
        <v>40695</v>
      </c>
      <c r="AG2" s="43">
        <f>Gerencial!AG2</f>
        <v>40725</v>
      </c>
      <c r="AH2" s="43">
        <f>Gerencial!AH2</f>
        <v>40756</v>
      </c>
      <c r="AI2" s="43">
        <f>Gerencial!AI2</f>
        <v>40787</v>
      </c>
      <c r="AJ2" s="43">
        <f>Gerencial!AJ2</f>
        <v>40817</v>
      </c>
      <c r="AK2" s="43">
        <f>Gerencial!AK2</f>
        <v>40848</v>
      </c>
      <c r="AL2" s="43">
        <f>Gerencial!AL2</f>
        <v>40878</v>
      </c>
      <c r="AM2" s="43">
        <f>Gerencial!AM2</f>
        <v>40909</v>
      </c>
      <c r="AN2" s="43">
        <f>Gerencial!AN2</f>
        <v>40940</v>
      </c>
      <c r="AO2" s="43">
        <f>Gerencial!AO2</f>
        <v>40969</v>
      </c>
      <c r="AP2" s="43">
        <f>Gerencial!AP2</f>
        <v>41000</v>
      </c>
      <c r="AQ2" s="43">
        <f>Gerencial!AQ2</f>
        <v>41030</v>
      </c>
      <c r="AR2" s="43">
        <f>Gerencial!AR2</f>
        <v>41061</v>
      </c>
      <c r="AS2" s="43">
        <f>Gerencial!AS2</f>
        <v>41091</v>
      </c>
      <c r="AT2" s="43">
        <f>Gerencial!AT2</f>
        <v>41122</v>
      </c>
      <c r="AU2" s="43">
        <f>Gerencial!AU2</f>
        <v>41153</v>
      </c>
      <c r="AV2" s="43">
        <f>Gerencial!AV2</f>
        <v>41183</v>
      </c>
      <c r="AW2" s="43">
        <f>Gerencial!AW2</f>
        <v>41214</v>
      </c>
      <c r="AX2" s="43">
        <f>Gerencial!AX2</f>
        <v>41244</v>
      </c>
      <c r="AY2" s="43">
        <f>Gerencial!AY2</f>
        <v>41275</v>
      </c>
      <c r="AZ2" s="43">
        <f>Gerencial!AZ2</f>
        <v>41306</v>
      </c>
      <c r="BA2" s="43">
        <f>Gerencial!BA2</f>
        <v>41334</v>
      </c>
      <c r="BB2" s="43">
        <f>Gerencial!BB2</f>
        <v>41365</v>
      </c>
      <c r="BC2" s="43">
        <f>Gerencial!BC2</f>
        <v>41395</v>
      </c>
      <c r="BD2" s="43">
        <f>Gerencial!BD2</f>
        <v>41426</v>
      </c>
      <c r="BE2" s="43">
        <f>Gerencial!BE2</f>
        <v>41456</v>
      </c>
      <c r="BF2" s="43">
        <f>Gerencial!BF2</f>
        <v>41487</v>
      </c>
      <c r="BG2" s="43">
        <f>Gerencial!BG2</f>
        <v>41518</v>
      </c>
      <c r="BH2" s="43">
        <f>Gerencial!BH2</f>
        <v>41548</v>
      </c>
      <c r="BI2" s="43">
        <f>Gerencial!BI2</f>
        <v>41579</v>
      </c>
      <c r="BJ2" s="43">
        <f>Gerencial!BJ2</f>
        <v>41609</v>
      </c>
      <c r="BK2" s="44">
        <v>41640</v>
      </c>
      <c r="BL2" s="44">
        <v>41671</v>
      </c>
      <c r="BM2" s="44">
        <v>41699</v>
      </c>
      <c r="BN2" s="44">
        <v>41730</v>
      </c>
      <c r="BO2" s="44">
        <v>41760</v>
      </c>
      <c r="BP2" s="44">
        <v>41791</v>
      </c>
      <c r="BQ2" s="44">
        <v>41821</v>
      </c>
      <c r="BR2" s="44">
        <v>41852</v>
      </c>
      <c r="BS2" s="44">
        <v>41883</v>
      </c>
      <c r="BT2" s="44">
        <v>41913</v>
      </c>
      <c r="BU2" s="44">
        <v>41944</v>
      </c>
      <c r="BV2" s="44">
        <v>41974</v>
      </c>
      <c r="BW2" s="44">
        <v>42005</v>
      </c>
      <c r="BX2" s="44">
        <v>42036</v>
      </c>
      <c r="BY2" s="44">
        <v>42064</v>
      </c>
      <c r="BZ2" s="44">
        <v>42095</v>
      </c>
      <c r="CA2" s="44">
        <v>42125</v>
      </c>
      <c r="CB2" s="44">
        <v>42156</v>
      </c>
      <c r="CC2" s="44">
        <v>42186</v>
      </c>
      <c r="CD2" s="44">
        <v>42217</v>
      </c>
      <c r="CE2" s="44">
        <v>42248</v>
      </c>
      <c r="CF2" s="44">
        <v>42278</v>
      </c>
      <c r="CG2" s="44">
        <v>42309</v>
      </c>
      <c r="CH2" s="45">
        <v>42339</v>
      </c>
    </row>
    <row r="3" spans="2:86" ht="13.5" x14ac:dyDescent="0.25">
      <c r="B3" s="46" t="s">
        <v>4</v>
      </c>
      <c r="C3" s="29">
        <f>Gerencial!C4</f>
        <v>5797</v>
      </c>
      <c r="D3" s="29">
        <f>Gerencial!D4</f>
        <v>5236</v>
      </c>
      <c r="E3" s="29">
        <f>Gerencial!E4</f>
        <v>5797</v>
      </c>
      <c r="F3" s="29">
        <f>Gerencial!F4</f>
        <v>5610</v>
      </c>
      <c r="G3" s="29">
        <f>Gerencial!G4</f>
        <v>5797</v>
      </c>
      <c r="H3" s="29">
        <f>Gerencial!H4</f>
        <v>5610</v>
      </c>
      <c r="I3" s="29">
        <f>Gerencial!I4</f>
        <v>5797</v>
      </c>
      <c r="J3" s="29">
        <f>Gerencial!J4</f>
        <v>5797</v>
      </c>
      <c r="K3" s="29">
        <f>Gerencial!K4</f>
        <v>5610</v>
      </c>
      <c r="L3" s="29">
        <f>Gerencial!L4</f>
        <v>5797</v>
      </c>
      <c r="M3" s="29">
        <f>Gerencial!M4</f>
        <v>5610</v>
      </c>
      <c r="N3" s="29">
        <f>Gerencial!N4</f>
        <v>3740</v>
      </c>
      <c r="O3" s="29">
        <f>Gerencial!O4</f>
        <v>1397</v>
      </c>
      <c r="P3" s="29">
        <f>Gerencial!P4</f>
        <v>4241</v>
      </c>
      <c r="Q3" s="29">
        <f>Gerencial!Q4</f>
        <v>5713</v>
      </c>
      <c r="R3" s="29">
        <f>Gerencial!R4</f>
        <v>5610</v>
      </c>
      <c r="S3" s="29">
        <f>Gerencial!S4</f>
        <v>5797</v>
      </c>
      <c r="T3" s="29">
        <f>Gerencial!T4</f>
        <v>5610</v>
      </c>
      <c r="U3" s="29">
        <f>Gerencial!U4</f>
        <v>5797</v>
      </c>
      <c r="V3" s="29">
        <f>Gerencial!V4</f>
        <v>5797</v>
      </c>
      <c r="W3" s="29">
        <f>Gerencial!W4</f>
        <v>5610</v>
      </c>
      <c r="X3" s="29">
        <f>Gerencial!X4</f>
        <v>5797</v>
      </c>
      <c r="Y3" s="29">
        <f>Gerencial!Y4</f>
        <v>5610</v>
      </c>
      <c r="Z3" s="29">
        <f>Gerencial!Z4</f>
        <v>5797</v>
      </c>
      <c r="AA3" s="29">
        <f>Gerencial!AA4</f>
        <v>3937</v>
      </c>
      <c r="AB3" s="29">
        <f>Gerencial!AB4</f>
        <v>3946</v>
      </c>
      <c r="AC3" s="29">
        <f>Gerencial!AC4</f>
        <v>5485</v>
      </c>
      <c r="AD3" s="29">
        <f>Gerencial!AD4</f>
        <v>5610</v>
      </c>
      <c r="AE3" s="29">
        <f>Gerencial!AE4</f>
        <v>5797</v>
      </c>
      <c r="AF3" s="29">
        <f>Gerencial!AF4</f>
        <v>5610</v>
      </c>
      <c r="AG3" s="29">
        <f>Gerencial!AG4</f>
        <v>5797</v>
      </c>
      <c r="AH3" s="29">
        <f>Gerencial!AH4</f>
        <v>5797</v>
      </c>
      <c r="AI3" s="29">
        <f>Gerencial!AI4</f>
        <v>5610</v>
      </c>
      <c r="AJ3" s="29">
        <f>Gerencial!AJ4</f>
        <v>5797</v>
      </c>
      <c r="AK3" s="29">
        <f>Gerencial!AK4</f>
        <v>5610</v>
      </c>
      <c r="AL3" s="29">
        <f>Gerencial!AL4</f>
        <v>5797</v>
      </c>
      <c r="AM3" s="29">
        <f>Gerencial!AM4</f>
        <v>5797</v>
      </c>
      <c r="AN3" s="29">
        <f>Gerencial!AN4</f>
        <v>5423</v>
      </c>
      <c r="AO3" s="29">
        <f>Gerencial!AO4</f>
        <v>5797</v>
      </c>
      <c r="AP3" s="29">
        <f>Gerencial!AP4</f>
        <v>5610</v>
      </c>
      <c r="AQ3" s="29">
        <f>Gerencial!AQ4</f>
        <v>5797</v>
      </c>
      <c r="AR3" s="29">
        <f>Gerencial!AR4</f>
        <v>5610</v>
      </c>
      <c r="AS3" s="29">
        <f>Gerencial!AS4</f>
        <v>5797</v>
      </c>
      <c r="AT3" s="29">
        <f>Gerencial!AT4</f>
        <v>5797</v>
      </c>
      <c r="AU3" s="29">
        <f>Gerencial!AU4</f>
        <v>5610</v>
      </c>
      <c r="AV3" s="29">
        <f>Gerencial!AV4</f>
        <v>5797</v>
      </c>
      <c r="AW3" s="29">
        <f>Gerencial!AW4</f>
        <v>5610</v>
      </c>
      <c r="AX3" s="29">
        <f>Gerencial!AX4</f>
        <v>5797</v>
      </c>
      <c r="AY3" s="29">
        <f>Gerencial!AY4</f>
        <v>5797</v>
      </c>
      <c r="AZ3" s="29">
        <f>Gerencial!AZ4</f>
        <v>5236</v>
      </c>
      <c r="BA3" s="29">
        <f>Gerencial!BA4</f>
        <v>5797</v>
      </c>
      <c r="BB3" s="29">
        <f>Gerencial!BB4</f>
        <v>5610</v>
      </c>
      <c r="BC3" s="29">
        <f>Gerencial!BC4</f>
        <v>5797</v>
      </c>
      <c r="BD3" s="29">
        <f>Gerencial!BD4</f>
        <v>5610</v>
      </c>
      <c r="BE3" s="29">
        <f>Gerencial!BE4</f>
        <v>5797</v>
      </c>
      <c r="BF3" s="29">
        <f>Gerencial!BF4</f>
        <v>5797</v>
      </c>
      <c r="BG3" s="29">
        <f>Gerencial!BG4</f>
        <v>5610</v>
      </c>
      <c r="BH3" s="29">
        <f>Gerencial!BH4</f>
        <v>5797</v>
      </c>
      <c r="BI3" s="29">
        <f>Gerencial!BI4</f>
        <v>5610</v>
      </c>
      <c r="BJ3" s="29">
        <f>Gerencial!BJ4</f>
        <v>5797</v>
      </c>
      <c r="BK3" s="19">
        <f>AVERAGE(AY3:BJ3)</f>
        <v>5687.916666666667</v>
      </c>
      <c r="BL3" s="19">
        <f t="shared" ref="BL3:CH3" si="0">AVERAGE(AZ3:BK3)</f>
        <v>5678.8263888888896</v>
      </c>
      <c r="BM3" s="19">
        <f t="shared" si="0"/>
        <v>5715.7285879629626</v>
      </c>
      <c r="BN3" s="19">
        <f t="shared" si="0"/>
        <v>5708.9559702932092</v>
      </c>
      <c r="BO3" s="19">
        <f t="shared" si="0"/>
        <v>5717.2023011509773</v>
      </c>
      <c r="BP3" s="19">
        <f t="shared" si="0"/>
        <v>5710.5524929135581</v>
      </c>
      <c r="BQ3" s="19">
        <f t="shared" si="0"/>
        <v>5718.9318673230218</v>
      </c>
      <c r="BR3" s="19">
        <f t="shared" si="0"/>
        <v>5712.4261895999398</v>
      </c>
      <c r="BS3" s="19">
        <f t="shared" si="0"/>
        <v>5705.3783720666024</v>
      </c>
      <c r="BT3" s="19">
        <f t="shared" si="0"/>
        <v>5713.3265697388188</v>
      </c>
      <c r="BU3" s="19">
        <f t="shared" si="0"/>
        <v>5706.3537838837192</v>
      </c>
      <c r="BV3" s="19">
        <f t="shared" si="0"/>
        <v>5714.3832658740312</v>
      </c>
      <c r="BW3" s="19">
        <f t="shared" si="0"/>
        <v>5707.4985380301996</v>
      </c>
      <c r="BX3" s="19">
        <f t="shared" si="0"/>
        <v>5709.1303606438269</v>
      </c>
      <c r="BY3" s="19">
        <f t="shared" si="0"/>
        <v>5711.6556916234067</v>
      </c>
      <c r="BZ3" s="19">
        <f t="shared" si="0"/>
        <v>5711.3162835951107</v>
      </c>
      <c r="CA3" s="19">
        <f t="shared" si="0"/>
        <v>5711.512976370268</v>
      </c>
      <c r="CB3" s="19">
        <f t="shared" si="0"/>
        <v>5711.0388659718747</v>
      </c>
      <c r="CC3" s="19">
        <f t="shared" si="0"/>
        <v>5711.079397060068</v>
      </c>
      <c r="CD3" s="19">
        <f t="shared" si="0"/>
        <v>5710.4250245381545</v>
      </c>
      <c r="CE3" s="19">
        <f t="shared" si="0"/>
        <v>5710.2582607830054</v>
      </c>
      <c r="CF3" s="19">
        <f t="shared" si="0"/>
        <v>5710.6649181760404</v>
      </c>
      <c r="CG3" s="19">
        <f t="shared" si="0"/>
        <v>5710.4431138791415</v>
      </c>
      <c r="CH3" s="20">
        <f t="shared" si="0"/>
        <v>5710.78389137876</v>
      </c>
    </row>
    <row r="4" spans="2:86" ht="13.5" x14ac:dyDescent="0.25">
      <c r="B4" s="46" t="s">
        <v>5</v>
      </c>
      <c r="C4" s="29">
        <f>Gerencial!C5</f>
        <v>2454</v>
      </c>
      <c r="D4" s="29">
        <f>Gerencial!D5</f>
        <v>2340</v>
      </c>
      <c r="E4" s="29">
        <f>Gerencial!E5</f>
        <v>3731</v>
      </c>
      <c r="F4" s="29">
        <f>Gerencial!F5</f>
        <v>3261</v>
      </c>
      <c r="G4" s="29">
        <f>Gerencial!G5</f>
        <v>3435</v>
      </c>
      <c r="H4" s="29">
        <f>Gerencial!H5</f>
        <v>3169</v>
      </c>
      <c r="I4" s="29">
        <f>Gerencial!I5</f>
        <v>2954</v>
      </c>
      <c r="J4" s="29">
        <f>Gerencial!J5</f>
        <v>3989</v>
      </c>
      <c r="K4" s="29">
        <f>Gerencial!K5</f>
        <v>4173</v>
      </c>
      <c r="L4" s="29">
        <f>Gerencial!L5</f>
        <v>4043</v>
      </c>
      <c r="M4" s="29">
        <f>Gerencial!M5</f>
        <v>3692</v>
      </c>
      <c r="N4" s="29">
        <f>Gerencial!N5</f>
        <v>2131</v>
      </c>
      <c r="O4" s="29">
        <f>Gerencial!O5</f>
        <v>548</v>
      </c>
      <c r="P4" s="29">
        <f>Gerencial!P5</f>
        <v>2496</v>
      </c>
      <c r="Q4" s="29">
        <f>Gerencial!Q5</f>
        <v>3713</v>
      </c>
      <c r="R4" s="29">
        <f>Gerencial!R5</f>
        <v>3737</v>
      </c>
      <c r="S4" s="29">
        <f>Gerencial!S5</f>
        <v>3572</v>
      </c>
      <c r="T4" s="29">
        <f>Gerencial!T5</f>
        <v>3361</v>
      </c>
      <c r="U4" s="29">
        <f>Gerencial!U5</f>
        <v>3474</v>
      </c>
      <c r="V4" s="29">
        <f>Gerencial!V5</f>
        <v>3917</v>
      </c>
      <c r="W4" s="29">
        <f>Gerencial!W5</f>
        <v>3368</v>
      </c>
      <c r="X4" s="29">
        <f>Gerencial!X5</f>
        <v>3267</v>
      </c>
      <c r="Y4" s="29">
        <f>Gerencial!Y5</f>
        <v>4364</v>
      </c>
      <c r="Z4" s="29">
        <f>Gerencial!Z5</f>
        <v>2916</v>
      </c>
      <c r="AA4" s="29">
        <f>Gerencial!AA5</f>
        <v>2128</v>
      </c>
      <c r="AB4" s="29">
        <f>Gerencial!AB5</f>
        <v>2388</v>
      </c>
      <c r="AC4" s="29">
        <f>Gerencial!AC5</f>
        <v>2920</v>
      </c>
      <c r="AD4" s="29">
        <f>Gerencial!AD5</f>
        <v>3119</v>
      </c>
      <c r="AE4" s="29">
        <f>Gerencial!AE5</f>
        <v>3389</v>
      </c>
      <c r="AF4" s="29">
        <f>Gerencial!AF5</f>
        <v>3529</v>
      </c>
      <c r="AG4" s="29">
        <f>Gerencial!AG5</f>
        <v>2972</v>
      </c>
      <c r="AH4" s="29">
        <f>Gerencial!AH5</f>
        <v>4011</v>
      </c>
      <c r="AI4" s="29">
        <f>Gerencial!AI5</f>
        <v>3616</v>
      </c>
      <c r="AJ4" s="29">
        <f>Gerencial!AJ5</f>
        <v>3339</v>
      </c>
      <c r="AK4" s="29">
        <f>Gerencial!AK5</f>
        <v>3725</v>
      </c>
      <c r="AL4" s="29">
        <f>Gerencial!AL5</f>
        <v>3245</v>
      </c>
      <c r="AM4" s="29">
        <f>Gerencial!AM5</f>
        <v>2525</v>
      </c>
      <c r="AN4" s="29">
        <f>Gerencial!AN5</f>
        <v>3060</v>
      </c>
      <c r="AO4" s="29">
        <f>Gerencial!AO5</f>
        <v>4080</v>
      </c>
      <c r="AP4" s="29">
        <f>Gerencial!AP5</f>
        <v>3122</v>
      </c>
      <c r="AQ4" s="29">
        <f>Gerencial!AQ5</f>
        <v>3725</v>
      </c>
      <c r="AR4" s="29">
        <f>Gerencial!AR5</f>
        <v>3239</v>
      </c>
      <c r="AS4" s="29">
        <f>Gerencial!AS5</f>
        <v>3412</v>
      </c>
      <c r="AT4" s="29">
        <f>Gerencial!AT5</f>
        <v>4117</v>
      </c>
      <c r="AU4" s="29">
        <f>Gerencial!AU5</f>
        <v>3208</v>
      </c>
      <c r="AV4" s="29">
        <f>Gerencial!AV5</f>
        <v>3284</v>
      </c>
      <c r="AW4" s="29">
        <f>Gerencial!AW5</f>
        <v>3418</v>
      </c>
      <c r="AX4" s="29">
        <f>Gerencial!AX5</f>
        <v>2722</v>
      </c>
      <c r="AY4" s="29">
        <f>Gerencial!AY5</f>
        <v>2137</v>
      </c>
      <c r="AZ4" s="29">
        <f>Gerencial!AZ5</f>
        <v>2088</v>
      </c>
      <c r="BA4" s="29">
        <f>Gerencial!BA5</f>
        <v>3079</v>
      </c>
      <c r="BB4" s="29">
        <f>Gerencial!BB5</f>
        <v>3293</v>
      </c>
      <c r="BC4" s="29">
        <f>Gerencial!BC5</f>
        <v>2920</v>
      </c>
      <c r="BD4" s="29">
        <f>Gerencial!BD5</f>
        <v>3655</v>
      </c>
      <c r="BE4" s="29">
        <f>Gerencial!BE5</f>
        <v>2761</v>
      </c>
      <c r="BF4" s="29">
        <f>Gerencial!BF5</f>
        <v>3176</v>
      </c>
      <c r="BG4" s="29">
        <f>Gerencial!BG5</f>
        <v>3218</v>
      </c>
      <c r="BH4" s="29">
        <f>Gerencial!BH5</f>
        <v>3624</v>
      </c>
      <c r="BI4" s="29">
        <f>Gerencial!BI5</f>
        <v>3769</v>
      </c>
      <c r="BJ4" s="29">
        <f>Gerencial!BJ5</f>
        <v>2891</v>
      </c>
      <c r="BK4" s="19">
        <f t="shared" ref="BK4:CH4" si="1">BK3*BK5</f>
        <v>2457.5368724070781</v>
      </c>
      <c r="BL4" s="19">
        <f t="shared" si="1"/>
        <v>2957.1435357780456</v>
      </c>
      <c r="BM4" s="19">
        <f t="shared" si="1"/>
        <v>3498.9862428833976</v>
      </c>
      <c r="BN4" s="19">
        <f t="shared" si="1"/>
        <v>3535.9909643454221</v>
      </c>
      <c r="BO4" s="19">
        <f t="shared" si="1"/>
        <v>3589.9730468127736</v>
      </c>
      <c r="BP4" s="19">
        <f t="shared" si="1"/>
        <v>3736.9000457638076</v>
      </c>
      <c r="BQ4" s="19">
        <f t="shared" si="1"/>
        <v>3472.9809481465049</v>
      </c>
      <c r="BR4" s="19">
        <f t="shared" si="1"/>
        <v>4014.4451967030191</v>
      </c>
      <c r="BS4" s="19">
        <f t="shared" si="1"/>
        <v>3576.3874479874175</v>
      </c>
      <c r="BT4" s="19">
        <f t="shared" si="1"/>
        <v>3219.8443856023327</v>
      </c>
      <c r="BU4" s="19">
        <f t="shared" si="1"/>
        <v>4438.9532821512566</v>
      </c>
      <c r="BV4" s="19">
        <f t="shared" si="1"/>
        <v>2874.4422293063094</v>
      </c>
      <c r="BW4" s="19">
        <f t="shared" si="1"/>
        <v>2465.9974694458206</v>
      </c>
      <c r="BX4" s="19">
        <f t="shared" si="1"/>
        <v>2972.9237671228266</v>
      </c>
      <c r="BY4" s="19">
        <f t="shared" si="1"/>
        <v>3496.492946002435</v>
      </c>
      <c r="BZ4" s="19">
        <f t="shared" si="1"/>
        <v>3366.1133975185162</v>
      </c>
      <c r="CA4" s="19">
        <f t="shared" si="1"/>
        <v>3357.9400596972823</v>
      </c>
      <c r="CB4" s="19">
        <f t="shared" si="1"/>
        <v>3451.6663777119848</v>
      </c>
      <c r="CC4" s="19">
        <f t="shared" si="1"/>
        <v>3068.4367586826438</v>
      </c>
      <c r="CD4" s="19">
        <f t="shared" si="1"/>
        <v>3784.621863770155</v>
      </c>
      <c r="CE4" s="19">
        <f t="shared" si="1"/>
        <v>3579.4463814384167</v>
      </c>
      <c r="CF4" s="19">
        <f t="shared" si="1"/>
        <v>3459.1045012391492</v>
      </c>
      <c r="CG4" s="19">
        <f t="shared" si="1"/>
        <v>3861.521746312284</v>
      </c>
      <c r="CH4" s="20">
        <f t="shared" si="1"/>
        <v>2970.5631971541188</v>
      </c>
    </row>
    <row r="5" spans="2:86" ht="13.5" x14ac:dyDescent="0.25">
      <c r="B5" s="50" t="s">
        <v>99</v>
      </c>
      <c r="C5" s="53">
        <f t="shared" ref="C5:AH5" si="2">C4/C3</f>
        <v>0.4233224081421425</v>
      </c>
      <c r="D5" s="53">
        <f t="shared" si="2"/>
        <v>0.44690603514132926</v>
      </c>
      <c r="E5" s="53">
        <f t="shared" si="2"/>
        <v>0.64360876315335513</v>
      </c>
      <c r="F5" s="53">
        <f t="shared" si="2"/>
        <v>0.58128342245989306</v>
      </c>
      <c r="G5" s="53">
        <f t="shared" si="2"/>
        <v>0.59254786958771777</v>
      </c>
      <c r="H5" s="53">
        <f t="shared" si="2"/>
        <v>0.56488413547237082</v>
      </c>
      <c r="I5" s="53">
        <f t="shared" si="2"/>
        <v>0.50957391754355696</v>
      </c>
      <c r="J5" s="53">
        <f t="shared" si="2"/>
        <v>0.68811454200448507</v>
      </c>
      <c r="K5" s="53">
        <f t="shared" si="2"/>
        <v>0.74385026737967919</v>
      </c>
      <c r="L5" s="53">
        <f t="shared" si="2"/>
        <v>0.69742970501983781</v>
      </c>
      <c r="M5" s="53">
        <f t="shared" si="2"/>
        <v>0.65811051693404632</v>
      </c>
      <c r="N5" s="53">
        <f t="shared" si="2"/>
        <v>0.56978609625668453</v>
      </c>
      <c r="O5" s="53">
        <f t="shared" si="2"/>
        <v>0.39226914817465997</v>
      </c>
      <c r="P5" s="53">
        <f t="shared" si="2"/>
        <v>0.58854043857580762</v>
      </c>
      <c r="Q5" s="53">
        <f t="shared" si="2"/>
        <v>0.6499212322772624</v>
      </c>
      <c r="R5" s="53">
        <f t="shared" si="2"/>
        <v>0.6661319073083779</v>
      </c>
      <c r="S5" s="53">
        <f t="shared" si="2"/>
        <v>0.61618078316370539</v>
      </c>
      <c r="T5" s="53">
        <f t="shared" si="2"/>
        <v>0.59910873440285206</v>
      </c>
      <c r="U5" s="53">
        <f t="shared" si="2"/>
        <v>0.59927548732102809</v>
      </c>
      <c r="V5" s="53">
        <f t="shared" si="2"/>
        <v>0.67569432465068135</v>
      </c>
      <c r="W5" s="53">
        <f t="shared" si="2"/>
        <v>0.60035650623885917</v>
      </c>
      <c r="X5" s="53">
        <f t="shared" si="2"/>
        <v>0.56356736242884253</v>
      </c>
      <c r="Y5" s="53">
        <f t="shared" si="2"/>
        <v>0.77789661319073089</v>
      </c>
      <c r="Z5" s="53">
        <f t="shared" si="2"/>
        <v>0.50301880282904954</v>
      </c>
      <c r="AA5" s="53">
        <f t="shared" si="2"/>
        <v>0.54051308102616202</v>
      </c>
      <c r="AB5" s="53">
        <f t="shared" si="2"/>
        <v>0.60516979219462752</v>
      </c>
      <c r="AC5" s="53">
        <f t="shared" si="2"/>
        <v>0.53236098450319047</v>
      </c>
      <c r="AD5" s="53">
        <f t="shared" si="2"/>
        <v>0.55597147950089132</v>
      </c>
      <c r="AE5" s="53">
        <f t="shared" si="2"/>
        <v>0.58461273072278763</v>
      </c>
      <c r="AF5" s="53">
        <f t="shared" si="2"/>
        <v>0.62905525846702315</v>
      </c>
      <c r="AG5" s="53">
        <f t="shared" si="2"/>
        <v>0.51267897188200795</v>
      </c>
      <c r="AH5" s="53">
        <f t="shared" si="2"/>
        <v>0.6919096084181473</v>
      </c>
      <c r="AI5" s="53">
        <f t="shared" ref="AI5:BJ5" si="3">AI4/AI3</f>
        <v>0.64456327985739748</v>
      </c>
      <c r="AJ5" s="53">
        <f t="shared" si="3"/>
        <v>0.57598757978264614</v>
      </c>
      <c r="AK5" s="53">
        <f t="shared" si="3"/>
        <v>0.66399286987522277</v>
      </c>
      <c r="AL5" s="53">
        <f t="shared" si="3"/>
        <v>0.5597722960151803</v>
      </c>
      <c r="AM5" s="53">
        <f t="shared" si="3"/>
        <v>0.43557012247714333</v>
      </c>
      <c r="AN5" s="53">
        <f t="shared" si="3"/>
        <v>0.56426332288401249</v>
      </c>
      <c r="AO5" s="53">
        <f t="shared" si="3"/>
        <v>0.70381231671554256</v>
      </c>
      <c r="AP5" s="53">
        <f t="shared" si="3"/>
        <v>0.55650623885918005</v>
      </c>
      <c r="AQ5" s="53">
        <f t="shared" si="3"/>
        <v>0.64257374504053821</v>
      </c>
      <c r="AR5" s="53">
        <f t="shared" si="3"/>
        <v>0.5773618538324421</v>
      </c>
      <c r="AS5" s="53">
        <f t="shared" si="3"/>
        <v>0.58858030015525276</v>
      </c>
      <c r="AT5" s="53">
        <f t="shared" si="3"/>
        <v>0.71019492841124721</v>
      </c>
      <c r="AU5" s="53">
        <f t="shared" si="3"/>
        <v>0.57183600713012472</v>
      </c>
      <c r="AV5" s="53">
        <f t="shared" si="3"/>
        <v>0.56649991374849062</v>
      </c>
      <c r="AW5" s="53">
        <f t="shared" si="3"/>
        <v>0.60926916221033867</v>
      </c>
      <c r="AX5" s="53">
        <f t="shared" si="3"/>
        <v>0.46955321718130066</v>
      </c>
      <c r="AY5" s="53">
        <f t="shared" si="3"/>
        <v>0.36863895118164569</v>
      </c>
      <c r="AZ5" s="53">
        <f t="shared" si="3"/>
        <v>0.39877769289533993</v>
      </c>
      <c r="BA5" s="53">
        <f t="shared" si="3"/>
        <v>0.53113679489391064</v>
      </c>
      <c r="BB5" s="53">
        <f t="shared" si="3"/>
        <v>0.58698752228163997</v>
      </c>
      <c r="BC5" s="53">
        <f t="shared" si="3"/>
        <v>0.50370881490426078</v>
      </c>
      <c r="BD5" s="53">
        <f t="shared" si="3"/>
        <v>0.65151515151515149</v>
      </c>
      <c r="BE5" s="53">
        <f t="shared" si="3"/>
        <v>0.47628083491461098</v>
      </c>
      <c r="BF5" s="53">
        <f t="shared" si="3"/>
        <v>0.54786958771778504</v>
      </c>
      <c r="BG5" s="53">
        <f t="shared" si="3"/>
        <v>0.57361853832442067</v>
      </c>
      <c r="BH5" s="53">
        <f t="shared" si="3"/>
        <v>0.62515094014145245</v>
      </c>
      <c r="BI5" s="53">
        <f t="shared" si="3"/>
        <v>0.67183600713012481</v>
      </c>
      <c r="BJ5" s="53">
        <f t="shared" si="3"/>
        <v>0.49870622735897879</v>
      </c>
      <c r="BK5" s="54">
        <f t="shared" ref="BK5:BV5" si="4">C15</f>
        <v>0.43206274220035068</v>
      </c>
      <c r="BL5" s="54">
        <f t="shared" si="4"/>
        <v>0.52073145633822338</v>
      </c>
      <c r="BM5" s="54">
        <f t="shared" si="4"/>
        <v>0.6121680183086522</v>
      </c>
      <c r="BN5" s="54">
        <f t="shared" si="4"/>
        <v>0.61937611408199655</v>
      </c>
      <c r="BO5" s="54">
        <f t="shared" si="4"/>
        <v>0.62792478868380197</v>
      </c>
      <c r="BP5" s="54">
        <f t="shared" si="4"/>
        <v>0.65438502673796783</v>
      </c>
      <c r="BQ5" s="54">
        <f t="shared" si="4"/>
        <v>0.60727790236329127</v>
      </c>
      <c r="BR5" s="54">
        <f t="shared" si="4"/>
        <v>0.70275659824046921</v>
      </c>
      <c r="BS5" s="54">
        <f t="shared" si="4"/>
        <v>0.62684491978609624</v>
      </c>
      <c r="BT5" s="54">
        <f t="shared" si="4"/>
        <v>0.56356736242884253</v>
      </c>
      <c r="BU5" s="54">
        <f t="shared" si="4"/>
        <v>0.77789661319073089</v>
      </c>
      <c r="BV5" s="54">
        <f t="shared" si="4"/>
        <v>0.50301880282904954</v>
      </c>
      <c r="BW5" s="54">
        <f t="shared" ref="BW5:CH5" si="5">C16</f>
        <v>0.43206274220035068</v>
      </c>
      <c r="BX5" s="54">
        <f t="shared" si="5"/>
        <v>0.52073145633822338</v>
      </c>
      <c r="BY5" s="54">
        <f t="shared" si="5"/>
        <v>0.6121680183086522</v>
      </c>
      <c r="BZ5" s="54">
        <f t="shared" si="5"/>
        <v>0.58937611408199653</v>
      </c>
      <c r="CA5" s="54">
        <f t="shared" si="5"/>
        <v>0.58792478868380194</v>
      </c>
      <c r="CB5" s="54">
        <f t="shared" si="5"/>
        <v>0.60438502673796779</v>
      </c>
      <c r="CC5" s="54">
        <f t="shared" si="5"/>
        <v>0.53727790236329132</v>
      </c>
      <c r="CD5" s="54">
        <f t="shared" si="5"/>
        <v>0.66275659824046917</v>
      </c>
      <c r="CE5" s="54">
        <f t="shared" si="5"/>
        <v>0.62684491978609624</v>
      </c>
      <c r="CF5" s="54">
        <f t="shared" si="5"/>
        <v>0.60572710022425391</v>
      </c>
      <c r="CG5" s="54">
        <f t="shared" si="5"/>
        <v>0.67622103386809274</v>
      </c>
      <c r="CH5" s="55">
        <f t="shared" si="5"/>
        <v>0.52016732792823872</v>
      </c>
    </row>
    <row r="7" spans="2:86" ht="13.5" x14ac:dyDescent="0.25">
      <c r="B7" s="14" t="s">
        <v>99</v>
      </c>
      <c r="C7" s="15" t="s">
        <v>51</v>
      </c>
      <c r="D7" s="15" t="s">
        <v>52</v>
      </c>
      <c r="E7" s="15" t="s">
        <v>53</v>
      </c>
      <c r="F7" s="15" t="s">
        <v>54</v>
      </c>
      <c r="G7" s="15" t="s">
        <v>55</v>
      </c>
      <c r="H7" s="15" t="s">
        <v>56</v>
      </c>
      <c r="I7" s="15" t="s">
        <v>57</v>
      </c>
      <c r="J7" s="15" t="s">
        <v>58</v>
      </c>
      <c r="K7" s="15" t="s">
        <v>59</v>
      </c>
      <c r="L7" s="15" t="s">
        <v>60</v>
      </c>
      <c r="M7" s="15" t="s">
        <v>61</v>
      </c>
      <c r="N7" s="16" t="s">
        <v>62</v>
      </c>
    </row>
    <row r="8" spans="2:86" ht="13.5" x14ac:dyDescent="0.25">
      <c r="B8" s="46">
        <v>2009</v>
      </c>
      <c r="C8" s="47">
        <f t="shared" ref="C8:N8" si="6">C5</f>
        <v>0.4233224081421425</v>
      </c>
      <c r="D8" s="47">
        <f t="shared" si="6"/>
        <v>0.44690603514132926</v>
      </c>
      <c r="E8" s="47">
        <f t="shared" si="6"/>
        <v>0.64360876315335513</v>
      </c>
      <c r="F8" s="47">
        <f t="shared" si="6"/>
        <v>0.58128342245989306</v>
      </c>
      <c r="G8" s="47">
        <f t="shared" si="6"/>
        <v>0.59254786958771777</v>
      </c>
      <c r="H8" s="47">
        <f t="shared" si="6"/>
        <v>0.56488413547237082</v>
      </c>
      <c r="I8" s="47">
        <f t="shared" si="6"/>
        <v>0.50957391754355696</v>
      </c>
      <c r="J8" s="47">
        <f t="shared" si="6"/>
        <v>0.68811454200448507</v>
      </c>
      <c r="K8" s="47">
        <f t="shared" si="6"/>
        <v>0.74385026737967919</v>
      </c>
      <c r="L8" s="47">
        <f t="shared" si="6"/>
        <v>0.69742970501983781</v>
      </c>
      <c r="M8" s="47">
        <f t="shared" si="6"/>
        <v>0.65811051693404632</v>
      </c>
      <c r="N8" s="56">
        <f t="shared" si="6"/>
        <v>0.56978609625668453</v>
      </c>
    </row>
    <row r="9" spans="2:86" ht="13.5" x14ac:dyDescent="0.25">
      <c r="B9" s="46">
        <v>2010</v>
      </c>
      <c r="C9" s="47">
        <f t="shared" ref="C9:N9" si="7">O5</f>
        <v>0.39226914817465997</v>
      </c>
      <c r="D9" s="47">
        <f t="shared" si="7"/>
        <v>0.58854043857580762</v>
      </c>
      <c r="E9" s="47">
        <f t="shared" si="7"/>
        <v>0.6499212322772624</v>
      </c>
      <c r="F9" s="47">
        <f t="shared" si="7"/>
        <v>0.6661319073083779</v>
      </c>
      <c r="G9" s="47">
        <f t="shared" si="7"/>
        <v>0.61618078316370539</v>
      </c>
      <c r="H9" s="47">
        <f t="shared" si="7"/>
        <v>0.59910873440285206</v>
      </c>
      <c r="I9" s="47">
        <f t="shared" si="7"/>
        <v>0.59927548732102809</v>
      </c>
      <c r="J9" s="47">
        <f t="shared" si="7"/>
        <v>0.67569432465068135</v>
      </c>
      <c r="K9" s="47">
        <f t="shared" si="7"/>
        <v>0.60035650623885917</v>
      </c>
      <c r="L9" s="47">
        <f t="shared" si="7"/>
        <v>0.56356736242884253</v>
      </c>
      <c r="M9" s="47">
        <f t="shared" si="7"/>
        <v>0.77789661319073089</v>
      </c>
      <c r="N9" s="56">
        <f t="shared" si="7"/>
        <v>0.50301880282904954</v>
      </c>
    </row>
    <row r="10" spans="2:86" ht="13.5" x14ac:dyDescent="0.25">
      <c r="B10" s="46">
        <v>2011</v>
      </c>
      <c r="C10" s="47">
        <f t="shared" ref="C10:N10" si="8">AA5</f>
        <v>0.54051308102616202</v>
      </c>
      <c r="D10" s="47">
        <f t="shared" si="8"/>
        <v>0.60516979219462752</v>
      </c>
      <c r="E10" s="47">
        <f t="shared" si="8"/>
        <v>0.53236098450319047</v>
      </c>
      <c r="F10" s="47">
        <f t="shared" si="8"/>
        <v>0.55597147950089132</v>
      </c>
      <c r="G10" s="47">
        <f t="shared" si="8"/>
        <v>0.58461273072278763</v>
      </c>
      <c r="H10" s="47">
        <f t="shared" si="8"/>
        <v>0.62905525846702315</v>
      </c>
      <c r="I10" s="47">
        <f t="shared" si="8"/>
        <v>0.51267897188200795</v>
      </c>
      <c r="J10" s="47">
        <f t="shared" si="8"/>
        <v>0.6919096084181473</v>
      </c>
      <c r="K10" s="47">
        <f t="shared" si="8"/>
        <v>0.64456327985739748</v>
      </c>
      <c r="L10" s="47">
        <f t="shared" si="8"/>
        <v>0.57598757978264614</v>
      </c>
      <c r="M10" s="47">
        <f t="shared" si="8"/>
        <v>0.66399286987522277</v>
      </c>
      <c r="N10" s="56">
        <f t="shared" si="8"/>
        <v>0.5597722960151803</v>
      </c>
    </row>
    <row r="11" spans="2:86" ht="13.5" x14ac:dyDescent="0.25">
      <c r="B11" s="46">
        <v>2012</v>
      </c>
      <c r="C11" s="47">
        <f t="shared" ref="C11:N11" si="9">AM5</f>
        <v>0.43557012247714333</v>
      </c>
      <c r="D11" s="47">
        <f t="shared" si="9"/>
        <v>0.56426332288401249</v>
      </c>
      <c r="E11" s="47">
        <f t="shared" si="9"/>
        <v>0.70381231671554256</v>
      </c>
      <c r="F11" s="47">
        <f t="shared" si="9"/>
        <v>0.55650623885918005</v>
      </c>
      <c r="G11" s="47">
        <f t="shared" si="9"/>
        <v>0.64257374504053821</v>
      </c>
      <c r="H11" s="47">
        <f t="shared" si="9"/>
        <v>0.5773618538324421</v>
      </c>
      <c r="I11" s="47">
        <f t="shared" si="9"/>
        <v>0.58858030015525276</v>
      </c>
      <c r="J11" s="47">
        <f t="shared" si="9"/>
        <v>0.71019492841124721</v>
      </c>
      <c r="K11" s="47">
        <f t="shared" si="9"/>
        <v>0.57183600713012472</v>
      </c>
      <c r="L11" s="47">
        <f t="shared" si="9"/>
        <v>0.56649991374849062</v>
      </c>
      <c r="M11" s="47">
        <f t="shared" si="9"/>
        <v>0.60926916221033867</v>
      </c>
      <c r="N11" s="56">
        <f t="shared" si="9"/>
        <v>0.46955321718130066</v>
      </c>
    </row>
    <row r="12" spans="2:86" ht="13.5" x14ac:dyDescent="0.25">
      <c r="B12" s="46">
        <v>2013</v>
      </c>
      <c r="C12" s="47">
        <f t="shared" ref="C12:N12" si="10">AY5</f>
        <v>0.36863895118164569</v>
      </c>
      <c r="D12" s="47">
        <f t="shared" si="10"/>
        <v>0.39877769289533993</v>
      </c>
      <c r="E12" s="47">
        <f t="shared" si="10"/>
        <v>0.53113679489391064</v>
      </c>
      <c r="F12" s="47">
        <f t="shared" si="10"/>
        <v>0.58698752228163997</v>
      </c>
      <c r="G12" s="47">
        <f t="shared" si="10"/>
        <v>0.50370881490426078</v>
      </c>
      <c r="H12" s="47">
        <f t="shared" si="10"/>
        <v>0.65151515151515149</v>
      </c>
      <c r="I12" s="47">
        <f t="shared" si="10"/>
        <v>0.47628083491461098</v>
      </c>
      <c r="J12" s="47">
        <f t="shared" si="10"/>
        <v>0.54786958771778504</v>
      </c>
      <c r="K12" s="47">
        <f t="shared" si="10"/>
        <v>0.57361853832442067</v>
      </c>
      <c r="L12" s="47">
        <f t="shared" si="10"/>
        <v>0.62515094014145245</v>
      </c>
      <c r="M12" s="47">
        <f t="shared" si="10"/>
        <v>0.67183600713012481</v>
      </c>
      <c r="N12" s="56">
        <f t="shared" si="10"/>
        <v>0.49870622735897879</v>
      </c>
    </row>
    <row r="13" spans="2:86" ht="13.5" x14ac:dyDescent="0.25">
      <c r="B13" s="46" t="s">
        <v>100</v>
      </c>
      <c r="C13" s="48">
        <f>AVERAGE(C8:C12)</f>
        <v>0.43206274220035068</v>
      </c>
      <c r="D13" s="48">
        <f t="shared" ref="D13:N13" si="11">AVERAGE(D8:D12)</f>
        <v>0.52073145633822338</v>
      </c>
      <c r="E13" s="48">
        <f t="shared" si="11"/>
        <v>0.6121680183086522</v>
      </c>
      <c r="F13" s="48">
        <f t="shared" si="11"/>
        <v>0.58937611408199653</v>
      </c>
      <c r="G13" s="48">
        <f t="shared" si="11"/>
        <v>0.58792478868380194</v>
      </c>
      <c r="H13" s="48">
        <f t="shared" si="11"/>
        <v>0.60438502673796779</v>
      </c>
      <c r="I13" s="48">
        <f t="shared" si="11"/>
        <v>0.53727790236329132</v>
      </c>
      <c r="J13" s="48">
        <f t="shared" si="11"/>
        <v>0.66275659824046917</v>
      </c>
      <c r="K13" s="48">
        <f t="shared" si="11"/>
        <v>0.62684491978609624</v>
      </c>
      <c r="L13" s="48">
        <f t="shared" si="11"/>
        <v>0.60572710022425391</v>
      </c>
      <c r="M13" s="48">
        <f t="shared" si="11"/>
        <v>0.67622103386809274</v>
      </c>
      <c r="N13" s="49">
        <f t="shared" si="11"/>
        <v>0.52016732792823872</v>
      </c>
    </row>
    <row r="14" spans="2:86" ht="13.5" x14ac:dyDescent="0.25">
      <c r="B14" s="46"/>
      <c r="C14" s="29"/>
      <c r="D14" s="29"/>
      <c r="E14" s="29"/>
      <c r="F14" s="38" t="s">
        <v>159</v>
      </c>
      <c r="G14" s="41"/>
      <c r="H14" s="41"/>
      <c r="I14" s="41"/>
      <c r="J14" s="41"/>
      <c r="K14" s="42"/>
      <c r="L14" s="38" t="s">
        <v>160</v>
      </c>
      <c r="M14" s="39"/>
      <c r="N14" s="40"/>
    </row>
    <row r="15" spans="2:86" ht="13.5" x14ac:dyDescent="0.25">
      <c r="B15" s="46">
        <v>2014</v>
      </c>
      <c r="C15" s="48">
        <f>C13</f>
        <v>0.43206274220035068</v>
      </c>
      <c r="D15" s="48">
        <f>D13</f>
        <v>0.52073145633822338</v>
      </c>
      <c r="E15" s="48">
        <f>E13</f>
        <v>0.6121680183086522</v>
      </c>
      <c r="F15" s="47">
        <f>F13+Premissas!C3</f>
        <v>0.61937611408199655</v>
      </c>
      <c r="G15" s="47">
        <f>G13+Premissas!D3</f>
        <v>0.62792478868380197</v>
      </c>
      <c r="H15" s="47">
        <f>H13+Premissas!E3</f>
        <v>0.65438502673796783</v>
      </c>
      <c r="I15" s="47">
        <f>I13+Premissas!F3</f>
        <v>0.60727790236329127</v>
      </c>
      <c r="J15" s="47">
        <f>J13+Premissas!G3</f>
        <v>0.70275659824046921</v>
      </c>
      <c r="K15" s="48">
        <f>K13</f>
        <v>0.62684491978609624</v>
      </c>
      <c r="L15" s="48">
        <f>L9</f>
        <v>0.56356736242884253</v>
      </c>
      <c r="M15" s="48">
        <f>M9</f>
        <v>0.77789661319073089</v>
      </c>
      <c r="N15" s="49">
        <f>N9</f>
        <v>0.50301880282904954</v>
      </c>
    </row>
    <row r="16" spans="2:86" ht="13.5" x14ac:dyDescent="0.25">
      <c r="B16" s="50">
        <v>2015</v>
      </c>
      <c r="C16" s="54">
        <f t="shared" ref="C16:N16" si="12">C13</f>
        <v>0.43206274220035068</v>
      </c>
      <c r="D16" s="54">
        <f t="shared" si="12"/>
        <v>0.52073145633822338</v>
      </c>
      <c r="E16" s="54">
        <f t="shared" si="12"/>
        <v>0.6121680183086522</v>
      </c>
      <c r="F16" s="54">
        <f t="shared" si="12"/>
        <v>0.58937611408199653</v>
      </c>
      <c r="G16" s="54">
        <f t="shared" si="12"/>
        <v>0.58792478868380194</v>
      </c>
      <c r="H16" s="54">
        <f t="shared" si="12"/>
        <v>0.60438502673796779</v>
      </c>
      <c r="I16" s="54">
        <f t="shared" si="12"/>
        <v>0.53727790236329132</v>
      </c>
      <c r="J16" s="54">
        <f t="shared" si="12"/>
        <v>0.66275659824046917</v>
      </c>
      <c r="K16" s="54">
        <f t="shared" si="12"/>
        <v>0.62684491978609624</v>
      </c>
      <c r="L16" s="54">
        <f t="shared" si="12"/>
        <v>0.60572710022425391</v>
      </c>
      <c r="M16" s="54">
        <f t="shared" si="12"/>
        <v>0.67622103386809274</v>
      </c>
      <c r="N16" s="55">
        <f t="shared" si="12"/>
        <v>0.52016732792823872</v>
      </c>
    </row>
    <row r="18" spans="2:86" x14ac:dyDescent="0.2">
      <c r="B18" s="14" t="s">
        <v>106</v>
      </c>
      <c r="C18" s="43">
        <f>C2</f>
        <v>39814</v>
      </c>
      <c r="D18" s="43">
        <f t="shared" ref="D18:BO18" si="13">D2</f>
        <v>39845</v>
      </c>
      <c r="E18" s="43">
        <f t="shared" si="13"/>
        <v>39873</v>
      </c>
      <c r="F18" s="43">
        <f t="shared" si="13"/>
        <v>39904</v>
      </c>
      <c r="G18" s="43">
        <f t="shared" si="13"/>
        <v>39934</v>
      </c>
      <c r="H18" s="43">
        <f t="shared" si="13"/>
        <v>39965</v>
      </c>
      <c r="I18" s="43">
        <f t="shared" si="13"/>
        <v>39995</v>
      </c>
      <c r="J18" s="43">
        <f t="shared" si="13"/>
        <v>40026</v>
      </c>
      <c r="K18" s="43">
        <f t="shared" si="13"/>
        <v>40057</v>
      </c>
      <c r="L18" s="43">
        <f t="shared" si="13"/>
        <v>40087</v>
      </c>
      <c r="M18" s="43">
        <f t="shared" si="13"/>
        <v>40118</v>
      </c>
      <c r="N18" s="43">
        <f t="shared" si="13"/>
        <v>40148</v>
      </c>
      <c r="O18" s="43">
        <f t="shared" si="13"/>
        <v>40179</v>
      </c>
      <c r="P18" s="43">
        <f t="shared" si="13"/>
        <v>40210</v>
      </c>
      <c r="Q18" s="43">
        <f t="shared" si="13"/>
        <v>40238</v>
      </c>
      <c r="R18" s="43">
        <f t="shared" si="13"/>
        <v>40269</v>
      </c>
      <c r="S18" s="43">
        <f t="shared" si="13"/>
        <v>40299</v>
      </c>
      <c r="T18" s="43">
        <f t="shared" si="13"/>
        <v>40330</v>
      </c>
      <c r="U18" s="43">
        <f t="shared" si="13"/>
        <v>40360</v>
      </c>
      <c r="V18" s="43">
        <f t="shared" si="13"/>
        <v>40391</v>
      </c>
      <c r="W18" s="43">
        <f t="shared" si="13"/>
        <v>40422</v>
      </c>
      <c r="X18" s="43">
        <f t="shared" si="13"/>
        <v>40452</v>
      </c>
      <c r="Y18" s="43">
        <f t="shared" si="13"/>
        <v>40483</v>
      </c>
      <c r="Z18" s="43">
        <f t="shared" si="13"/>
        <v>40513</v>
      </c>
      <c r="AA18" s="43">
        <f t="shared" si="13"/>
        <v>40544</v>
      </c>
      <c r="AB18" s="43">
        <f t="shared" si="13"/>
        <v>40575</v>
      </c>
      <c r="AC18" s="43">
        <f t="shared" si="13"/>
        <v>40603</v>
      </c>
      <c r="AD18" s="43">
        <f t="shared" si="13"/>
        <v>40634</v>
      </c>
      <c r="AE18" s="43">
        <f t="shared" si="13"/>
        <v>40664</v>
      </c>
      <c r="AF18" s="43">
        <f t="shared" si="13"/>
        <v>40695</v>
      </c>
      <c r="AG18" s="43">
        <f t="shared" si="13"/>
        <v>40725</v>
      </c>
      <c r="AH18" s="43">
        <f t="shared" si="13"/>
        <v>40756</v>
      </c>
      <c r="AI18" s="43">
        <f t="shared" si="13"/>
        <v>40787</v>
      </c>
      <c r="AJ18" s="43">
        <f t="shared" si="13"/>
        <v>40817</v>
      </c>
      <c r="AK18" s="43">
        <f t="shared" si="13"/>
        <v>40848</v>
      </c>
      <c r="AL18" s="43">
        <f t="shared" si="13"/>
        <v>40878</v>
      </c>
      <c r="AM18" s="43">
        <f t="shared" si="13"/>
        <v>40909</v>
      </c>
      <c r="AN18" s="43">
        <f t="shared" si="13"/>
        <v>40940</v>
      </c>
      <c r="AO18" s="43">
        <f t="shared" si="13"/>
        <v>40969</v>
      </c>
      <c r="AP18" s="43">
        <f t="shared" si="13"/>
        <v>41000</v>
      </c>
      <c r="AQ18" s="43">
        <f t="shared" si="13"/>
        <v>41030</v>
      </c>
      <c r="AR18" s="43">
        <f t="shared" si="13"/>
        <v>41061</v>
      </c>
      <c r="AS18" s="43">
        <f t="shared" si="13"/>
        <v>41091</v>
      </c>
      <c r="AT18" s="43">
        <f t="shared" si="13"/>
        <v>41122</v>
      </c>
      <c r="AU18" s="43">
        <f t="shared" si="13"/>
        <v>41153</v>
      </c>
      <c r="AV18" s="43">
        <f t="shared" si="13"/>
        <v>41183</v>
      </c>
      <c r="AW18" s="43">
        <f t="shared" si="13"/>
        <v>41214</v>
      </c>
      <c r="AX18" s="43">
        <f t="shared" si="13"/>
        <v>41244</v>
      </c>
      <c r="AY18" s="43">
        <f t="shared" si="13"/>
        <v>41275</v>
      </c>
      <c r="AZ18" s="43">
        <f t="shared" si="13"/>
        <v>41306</v>
      </c>
      <c r="BA18" s="43">
        <f t="shared" si="13"/>
        <v>41334</v>
      </c>
      <c r="BB18" s="43">
        <f t="shared" si="13"/>
        <v>41365</v>
      </c>
      <c r="BC18" s="43">
        <f t="shared" si="13"/>
        <v>41395</v>
      </c>
      <c r="BD18" s="43">
        <f t="shared" si="13"/>
        <v>41426</v>
      </c>
      <c r="BE18" s="43">
        <f t="shared" si="13"/>
        <v>41456</v>
      </c>
      <c r="BF18" s="43">
        <f t="shared" si="13"/>
        <v>41487</v>
      </c>
      <c r="BG18" s="43">
        <f t="shared" si="13"/>
        <v>41518</v>
      </c>
      <c r="BH18" s="43">
        <f t="shared" si="13"/>
        <v>41548</v>
      </c>
      <c r="BI18" s="43">
        <f t="shared" si="13"/>
        <v>41579</v>
      </c>
      <c r="BJ18" s="43">
        <f t="shared" si="13"/>
        <v>41609</v>
      </c>
      <c r="BK18" s="44">
        <f t="shared" si="13"/>
        <v>41640</v>
      </c>
      <c r="BL18" s="44">
        <f t="shared" si="13"/>
        <v>41671</v>
      </c>
      <c r="BM18" s="44">
        <f t="shared" si="13"/>
        <v>41699</v>
      </c>
      <c r="BN18" s="44">
        <f t="shared" si="13"/>
        <v>41730</v>
      </c>
      <c r="BO18" s="44">
        <f t="shared" si="13"/>
        <v>41760</v>
      </c>
      <c r="BP18" s="44">
        <f t="shared" ref="BP18:CH18" si="14">BP2</f>
        <v>41791</v>
      </c>
      <c r="BQ18" s="44">
        <f t="shared" si="14"/>
        <v>41821</v>
      </c>
      <c r="BR18" s="44">
        <f t="shared" si="14"/>
        <v>41852</v>
      </c>
      <c r="BS18" s="44">
        <f t="shared" si="14"/>
        <v>41883</v>
      </c>
      <c r="BT18" s="44">
        <f t="shared" si="14"/>
        <v>41913</v>
      </c>
      <c r="BU18" s="44">
        <f t="shared" si="14"/>
        <v>41944</v>
      </c>
      <c r="BV18" s="44">
        <f t="shared" si="14"/>
        <v>41974</v>
      </c>
      <c r="BW18" s="44">
        <f t="shared" si="14"/>
        <v>42005</v>
      </c>
      <c r="BX18" s="44">
        <f t="shared" si="14"/>
        <v>42036</v>
      </c>
      <c r="BY18" s="44">
        <f t="shared" si="14"/>
        <v>42064</v>
      </c>
      <c r="BZ18" s="44">
        <f t="shared" si="14"/>
        <v>42095</v>
      </c>
      <c r="CA18" s="44">
        <f t="shared" si="14"/>
        <v>42125</v>
      </c>
      <c r="CB18" s="44">
        <f t="shared" si="14"/>
        <v>42156</v>
      </c>
      <c r="CC18" s="44">
        <f t="shared" si="14"/>
        <v>42186</v>
      </c>
      <c r="CD18" s="44">
        <f t="shared" si="14"/>
        <v>42217</v>
      </c>
      <c r="CE18" s="44">
        <f t="shared" si="14"/>
        <v>42248</v>
      </c>
      <c r="CF18" s="44">
        <f t="shared" si="14"/>
        <v>42278</v>
      </c>
      <c r="CG18" s="44">
        <f t="shared" si="14"/>
        <v>42309</v>
      </c>
      <c r="CH18" s="45">
        <f t="shared" si="14"/>
        <v>42339</v>
      </c>
    </row>
    <row r="19" spans="2:86" x14ac:dyDescent="0.2">
      <c r="B19" s="46" t="s">
        <v>107</v>
      </c>
      <c r="C19" s="61">
        <f>Gerencial!C11</f>
        <v>173.97</v>
      </c>
      <c r="D19" s="61">
        <f>Gerencial!D11</f>
        <v>243.86</v>
      </c>
      <c r="E19" s="61">
        <f>Gerencial!E11</f>
        <v>229.64</v>
      </c>
      <c r="F19" s="61">
        <f>Gerencial!F11</f>
        <v>208.08</v>
      </c>
      <c r="G19" s="61">
        <f>Gerencial!G11</f>
        <v>247.01</v>
      </c>
      <c r="H19" s="61">
        <f>Gerencial!H11</f>
        <v>224.4</v>
      </c>
      <c r="I19" s="61">
        <f>Gerencial!I11</f>
        <v>230.23</v>
      </c>
      <c r="J19" s="61">
        <f>Gerencial!J11</f>
        <v>216.25</v>
      </c>
      <c r="K19" s="61">
        <f>Gerencial!K11</f>
        <v>209.05</v>
      </c>
      <c r="L19" s="61">
        <f>Gerencial!L11</f>
        <v>203.64</v>
      </c>
      <c r="M19" s="61">
        <f>Gerencial!M11</f>
        <v>250.46</v>
      </c>
      <c r="N19" s="61">
        <f>Gerencial!N11</f>
        <v>256.70999999999998</v>
      </c>
      <c r="O19" s="61">
        <f>Gerencial!O11</f>
        <v>204.22</v>
      </c>
      <c r="P19" s="61">
        <f>Gerencial!P11</f>
        <v>256.82</v>
      </c>
      <c r="Q19" s="61">
        <f>Gerencial!Q11</f>
        <v>269.39</v>
      </c>
      <c r="R19" s="61">
        <f>Gerencial!R11</f>
        <v>303.68</v>
      </c>
      <c r="S19" s="61">
        <f>Gerencial!S11</f>
        <v>250.56</v>
      </c>
      <c r="T19" s="61">
        <f>Gerencial!T11</f>
        <v>259.45</v>
      </c>
      <c r="U19" s="61">
        <f>Gerencial!U11</f>
        <v>243.92</v>
      </c>
      <c r="V19" s="61">
        <f>Gerencial!V11</f>
        <v>250.23</v>
      </c>
      <c r="W19" s="61">
        <f>Gerencial!W11</f>
        <v>234</v>
      </c>
      <c r="X19" s="61">
        <f>Gerencial!X11</f>
        <v>218.72</v>
      </c>
      <c r="Y19" s="61">
        <f>Gerencial!Y11</f>
        <v>272.93</v>
      </c>
      <c r="Z19" s="61">
        <f>Gerencial!Z11</f>
        <v>274.68</v>
      </c>
      <c r="AA19" s="61">
        <f>Gerencial!AA11</f>
        <v>266.72000000000003</v>
      </c>
      <c r="AB19" s="61">
        <f>Gerencial!AB11</f>
        <v>304.72000000000003</v>
      </c>
      <c r="AC19" s="61">
        <f>Gerencial!AC11</f>
        <v>311.02</v>
      </c>
      <c r="AD19" s="61">
        <f>Gerencial!AD11</f>
        <v>298.98</v>
      </c>
      <c r="AE19" s="61">
        <f>Gerencial!AE11</f>
        <v>316.13</v>
      </c>
      <c r="AF19" s="61">
        <f>Gerencial!AF11</f>
        <v>306.23</v>
      </c>
      <c r="AG19" s="61">
        <f>Gerencial!AG11</f>
        <v>286.64999999999998</v>
      </c>
      <c r="AH19" s="61">
        <f>Gerencial!AH11</f>
        <v>319.86</v>
      </c>
      <c r="AI19" s="61">
        <f>Gerencial!AI11</f>
        <v>280.43</v>
      </c>
      <c r="AJ19" s="61">
        <f>Gerencial!AJ11</f>
        <v>306.36</v>
      </c>
      <c r="AK19" s="61">
        <f>Gerencial!AK11</f>
        <v>330.57</v>
      </c>
      <c r="AL19" s="61">
        <f>Gerencial!AL11</f>
        <v>303.62</v>
      </c>
      <c r="AM19" s="61">
        <f>Gerencial!AM11</f>
        <v>257.73</v>
      </c>
      <c r="AN19" s="61">
        <f>Gerencial!AN11</f>
        <v>281.95999999999998</v>
      </c>
      <c r="AO19" s="61">
        <f>Gerencial!AO11</f>
        <v>298.08</v>
      </c>
      <c r="AP19" s="61">
        <f>Gerencial!AP11</f>
        <v>312.52</v>
      </c>
      <c r="AQ19" s="61">
        <f>Gerencial!AQ11</f>
        <v>323.77</v>
      </c>
      <c r="AR19" s="61">
        <f>Gerencial!AR11</f>
        <v>304.51</v>
      </c>
      <c r="AS19" s="61">
        <f>Gerencial!AS11</f>
        <v>306.02999999999997</v>
      </c>
      <c r="AT19" s="61">
        <f>Gerencial!AT11</f>
        <v>317.08999999999997</v>
      </c>
      <c r="AU19" s="61">
        <f>Gerencial!AU11</f>
        <v>297.61</v>
      </c>
      <c r="AV19" s="61">
        <f>Gerencial!AV11</f>
        <v>336.33</v>
      </c>
      <c r="AW19" s="61">
        <f>Gerencial!AW11</f>
        <v>356.77</v>
      </c>
      <c r="AX19" s="61">
        <f>Gerencial!AX11</f>
        <v>374.49</v>
      </c>
      <c r="AY19" s="61">
        <f>Gerencial!AY11</f>
        <v>352.98</v>
      </c>
      <c r="AZ19" s="61">
        <f>Gerencial!AZ11</f>
        <v>356.64</v>
      </c>
      <c r="BA19" s="61">
        <f>Gerencial!BA11</f>
        <v>381.86</v>
      </c>
      <c r="BB19" s="61">
        <f>Gerencial!BB11</f>
        <v>403.24</v>
      </c>
      <c r="BC19" s="61">
        <f>Gerencial!BC11</f>
        <v>399.63</v>
      </c>
      <c r="BD19" s="61">
        <f>Gerencial!BD11</f>
        <v>395.4</v>
      </c>
      <c r="BE19" s="61">
        <f>Gerencial!BE11</f>
        <v>382.45</v>
      </c>
      <c r="BF19" s="61">
        <f>Gerencial!BF11</f>
        <v>400.8</v>
      </c>
      <c r="BG19" s="61">
        <f>Gerencial!BG11</f>
        <v>373.15</v>
      </c>
      <c r="BH19" s="61">
        <f>Gerencial!BH11</f>
        <v>391.8</v>
      </c>
      <c r="BI19" s="61">
        <f>Gerencial!BI11</f>
        <v>396.29</v>
      </c>
      <c r="BJ19" s="61">
        <f>Gerencial!BJ11</f>
        <v>431.65</v>
      </c>
      <c r="BK19" s="61">
        <f>C31</f>
        <v>368.86410000000001</v>
      </c>
      <c r="BL19" s="61">
        <f t="shared" ref="BL19:BV19" si="15">D31</f>
        <v>372.68879999999996</v>
      </c>
      <c r="BM19" s="61">
        <f t="shared" si="15"/>
        <v>399.0437</v>
      </c>
      <c r="BN19" s="61">
        <f t="shared" si="15"/>
        <v>421.38579999999996</v>
      </c>
      <c r="BO19" s="61">
        <f t="shared" si="15"/>
        <v>417.61334999999997</v>
      </c>
      <c r="BP19" s="61">
        <f t="shared" si="15"/>
        <v>413.19299999999993</v>
      </c>
      <c r="BQ19" s="61">
        <f t="shared" si="15"/>
        <v>399.66024999999996</v>
      </c>
      <c r="BR19" s="61">
        <f t="shared" si="15"/>
        <v>418.83599999999996</v>
      </c>
      <c r="BS19" s="61">
        <f t="shared" si="15"/>
        <v>389.94174999999996</v>
      </c>
      <c r="BT19" s="61">
        <f t="shared" si="15"/>
        <v>409.43099999999998</v>
      </c>
      <c r="BU19" s="61">
        <f t="shared" si="15"/>
        <v>414.12304999999998</v>
      </c>
      <c r="BV19" s="61">
        <f t="shared" si="15"/>
        <v>451.07424999999995</v>
      </c>
      <c r="BW19" s="61">
        <f>C32</f>
        <v>368.86410000000001</v>
      </c>
      <c r="BX19" s="61">
        <f t="shared" ref="BX19:CH19" si="16">D32</f>
        <v>361.50813599999992</v>
      </c>
      <c r="BY19" s="61">
        <f t="shared" si="16"/>
        <v>387.07238899999999</v>
      </c>
      <c r="BZ19" s="61">
        <f t="shared" si="16"/>
        <v>408.74422599999997</v>
      </c>
      <c r="CA19" s="61">
        <f t="shared" si="16"/>
        <v>392.55654899999996</v>
      </c>
      <c r="CB19" s="61">
        <f t="shared" si="16"/>
        <v>388.40141999999992</v>
      </c>
      <c r="CC19" s="61">
        <f t="shared" si="16"/>
        <v>363.69082749999995</v>
      </c>
      <c r="CD19" s="61">
        <f t="shared" si="16"/>
        <v>381.14076</v>
      </c>
      <c r="CE19" s="61">
        <f t="shared" si="16"/>
        <v>343.14873999999998</v>
      </c>
      <c r="CF19" s="61">
        <f t="shared" si="16"/>
        <v>360.29928000000001</v>
      </c>
      <c r="CG19" s="61">
        <f t="shared" si="16"/>
        <v>364.42828399999996</v>
      </c>
      <c r="CH19" s="62">
        <f t="shared" si="16"/>
        <v>396.94533999999993</v>
      </c>
    </row>
    <row r="20" spans="2:86" x14ac:dyDescent="0.2">
      <c r="B20" s="46" t="s">
        <v>109</v>
      </c>
      <c r="C20" s="61"/>
      <c r="D20" s="47">
        <f>D19/C19-1</f>
        <v>0.40173593148243958</v>
      </c>
      <c r="E20" s="47">
        <f t="shared" ref="E20:BJ20" si="17">E19/D19-1</f>
        <v>-5.8312146313458602E-2</v>
      </c>
      <c r="F20" s="47">
        <f t="shared" si="17"/>
        <v>-9.3886082564013096E-2</v>
      </c>
      <c r="G20" s="47">
        <f t="shared" si="17"/>
        <v>0.18709150326797364</v>
      </c>
      <c r="H20" s="47">
        <f t="shared" si="17"/>
        <v>-9.1534755677907698E-2</v>
      </c>
      <c r="I20" s="47">
        <f t="shared" si="17"/>
        <v>2.5980392156862653E-2</v>
      </c>
      <c r="J20" s="47">
        <f t="shared" si="17"/>
        <v>-6.0721886808843273E-2</v>
      </c>
      <c r="K20" s="47">
        <f t="shared" si="17"/>
        <v>-3.3294797687861255E-2</v>
      </c>
      <c r="L20" s="47">
        <f t="shared" si="17"/>
        <v>-2.5878976321454306E-2</v>
      </c>
      <c r="M20" s="47">
        <f t="shared" si="17"/>
        <v>0.22991553722254965</v>
      </c>
      <c r="N20" s="47">
        <f t="shared" si="17"/>
        <v>2.4954084484548389E-2</v>
      </c>
      <c r="O20" s="47">
        <f t="shared" si="17"/>
        <v>-0.20447197226442282</v>
      </c>
      <c r="P20" s="47">
        <f t="shared" si="17"/>
        <v>0.25756537067867979</v>
      </c>
      <c r="Q20" s="47">
        <f t="shared" si="17"/>
        <v>4.8944786231601922E-2</v>
      </c>
      <c r="R20" s="47">
        <f t="shared" si="17"/>
        <v>0.12728757563383941</v>
      </c>
      <c r="S20" s="47">
        <f t="shared" si="17"/>
        <v>-0.17492096944151736</v>
      </c>
      <c r="T20" s="47">
        <f t="shared" si="17"/>
        <v>3.5480523627075211E-2</v>
      </c>
      <c r="U20" s="47">
        <f t="shared" si="17"/>
        <v>-5.9857390634033503E-2</v>
      </c>
      <c r="V20" s="47">
        <f t="shared" si="17"/>
        <v>2.5869137422105615E-2</v>
      </c>
      <c r="W20" s="47">
        <f t="shared" si="17"/>
        <v>-6.4860328497782005E-2</v>
      </c>
      <c r="X20" s="47">
        <f t="shared" si="17"/>
        <v>-6.5299145299145267E-2</v>
      </c>
      <c r="Y20" s="47">
        <f t="shared" si="17"/>
        <v>0.24785113386978797</v>
      </c>
      <c r="Z20" s="47">
        <f t="shared" si="17"/>
        <v>6.411900487304445E-3</v>
      </c>
      <c r="AA20" s="47">
        <f t="shared" si="17"/>
        <v>-2.8979175768166554E-2</v>
      </c>
      <c r="AB20" s="47">
        <f t="shared" si="17"/>
        <v>0.14247150569886013</v>
      </c>
      <c r="AC20" s="47">
        <f t="shared" si="17"/>
        <v>2.0674717773693674E-2</v>
      </c>
      <c r="AD20" s="47">
        <f t="shared" si="17"/>
        <v>-3.8711336891518067E-2</v>
      </c>
      <c r="AE20" s="47">
        <f t="shared" si="17"/>
        <v>5.7361696434544029E-2</v>
      </c>
      <c r="AF20" s="47">
        <f t="shared" si="17"/>
        <v>-3.1316230664599987E-2</v>
      </c>
      <c r="AG20" s="47">
        <f t="shared" si="17"/>
        <v>-6.3938869477190519E-2</v>
      </c>
      <c r="AH20" s="47">
        <f t="shared" si="17"/>
        <v>0.1158555729984303</v>
      </c>
      <c r="AI20" s="47">
        <f t="shared" si="17"/>
        <v>-0.12327268179828677</v>
      </c>
      <c r="AJ20" s="47">
        <f t="shared" si="17"/>
        <v>9.2465142816389179E-2</v>
      </c>
      <c r="AK20" s="47">
        <f t="shared" si="17"/>
        <v>7.9024676850763642E-2</v>
      </c>
      <c r="AL20" s="47">
        <f t="shared" si="17"/>
        <v>-8.1525849290619234E-2</v>
      </c>
      <c r="AM20" s="47">
        <f t="shared" si="17"/>
        <v>-0.15114287596337528</v>
      </c>
      <c r="AN20" s="47">
        <f t="shared" si="17"/>
        <v>9.4013114499670092E-2</v>
      </c>
      <c r="AO20" s="47">
        <f t="shared" si="17"/>
        <v>5.7171229961696657E-2</v>
      </c>
      <c r="AP20" s="47">
        <f t="shared" si="17"/>
        <v>4.8443370907139016E-2</v>
      </c>
      <c r="AQ20" s="47">
        <f t="shared" si="17"/>
        <v>3.5997696147446634E-2</v>
      </c>
      <c r="AR20" s="47">
        <f t="shared" si="17"/>
        <v>-5.9486672637983684E-2</v>
      </c>
      <c r="AS20" s="47">
        <f t="shared" si="17"/>
        <v>4.9916258907751754E-3</v>
      </c>
      <c r="AT20" s="47">
        <f t="shared" si="17"/>
        <v>3.6140247688135174E-2</v>
      </c>
      <c r="AU20" s="47">
        <f t="shared" si="17"/>
        <v>-6.1433662367151198E-2</v>
      </c>
      <c r="AV20" s="47">
        <f t="shared" si="17"/>
        <v>0.13010315513591597</v>
      </c>
      <c r="AW20" s="47">
        <f t="shared" si="17"/>
        <v>6.0773644932060833E-2</v>
      </c>
      <c r="AX20" s="47">
        <f t="shared" si="17"/>
        <v>4.9667853238781312E-2</v>
      </c>
      <c r="AY20" s="47">
        <f t="shared" si="17"/>
        <v>-5.7438115837538994E-2</v>
      </c>
      <c r="AZ20" s="47">
        <f t="shared" si="17"/>
        <v>1.0368859425463173E-2</v>
      </c>
      <c r="BA20" s="47">
        <f t="shared" si="17"/>
        <v>7.0715567519066935E-2</v>
      </c>
      <c r="BB20" s="47">
        <f t="shared" si="17"/>
        <v>5.5989105955062124E-2</v>
      </c>
      <c r="BC20" s="47">
        <f t="shared" si="17"/>
        <v>-8.952484872532529E-3</v>
      </c>
      <c r="BD20" s="47">
        <f t="shared" si="17"/>
        <v>-1.0584790931611798E-2</v>
      </c>
      <c r="BE20" s="47">
        <f t="shared" si="17"/>
        <v>-3.2751643904906369E-2</v>
      </c>
      <c r="BF20" s="47">
        <f t="shared" si="17"/>
        <v>4.7980128121323018E-2</v>
      </c>
      <c r="BG20" s="47">
        <f t="shared" si="17"/>
        <v>-6.8987025948103908E-2</v>
      </c>
      <c r="BH20" s="47">
        <f t="shared" si="17"/>
        <v>4.9979900844164593E-2</v>
      </c>
      <c r="BI20" s="47">
        <f t="shared" si="17"/>
        <v>1.1459928534966801E-2</v>
      </c>
      <c r="BJ20" s="47">
        <f t="shared" si="17"/>
        <v>8.9227585858840719E-2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9"/>
    </row>
    <row r="21" spans="2:86" x14ac:dyDescent="0.2">
      <c r="B21" s="46" t="s">
        <v>108</v>
      </c>
      <c r="C21" s="61">
        <f>Gerencial!C12</f>
        <v>208.37</v>
      </c>
      <c r="D21" s="61">
        <f>Gerencial!D12</f>
        <v>283.89</v>
      </c>
      <c r="E21" s="61">
        <f>Gerencial!E12</f>
        <v>267.33999999999997</v>
      </c>
      <c r="F21" s="61">
        <f>Gerencial!F12</f>
        <v>245.39</v>
      </c>
      <c r="G21" s="61">
        <f>Gerencial!G12</f>
        <v>286.68</v>
      </c>
      <c r="H21" s="61">
        <f>Gerencial!H12</f>
        <v>262.16000000000003</v>
      </c>
      <c r="I21" s="61">
        <f>Gerencial!I12</f>
        <v>270.39999999999998</v>
      </c>
      <c r="J21" s="61">
        <f>Gerencial!J12</f>
        <v>254.55</v>
      </c>
      <c r="K21" s="61">
        <f>Gerencial!K12</f>
        <v>246.93</v>
      </c>
      <c r="L21" s="61">
        <f>Gerencial!L12</f>
        <v>238.94</v>
      </c>
      <c r="M21" s="61">
        <f>Gerencial!M12</f>
        <v>291.77</v>
      </c>
      <c r="N21" s="61">
        <f>Gerencial!N12</f>
        <v>297.7</v>
      </c>
      <c r="O21" s="61">
        <f>Gerencial!O12</f>
        <v>240.4</v>
      </c>
      <c r="P21" s="61">
        <f>Gerencial!P12</f>
        <v>300</v>
      </c>
      <c r="Q21" s="61">
        <f>Gerencial!Q12</f>
        <v>312.95</v>
      </c>
      <c r="R21" s="61">
        <f>Gerencial!R12</f>
        <v>350.96</v>
      </c>
      <c r="S21" s="61">
        <f>Gerencial!S12</f>
        <v>292.43</v>
      </c>
      <c r="T21" s="61">
        <f>Gerencial!T12</f>
        <v>302.02</v>
      </c>
      <c r="U21" s="61">
        <f>Gerencial!U12</f>
        <v>285.43</v>
      </c>
      <c r="V21" s="61">
        <f>Gerencial!V12</f>
        <v>291.61</v>
      </c>
      <c r="W21" s="61">
        <f>Gerencial!W12</f>
        <v>273.58</v>
      </c>
      <c r="X21" s="61">
        <f>Gerencial!X12</f>
        <v>257.10000000000002</v>
      </c>
      <c r="Y21" s="61">
        <f>Gerencial!Y12</f>
        <v>316.61</v>
      </c>
      <c r="Z21" s="61">
        <f>Gerencial!Z12</f>
        <v>318.77999999999997</v>
      </c>
      <c r="AA21" s="61">
        <f>Gerencial!AA12</f>
        <v>307.44</v>
      </c>
      <c r="AB21" s="61">
        <f>Gerencial!AB12</f>
        <v>349.91</v>
      </c>
      <c r="AC21" s="61">
        <f>Gerencial!AC12</f>
        <v>357.65</v>
      </c>
      <c r="AD21" s="61">
        <f>Gerencial!AD12</f>
        <v>346.04</v>
      </c>
      <c r="AE21" s="61">
        <f>Gerencial!AE12</f>
        <v>364.34</v>
      </c>
      <c r="AF21" s="61">
        <f>Gerencial!AF12</f>
        <v>353.33</v>
      </c>
      <c r="AG21" s="61">
        <f>Gerencial!AG12</f>
        <v>331.39</v>
      </c>
      <c r="AH21" s="61">
        <f>Gerencial!AH12</f>
        <v>367.54</v>
      </c>
      <c r="AI21" s="61">
        <f>Gerencial!AI12</f>
        <v>324.55</v>
      </c>
      <c r="AJ21" s="61">
        <f>Gerencial!AJ12</f>
        <v>354.33</v>
      </c>
      <c r="AK21" s="61">
        <f>Gerencial!AK12</f>
        <v>380.67</v>
      </c>
      <c r="AL21" s="61">
        <f>Gerencial!AL12</f>
        <v>349.86</v>
      </c>
      <c r="AM21" s="61">
        <f>Gerencial!AM12</f>
        <v>298.64</v>
      </c>
      <c r="AN21" s="61">
        <f>Gerencial!AN12</f>
        <v>327.38</v>
      </c>
      <c r="AO21" s="61">
        <f>Gerencial!AO12</f>
        <v>344.74</v>
      </c>
      <c r="AP21" s="61">
        <f>Gerencial!AP12</f>
        <v>360.1</v>
      </c>
      <c r="AQ21" s="61">
        <f>Gerencial!AQ12</f>
        <v>372.12</v>
      </c>
      <c r="AR21" s="61">
        <f>Gerencial!AR12</f>
        <v>351.23</v>
      </c>
      <c r="AS21" s="61">
        <f>Gerencial!AS12</f>
        <v>352.51</v>
      </c>
      <c r="AT21" s="61">
        <f>Gerencial!AT12</f>
        <v>365.34</v>
      </c>
      <c r="AU21" s="61">
        <f>Gerencial!AU12</f>
        <v>343.63</v>
      </c>
      <c r="AV21" s="61">
        <f>Gerencial!AV12</f>
        <v>387.44</v>
      </c>
      <c r="AW21" s="61">
        <f>Gerencial!AW12</f>
        <v>409.17</v>
      </c>
      <c r="AX21" s="61">
        <f>Gerencial!AX12</f>
        <v>428.91</v>
      </c>
      <c r="AY21" s="61">
        <f>Gerencial!AY12</f>
        <v>405.34</v>
      </c>
      <c r="AZ21" s="61">
        <f>Gerencial!AZ12</f>
        <v>409.51</v>
      </c>
      <c r="BA21" s="61">
        <f>Gerencial!BA12</f>
        <v>439.23</v>
      </c>
      <c r="BB21" s="61">
        <f>Gerencial!BB12</f>
        <v>461.88</v>
      </c>
      <c r="BC21" s="61">
        <f>Gerencial!BC12</f>
        <v>458.74</v>
      </c>
      <c r="BD21" s="61">
        <f>Gerencial!BD12</f>
        <v>453.9</v>
      </c>
      <c r="BE21" s="61">
        <f>Gerencial!BE12</f>
        <v>439.36</v>
      </c>
      <c r="BF21" s="61">
        <f>Gerencial!BF12</f>
        <v>459.44</v>
      </c>
      <c r="BG21" s="61">
        <f>Gerencial!BG12</f>
        <v>428.94</v>
      </c>
      <c r="BH21" s="61">
        <f>Gerencial!BH12</f>
        <v>449.4</v>
      </c>
      <c r="BI21" s="61">
        <f>Gerencial!BI12</f>
        <v>455.09</v>
      </c>
      <c r="BJ21" s="61">
        <f>Gerencial!BJ12</f>
        <v>495.52</v>
      </c>
      <c r="BK21" s="61">
        <f t="shared" ref="BK21:BV21" si="18">C40</f>
        <v>423.58029999999997</v>
      </c>
      <c r="BL21" s="61">
        <f t="shared" si="18"/>
        <v>427.93794999999994</v>
      </c>
      <c r="BM21" s="61">
        <f t="shared" si="18"/>
        <v>458.99534999999997</v>
      </c>
      <c r="BN21" s="61">
        <f t="shared" si="18"/>
        <v>482.66459999999995</v>
      </c>
      <c r="BO21" s="61">
        <f t="shared" si="18"/>
        <v>479.38329999999996</v>
      </c>
      <c r="BP21" s="61">
        <f t="shared" si="18"/>
        <v>474.32549999999992</v>
      </c>
      <c r="BQ21" s="61">
        <f t="shared" si="18"/>
        <v>459.13119999999998</v>
      </c>
      <c r="BR21" s="61">
        <f t="shared" si="18"/>
        <v>480.11479999999995</v>
      </c>
      <c r="BS21" s="61">
        <f t="shared" si="18"/>
        <v>448.24229999999994</v>
      </c>
      <c r="BT21" s="61">
        <f t="shared" si="18"/>
        <v>469.62299999999993</v>
      </c>
      <c r="BU21" s="61">
        <f t="shared" si="18"/>
        <v>475.56904999999995</v>
      </c>
      <c r="BV21" s="61">
        <f t="shared" si="18"/>
        <v>517.8184</v>
      </c>
      <c r="BW21" s="61">
        <f t="shared" ref="BW21:CH21" si="19">C41</f>
        <v>423.58029999999997</v>
      </c>
      <c r="BX21" s="61">
        <f t="shared" si="19"/>
        <v>415.09981149999993</v>
      </c>
      <c r="BY21" s="61">
        <f t="shared" si="19"/>
        <v>445.22548949999998</v>
      </c>
      <c r="BZ21" s="61">
        <f t="shared" si="19"/>
        <v>468.18466199999995</v>
      </c>
      <c r="CA21" s="61">
        <f t="shared" si="19"/>
        <v>450.62030199999992</v>
      </c>
      <c r="CB21" s="61">
        <f t="shared" si="19"/>
        <v>445.86596999999989</v>
      </c>
      <c r="CC21" s="61">
        <f t="shared" si="19"/>
        <v>417.809392</v>
      </c>
      <c r="CD21" s="61">
        <f t="shared" si="19"/>
        <v>436.90446799999995</v>
      </c>
      <c r="CE21" s="61">
        <f t="shared" si="19"/>
        <v>394.45322399999998</v>
      </c>
      <c r="CF21" s="61">
        <f t="shared" si="19"/>
        <v>413.26823999999993</v>
      </c>
      <c r="CG21" s="61">
        <f t="shared" si="19"/>
        <v>418.50076399999995</v>
      </c>
      <c r="CH21" s="62">
        <f t="shared" si="19"/>
        <v>455.68019199999998</v>
      </c>
    </row>
    <row r="22" spans="2:86" x14ac:dyDescent="0.2">
      <c r="B22" s="50" t="s">
        <v>109</v>
      </c>
      <c r="C22" s="51"/>
      <c r="D22" s="53">
        <f>D21/C21-1</f>
        <v>0.36243221193070019</v>
      </c>
      <c r="E22" s="53">
        <f t="shared" ref="E22" si="20">E21/D21-1</f>
        <v>-5.8297227799499862E-2</v>
      </c>
      <c r="F22" s="53">
        <f t="shared" ref="F22" si="21">F21/E21-1</f>
        <v>-8.2105184409366316E-2</v>
      </c>
      <c r="G22" s="53">
        <f t="shared" ref="G22" si="22">G21/F21-1</f>
        <v>0.16826276539386287</v>
      </c>
      <c r="H22" s="53">
        <f t="shared" ref="H22" si="23">H21/G21-1</f>
        <v>-8.5530905539277224E-2</v>
      </c>
      <c r="I22" s="53">
        <f t="shared" ref="I22" si="24">I21/H21-1</f>
        <v>3.1431187061336407E-2</v>
      </c>
      <c r="J22" s="53">
        <f t="shared" ref="J22" si="25">J21/I21-1</f>
        <v>-5.8616863905325278E-2</v>
      </c>
      <c r="K22" s="53">
        <f t="shared" ref="K22" si="26">K21/J21-1</f>
        <v>-2.9935179728933448E-2</v>
      </c>
      <c r="L22" s="53">
        <f t="shared" ref="L22" si="27">L21/K21-1</f>
        <v>-3.2357348236342287E-2</v>
      </c>
      <c r="M22" s="53">
        <f t="shared" ref="M22" si="28">M21/L21-1</f>
        <v>0.22110153176529668</v>
      </c>
      <c r="N22" s="53">
        <f t="shared" ref="N22" si="29">N21/M21-1</f>
        <v>2.0324227987798649E-2</v>
      </c>
      <c r="O22" s="53">
        <f t="shared" ref="O22" si="30">O21/N21-1</f>
        <v>-0.1924756466241182</v>
      </c>
      <c r="P22" s="53">
        <f t="shared" ref="P22" si="31">P21/O21-1</f>
        <v>0.24792013311148087</v>
      </c>
      <c r="Q22" s="53">
        <f t="shared" ref="Q22" si="32">Q21/P21-1</f>
        <v>4.3166666666666575E-2</v>
      </c>
      <c r="R22" s="53">
        <f t="shared" ref="R22" si="33">R21/Q21-1</f>
        <v>0.12145710177344626</v>
      </c>
      <c r="S22" s="53">
        <f t="shared" ref="S22" si="34">S21/R21-1</f>
        <v>-0.16677114201048548</v>
      </c>
      <c r="T22" s="53">
        <f t="shared" ref="T22" si="35">T21/S21-1</f>
        <v>3.279417296447007E-2</v>
      </c>
      <c r="U22" s="53">
        <f t="shared" ref="U22" si="36">U21/T21-1</f>
        <v>-5.4930137077014662E-2</v>
      </c>
      <c r="V22" s="53">
        <f t="shared" ref="V22" si="37">V21/U21-1</f>
        <v>2.1651543285569064E-2</v>
      </c>
      <c r="W22" s="53">
        <f t="shared" ref="W22" si="38">W21/V21-1</f>
        <v>-6.1829155378759437E-2</v>
      </c>
      <c r="X22" s="53">
        <f t="shared" ref="X22" si="39">X21/W21-1</f>
        <v>-6.023832151473052E-2</v>
      </c>
      <c r="Y22" s="53">
        <f t="shared" ref="Y22" si="40">Y21/X21-1</f>
        <v>0.2314663555036951</v>
      </c>
      <c r="Z22" s="53">
        <f t="shared" ref="Z22" si="41">Z21/Y21-1</f>
        <v>6.853858058810447E-3</v>
      </c>
      <c r="AA22" s="53">
        <f t="shared" ref="AA22" si="42">AA21/Z21-1</f>
        <v>-3.5573122529644174E-2</v>
      </c>
      <c r="AB22" s="53">
        <f t="shared" ref="AB22" si="43">AB21/AA21-1</f>
        <v>0.13814077543585745</v>
      </c>
      <c r="AC22" s="53">
        <f t="shared" ref="AC22" si="44">AC21/AB21-1</f>
        <v>2.2119973707524609E-2</v>
      </c>
      <c r="AD22" s="53">
        <f t="shared" ref="AD22" si="45">AD21/AC21-1</f>
        <v>-3.2461904096183325E-2</v>
      </c>
      <c r="AE22" s="53">
        <f t="shared" ref="AE22" si="46">AE21/AD21-1</f>
        <v>5.2884059646283621E-2</v>
      </c>
      <c r="AF22" s="53">
        <f t="shared" ref="AF22" si="47">AF21/AE21-1</f>
        <v>-3.0219026184333253E-2</v>
      </c>
      <c r="AG22" s="53">
        <f t="shared" ref="AG22" si="48">AG21/AF21-1</f>
        <v>-6.2094925423824776E-2</v>
      </c>
      <c r="AH22" s="53">
        <f t="shared" ref="AH22" si="49">AH21/AG21-1</f>
        <v>0.10908597121216701</v>
      </c>
      <c r="AI22" s="53">
        <f t="shared" ref="AI22" si="50">AI21/AH21-1</f>
        <v>-0.11696686074985041</v>
      </c>
      <c r="AJ22" s="53">
        <f t="shared" ref="AJ22" si="51">AJ21/AI21-1</f>
        <v>9.1757818517947731E-2</v>
      </c>
      <c r="AK22" s="53">
        <f t="shared" ref="AK22" si="52">AK21/AJ21-1</f>
        <v>7.4337482008297373E-2</v>
      </c>
      <c r="AL22" s="53">
        <f t="shared" ref="AL22" si="53">AL21/AK21-1</f>
        <v>-8.0936243990858192E-2</v>
      </c>
      <c r="AM22" s="53">
        <f t="shared" ref="AM22" si="54">AM21/AL21-1</f>
        <v>-0.1464014177099412</v>
      </c>
      <c r="AN22" s="53">
        <f t="shared" ref="AN22" si="55">AN21/AM21-1</f>
        <v>9.6236271095633485E-2</v>
      </c>
      <c r="AO22" s="53">
        <f t="shared" ref="AO22" si="56">AO21/AN21-1</f>
        <v>5.3027063351457127E-2</v>
      </c>
      <c r="AP22" s="53">
        <f t="shared" ref="AP22" si="57">AP21/AO21-1</f>
        <v>4.455531705053084E-2</v>
      </c>
      <c r="AQ22" s="53">
        <f t="shared" ref="AQ22" si="58">AQ21/AP21-1</f>
        <v>3.3379616773118626E-2</v>
      </c>
      <c r="AR22" s="53">
        <f t="shared" ref="AR22" si="59">AR21/AQ21-1</f>
        <v>-5.6137805009136788E-2</v>
      </c>
      <c r="AS22" s="53">
        <f t="shared" ref="AS22" si="60">AS21/AR21-1</f>
        <v>3.6443356205335675E-3</v>
      </c>
      <c r="AT22" s="53">
        <f t="shared" ref="AT22" si="61">AT21/AS21-1</f>
        <v>3.6396130606223931E-2</v>
      </c>
      <c r="AU22" s="53">
        <f t="shared" ref="AU22" si="62">AU21/AT21-1</f>
        <v>-5.9424098100399614E-2</v>
      </c>
      <c r="AV22" s="53">
        <f t="shared" ref="AV22" si="63">AV21/AU21-1</f>
        <v>0.12749177894828745</v>
      </c>
      <c r="AW22" s="53">
        <f t="shared" ref="AW22" si="64">AW21/AV21-1</f>
        <v>5.6086103654759523E-2</v>
      </c>
      <c r="AX22" s="53">
        <f t="shared" ref="AX22" si="65">AX21/AW21-1</f>
        <v>4.8244006158809416E-2</v>
      </c>
      <c r="AY22" s="53">
        <f t="shared" ref="AY22" si="66">AY21/AX21-1</f>
        <v>-5.4953253596325635E-2</v>
      </c>
      <c r="AZ22" s="53">
        <f t="shared" ref="AZ22" si="67">AZ21/AY21-1</f>
        <v>1.0287659742438393E-2</v>
      </c>
      <c r="BA22" s="53">
        <f t="shared" ref="BA22" si="68">BA21/AZ21-1</f>
        <v>7.2574540304266133E-2</v>
      </c>
      <c r="BB22" s="53">
        <f t="shared" ref="BB22" si="69">BB21/BA21-1</f>
        <v>5.1567515880062809E-2</v>
      </c>
      <c r="BC22" s="53">
        <f t="shared" ref="BC22" si="70">BC21/BB21-1</f>
        <v>-6.79830258941716E-3</v>
      </c>
      <c r="BD22" s="53">
        <f t="shared" ref="BD22" si="71">BD21/BC21-1</f>
        <v>-1.0550638706020909E-2</v>
      </c>
      <c r="BE22" s="53">
        <f t="shared" ref="BE22" si="72">BE21/BD21-1</f>
        <v>-3.2033487552324269E-2</v>
      </c>
      <c r="BF22" s="53">
        <f t="shared" ref="BF22" si="73">BF21/BE21-1</f>
        <v>4.570284049526574E-2</v>
      </c>
      <c r="BG22" s="53">
        <f t="shared" ref="BG22" si="74">BG21/BF21-1</f>
        <v>-6.6385164548145581E-2</v>
      </c>
      <c r="BH22" s="53">
        <f t="shared" ref="BH22" si="75">BH21/BG21-1</f>
        <v>4.7698978878164766E-2</v>
      </c>
      <c r="BI22" s="53">
        <f t="shared" ref="BI22" si="76">BI21/BH21-1</f>
        <v>1.2661326212727975E-2</v>
      </c>
      <c r="BJ22" s="53">
        <f t="shared" ref="BJ22" si="77">BJ21/BI21-1</f>
        <v>8.8839570194906514E-2</v>
      </c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2"/>
    </row>
    <row r="25" spans="2:86" x14ac:dyDescent="0.2">
      <c r="B25" s="14" t="str">
        <f>B19</f>
        <v>Without Breakfast</v>
      </c>
      <c r="C25" s="15" t="str">
        <f t="shared" ref="C25:N25" si="78">C7</f>
        <v>jan</v>
      </c>
      <c r="D25" s="15" t="str">
        <f t="shared" si="78"/>
        <v>fev</v>
      </c>
      <c r="E25" s="15" t="str">
        <f t="shared" si="78"/>
        <v>mar</v>
      </c>
      <c r="F25" s="15" t="str">
        <f t="shared" si="78"/>
        <v>abr</v>
      </c>
      <c r="G25" s="15" t="str">
        <f t="shared" si="78"/>
        <v>mai</v>
      </c>
      <c r="H25" s="15" t="str">
        <f t="shared" si="78"/>
        <v>jun</v>
      </c>
      <c r="I25" s="15" t="str">
        <f t="shared" si="78"/>
        <v>jul</v>
      </c>
      <c r="J25" s="15" t="str">
        <f t="shared" si="78"/>
        <v>ago</v>
      </c>
      <c r="K25" s="15" t="str">
        <f t="shared" si="78"/>
        <v>set</v>
      </c>
      <c r="L25" s="15" t="str">
        <f t="shared" si="78"/>
        <v>out</v>
      </c>
      <c r="M25" s="15" t="str">
        <f t="shared" si="78"/>
        <v>nov</v>
      </c>
      <c r="N25" s="16" t="str">
        <f t="shared" si="78"/>
        <v>dez</v>
      </c>
    </row>
    <row r="26" spans="2:86" x14ac:dyDescent="0.2">
      <c r="B26" s="46">
        <v>2009</v>
      </c>
      <c r="C26" s="58">
        <f t="shared" ref="C26:N26" si="79">C19</f>
        <v>173.97</v>
      </c>
      <c r="D26" s="58">
        <f t="shared" si="79"/>
        <v>243.86</v>
      </c>
      <c r="E26" s="58">
        <f t="shared" si="79"/>
        <v>229.64</v>
      </c>
      <c r="F26" s="58">
        <f t="shared" si="79"/>
        <v>208.08</v>
      </c>
      <c r="G26" s="58">
        <f t="shared" si="79"/>
        <v>247.01</v>
      </c>
      <c r="H26" s="58">
        <f t="shared" si="79"/>
        <v>224.4</v>
      </c>
      <c r="I26" s="58">
        <f t="shared" si="79"/>
        <v>230.23</v>
      </c>
      <c r="J26" s="58">
        <f t="shared" si="79"/>
        <v>216.25</v>
      </c>
      <c r="K26" s="58">
        <f t="shared" si="79"/>
        <v>209.05</v>
      </c>
      <c r="L26" s="58">
        <f t="shared" si="79"/>
        <v>203.64</v>
      </c>
      <c r="M26" s="58">
        <f t="shared" si="79"/>
        <v>250.46</v>
      </c>
      <c r="N26" s="59">
        <f t="shared" si="79"/>
        <v>256.70999999999998</v>
      </c>
    </row>
    <row r="27" spans="2:86" x14ac:dyDescent="0.2">
      <c r="B27" s="46">
        <v>2010</v>
      </c>
      <c r="C27" s="58">
        <f t="shared" ref="C27:N27" si="80">O19</f>
        <v>204.22</v>
      </c>
      <c r="D27" s="58">
        <f t="shared" si="80"/>
        <v>256.82</v>
      </c>
      <c r="E27" s="58">
        <f t="shared" si="80"/>
        <v>269.39</v>
      </c>
      <c r="F27" s="58">
        <f t="shared" si="80"/>
        <v>303.68</v>
      </c>
      <c r="G27" s="58">
        <f t="shared" si="80"/>
        <v>250.56</v>
      </c>
      <c r="H27" s="58">
        <f t="shared" si="80"/>
        <v>259.45</v>
      </c>
      <c r="I27" s="58">
        <f t="shared" si="80"/>
        <v>243.92</v>
      </c>
      <c r="J27" s="58">
        <f t="shared" si="80"/>
        <v>250.23</v>
      </c>
      <c r="K27" s="58">
        <f t="shared" si="80"/>
        <v>234</v>
      </c>
      <c r="L27" s="58">
        <f t="shared" si="80"/>
        <v>218.72</v>
      </c>
      <c r="M27" s="58">
        <f t="shared" si="80"/>
        <v>272.93</v>
      </c>
      <c r="N27" s="59">
        <f t="shared" si="80"/>
        <v>274.68</v>
      </c>
    </row>
    <row r="28" spans="2:86" x14ac:dyDescent="0.2">
      <c r="B28" s="46">
        <v>2011</v>
      </c>
      <c r="C28" s="58">
        <f t="shared" ref="C28:N28" si="81">AA19</f>
        <v>266.72000000000003</v>
      </c>
      <c r="D28" s="58">
        <f t="shared" si="81"/>
        <v>304.72000000000003</v>
      </c>
      <c r="E28" s="58">
        <f t="shared" si="81"/>
        <v>311.02</v>
      </c>
      <c r="F28" s="58">
        <f t="shared" si="81"/>
        <v>298.98</v>
      </c>
      <c r="G28" s="58">
        <f t="shared" si="81"/>
        <v>316.13</v>
      </c>
      <c r="H28" s="58">
        <f t="shared" si="81"/>
        <v>306.23</v>
      </c>
      <c r="I28" s="58">
        <f t="shared" si="81"/>
        <v>286.64999999999998</v>
      </c>
      <c r="J28" s="58">
        <f t="shared" si="81"/>
        <v>319.86</v>
      </c>
      <c r="K28" s="58">
        <f t="shared" si="81"/>
        <v>280.43</v>
      </c>
      <c r="L28" s="58">
        <f t="shared" si="81"/>
        <v>306.36</v>
      </c>
      <c r="M28" s="58">
        <f t="shared" si="81"/>
        <v>330.57</v>
      </c>
      <c r="N28" s="59">
        <f t="shared" si="81"/>
        <v>303.62</v>
      </c>
    </row>
    <row r="29" spans="2:86" x14ac:dyDescent="0.2">
      <c r="B29" s="46">
        <v>2012</v>
      </c>
      <c r="C29" s="58">
        <f t="shared" ref="C29:N29" si="82">AM19</f>
        <v>257.73</v>
      </c>
      <c r="D29" s="58">
        <f t="shared" si="82"/>
        <v>281.95999999999998</v>
      </c>
      <c r="E29" s="58">
        <f t="shared" si="82"/>
        <v>298.08</v>
      </c>
      <c r="F29" s="58">
        <f t="shared" si="82"/>
        <v>312.52</v>
      </c>
      <c r="G29" s="58">
        <f t="shared" si="82"/>
        <v>323.77</v>
      </c>
      <c r="H29" s="58">
        <f t="shared" si="82"/>
        <v>304.51</v>
      </c>
      <c r="I29" s="58">
        <f t="shared" si="82"/>
        <v>306.02999999999997</v>
      </c>
      <c r="J29" s="58">
        <f t="shared" si="82"/>
        <v>317.08999999999997</v>
      </c>
      <c r="K29" s="58">
        <f t="shared" si="82"/>
        <v>297.61</v>
      </c>
      <c r="L29" s="58">
        <f t="shared" si="82"/>
        <v>336.33</v>
      </c>
      <c r="M29" s="58">
        <f t="shared" si="82"/>
        <v>356.77</v>
      </c>
      <c r="N29" s="59">
        <f t="shared" si="82"/>
        <v>374.49</v>
      </c>
    </row>
    <row r="30" spans="2:86" x14ac:dyDescent="0.2">
      <c r="B30" s="46">
        <v>2013</v>
      </c>
      <c r="C30" s="58">
        <f t="shared" ref="C30:N30" si="83">AY19</f>
        <v>352.98</v>
      </c>
      <c r="D30" s="58">
        <f t="shared" si="83"/>
        <v>356.64</v>
      </c>
      <c r="E30" s="58">
        <f t="shared" si="83"/>
        <v>381.86</v>
      </c>
      <c r="F30" s="58">
        <f t="shared" si="83"/>
        <v>403.24</v>
      </c>
      <c r="G30" s="58">
        <f t="shared" si="83"/>
        <v>399.63</v>
      </c>
      <c r="H30" s="58">
        <f t="shared" si="83"/>
        <v>395.4</v>
      </c>
      <c r="I30" s="58">
        <f t="shared" si="83"/>
        <v>382.45</v>
      </c>
      <c r="J30" s="58">
        <f t="shared" si="83"/>
        <v>400.8</v>
      </c>
      <c r="K30" s="58">
        <f t="shared" si="83"/>
        <v>373.15</v>
      </c>
      <c r="L30" s="58">
        <f t="shared" si="83"/>
        <v>391.8</v>
      </c>
      <c r="M30" s="58">
        <f t="shared" si="83"/>
        <v>396.29</v>
      </c>
      <c r="N30" s="59">
        <f t="shared" si="83"/>
        <v>431.65</v>
      </c>
    </row>
    <row r="31" spans="2:86" x14ac:dyDescent="0.2">
      <c r="B31" s="46">
        <v>2014</v>
      </c>
      <c r="C31" s="61">
        <f>C30*(1+4.5%)</f>
        <v>368.86410000000001</v>
      </c>
      <c r="D31" s="61">
        <f t="shared" ref="D31:N31" si="84">D30*(1+4.5%)</f>
        <v>372.68879999999996</v>
      </c>
      <c r="E31" s="61">
        <f t="shared" si="84"/>
        <v>399.0437</v>
      </c>
      <c r="F31" s="61">
        <f t="shared" si="84"/>
        <v>421.38579999999996</v>
      </c>
      <c r="G31" s="61">
        <f t="shared" si="84"/>
        <v>417.61334999999997</v>
      </c>
      <c r="H31" s="61">
        <f t="shared" si="84"/>
        <v>413.19299999999993</v>
      </c>
      <c r="I31" s="61">
        <f t="shared" si="84"/>
        <v>399.66024999999996</v>
      </c>
      <c r="J31" s="61">
        <f t="shared" si="84"/>
        <v>418.83599999999996</v>
      </c>
      <c r="K31" s="61">
        <f t="shared" si="84"/>
        <v>389.94174999999996</v>
      </c>
      <c r="L31" s="61">
        <f t="shared" si="84"/>
        <v>409.43099999999998</v>
      </c>
      <c r="M31" s="61">
        <f t="shared" si="84"/>
        <v>414.12304999999998</v>
      </c>
      <c r="N31" s="62">
        <f t="shared" si="84"/>
        <v>451.07424999999995</v>
      </c>
    </row>
    <row r="32" spans="2:86" x14ac:dyDescent="0.2">
      <c r="B32" s="50">
        <v>2015</v>
      </c>
      <c r="C32" s="68">
        <f>C31*(1-SUM(Premissas!$C$7:C7))</f>
        <v>368.86410000000001</v>
      </c>
      <c r="D32" s="68">
        <f>D31*(1-SUM(Premissas!$C$7:D7))</f>
        <v>361.50813599999992</v>
      </c>
      <c r="E32" s="68">
        <f>E31*(1-SUM(Premissas!$C$7:E7))</f>
        <v>387.07238899999999</v>
      </c>
      <c r="F32" s="68">
        <f>F31*(1-SUM(Premissas!$C$7:F7))</f>
        <v>408.74422599999997</v>
      </c>
      <c r="G32" s="68">
        <f>G31*(1-SUM(Premissas!$C$7:G7))</f>
        <v>392.55654899999996</v>
      </c>
      <c r="H32" s="68">
        <f>H31*(1-SUM(Premissas!$C$7:H7))</f>
        <v>388.40141999999992</v>
      </c>
      <c r="I32" s="68">
        <f>I31*(1-SUM(Premissas!$C$7:I7))</f>
        <v>363.69082749999995</v>
      </c>
      <c r="J32" s="68">
        <f>J31*(1-SUM(Premissas!$C$7:J7))</f>
        <v>381.14076</v>
      </c>
      <c r="K32" s="68">
        <f>K31*(1-SUM(Premissas!$C$7:K7))</f>
        <v>343.14873999999998</v>
      </c>
      <c r="L32" s="68">
        <f>L31*(1-SUM(Premissas!$C$7:L7))</f>
        <v>360.29928000000001</v>
      </c>
      <c r="M32" s="68">
        <f>M31*(1-SUM(Premissas!$C$7:M7))</f>
        <v>364.42828399999996</v>
      </c>
      <c r="N32" s="69">
        <f>N31*(1-SUM(Premissas!$C$7:N7))</f>
        <v>396.94533999999993</v>
      </c>
    </row>
    <row r="34" spans="2:26" x14ac:dyDescent="0.2">
      <c r="B34" s="14" t="str">
        <f>B21</f>
        <v>Full</v>
      </c>
      <c r="C34" s="15" t="str">
        <f>C25</f>
        <v>jan</v>
      </c>
      <c r="D34" s="15" t="str">
        <f t="shared" ref="D34:N34" si="85">D25</f>
        <v>fev</v>
      </c>
      <c r="E34" s="15" t="str">
        <f t="shared" si="85"/>
        <v>mar</v>
      </c>
      <c r="F34" s="15" t="str">
        <f t="shared" si="85"/>
        <v>abr</v>
      </c>
      <c r="G34" s="15" t="str">
        <f t="shared" si="85"/>
        <v>mai</v>
      </c>
      <c r="H34" s="15" t="str">
        <f t="shared" si="85"/>
        <v>jun</v>
      </c>
      <c r="I34" s="15" t="str">
        <f t="shared" si="85"/>
        <v>jul</v>
      </c>
      <c r="J34" s="15" t="str">
        <f t="shared" si="85"/>
        <v>ago</v>
      </c>
      <c r="K34" s="15" t="str">
        <f t="shared" si="85"/>
        <v>set</v>
      </c>
      <c r="L34" s="15" t="str">
        <f t="shared" si="85"/>
        <v>out</v>
      </c>
      <c r="M34" s="15" t="str">
        <f t="shared" si="85"/>
        <v>nov</v>
      </c>
      <c r="N34" s="16" t="str">
        <f t="shared" si="85"/>
        <v>dez</v>
      </c>
    </row>
    <row r="35" spans="2:26" x14ac:dyDescent="0.2">
      <c r="B35" s="46">
        <v>2009</v>
      </c>
      <c r="C35" s="58">
        <f t="shared" ref="C35:N35" si="86">C21</f>
        <v>208.37</v>
      </c>
      <c r="D35" s="58">
        <f t="shared" si="86"/>
        <v>283.89</v>
      </c>
      <c r="E35" s="58">
        <f t="shared" si="86"/>
        <v>267.33999999999997</v>
      </c>
      <c r="F35" s="58">
        <f t="shared" si="86"/>
        <v>245.39</v>
      </c>
      <c r="G35" s="58">
        <f t="shared" si="86"/>
        <v>286.68</v>
      </c>
      <c r="H35" s="58">
        <f t="shared" si="86"/>
        <v>262.16000000000003</v>
      </c>
      <c r="I35" s="58">
        <f t="shared" si="86"/>
        <v>270.39999999999998</v>
      </c>
      <c r="J35" s="58">
        <f t="shared" si="86"/>
        <v>254.55</v>
      </c>
      <c r="K35" s="58">
        <f t="shared" si="86"/>
        <v>246.93</v>
      </c>
      <c r="L35" s="58">
        <f t="shared" si="86"/>
        <v>238.94</v>
      </c>
      <c r="M35" s="58">
        <f t="shared" si="86"/>
        <v>291.77</v>
      </c>
      <c r="N35" s="59">
        <f t="shared" si="86"/>
        <v>297.7</v>
      </c>
    </row>
    <row r="36" spans="2:26" x14ac:dyDescent="0.2">
      <c r="B36" s="46">
        <v>2010</v>
      </c>
      <c r="C36" s="58">
        <f t="shared" ref="C36:N36" si="87">O21</f>
        <v>240.4</v>
      </c>
      <c r="D36" s="58">
        <f t="shared" si="87"/>
        <v>300</v>
      </c>
      <c r="E36" s="58">
        <f t="shared" si="87"/>
        <v>312.95</v>
      </c>
      <c r="F36" s="58">
        <f t="shared" si="87"/>
        <v>350.96</v>
      </c>
      <c r="G36" s="58">
        <f t="shared" si="87"/>
        <v>292.43</v>
      </c>
      <c r="H36" s="58">
        <f t="shared" si="87"/>
        <v>302.02</v>
      </c>
      <c r="I36" s="58">
        <f t="shared" si="87"/>
        <v>285.43</v>
      </c>
      <c r="J36" s="58">
        <f t="shared" si="87"/>
        <v>291.61</v>
      </c>
      <c r="K36" s="58">
        <f t="shared" si="87"/>
        <v>273.58</v>
      </c>
      <c r="L36" s="58">
        <f t="shared" si="87"/>
        <v>257.10000000000002</v>
      </c>
      <c r="M36" s="58">
        <f t="shared" si="87"/>
        <v>316.61</v>
      </c>
      <c r="N36" s="59">
        <f t="shared" si="87"/>
        <v>318.77999999999997</v>
      </c>
    </row>
    <row r="37" spans="2:26" x14ac:dyDescent="0.2">
      <c r="B37" s="46">
        <v>2011</v>
      </c>
      <c r="C37" s="58">
        <f t="shared" ref="C37:N37" si="88">AA21</f>
        <v>307.44</v>
      </c>
      <c r="D37" s="58">
        <f t="shared" si="88"/>
        <v>349.91</v>
      </c>
      <c r="E37" s="58">
        <f t="shared" si="88"/>
        <v>357.65</v>
      </c>
      <c r="F37" s="58">
        <f t="shared" si="88"/>
        <v>346.04</v>
      </c>
      <c r="G37" s="58">
        <f t="shared" si="88"/>
        <v>364.34</v>
      </c>
      <c r="H37" s="58">
        <f t="shared" si="88"/>
        <v>353.33</v>
      </c>
      <c r="I37" s="58">
        <f t="shared" si="88"/>
        <v>331.39</v>
      </c>
      <c r="J37" s="58">
        <f t="shared" si="88"/>
        <v>367.54</v>
      </c>
      <c r="K37" s="58">
        <f t="shared" si="88"/>
        <v>324.55</v>
      </c>
      <c r="L37" s="58">
        <f t="shared" si="88"/>
        <v>354.33</v>
      </c>
      <c r="M37" s="58">
        <f t="shared" si="88"/>
        <v>380.67</v>
      </c>
      <c r="N37" s="59">
        <f t="shared" si="88"/>
        <v>349.86</v>
      </c>
    </row>
    <row r="38" spans="2:26" x14ac:dyDescent="0.2">
      <c r="B38" s="46">
        <v>2012</v>
      </c>
      <c r="C38" s="58">
        <f t="shared" ref="C38:N38" si="89">AM21</f>
        <v>298.64</v>
      </c>
      <c r="D38" s="58">
        <f t="shared" si="89"/>
        <v>327.38</v>
      </c>
      <c r="E38" s="58">
        <f t="shared" si="89"/>
        <v>344.74</v>
      </c>
      <c r="F38" s="58">
        <f t="shared" si="89"/>
        <v>360.1</v>
      </c>
      <c r="G38" s="58">
        <f t="shared" si="89"/>
        <v>372.12</v>
      </c>
      <c r="H38" s="58">
        <f t="shared" si="89"/>
        <v>351.23</v>
      </c>
      <c r="I38" s="58">
        <f t="shared" si="89"/>
        <v>352.51</v>
      </c>
      <c r="J38" s="58">
        <f t="shared" si="89"/>
        <v>365.34</v>
      </c>
      <c r="K38" s="58">
        <f t="shared" si="89"/>
        <v>343.63</v>
      </c>
      <c r="L38" s="58">
        <f t="shared" si="89"/>
        <v>387.44</v>
      </c>
      <c r="M38" s="58">
        <f t="shared" si="89"/>
        <v>409.17</v>
      </c>
      <c r="N38" s="59">
        <f t="shared" si="89"/>
        <v>428.91</v>
      </c>
    </row>
    <row r="39" spans="2:26" x14ac:dyDescent="0.2">
      <c r="B39" s="46">
        <v>2013</v>
      </c>
      <c r="C39" s="58">
        <f t="shared" ref="C39:N39" si="90">AY21</f>
        <v>405.34</v>
      </c>
      <c r="D39" s="58">
        <f t="shared" si="90"/>
        <v>409.51</v>
      </c>
      <c r="E39" s="58">
        <f t="shared" si="90"/>
        <v>439.23</v>
      </c>
      <c r="F39" s="58">
        <f t="shared" si="90"/>
        <v>461.88</v>
      </c>
      <c r="G39" s="58">
        <f t="shared" si="90"/>
        <v>458.74</v>
      </c>
      <c r="H39" s="58">
        <f t="shared" si="90"/>
        <v>453.9</v>
      </c>
      <c r="I39" s="58">
        <f t="shared" si="90"/>
        <v>439.36</v>
      </c>
      <c r="J39" s="58">
        <f t="shared" si="90"/>
        <v>459.44</v>
      </c>
      <c r="K39" s="58">
        <f t="shared" si="90"/>
        <v>428.94</v>
      </c>
      <c r="L39" s="58">
        <f t="shared" si="90"/>
        <v>449.4</v>
      </c>
      <c r="M39" s="58">
        <f t="shared" si="90"/>
        <v>455.09</v>
      </c>
      <c r="N39" s="59">
        <f t="shared" si="90"/>
        <v>495.52</v>
      </c>
    </row>
    <row r="40" spans="2:26" x14ac:dyDescent="0.2">
      <c r="B40" s="46">
        <v>2014</v>
      </c>
      <c r="C40" s="61">
        <f>C39*(1+4.5%)</f>
        <v>423.58029999999997</v>
      </c>
      <c r="D40" s="61">
        <f t="shared" ref="D40:N40" si="91">D39*(1+4.5%)</f>
        <v>427.93794999999994</v>
      </c>
      <c r="E40" s="61">
        <f t="shared" si="91"/>
        <v>458.99534999999997</v>
      </c>
      <c r="F40" s="61">
        <f t="shared" si="91"/>
        <v>482.66459999999995</v>
      </c>
      <c r="G40" s="61">
        <f t="shared" si="91"/>
        <v>479.38329999999996</v>
      </c>
      <c r="H40" s="61">
        <f t="shared" si="91"/>
        <v>474.32549999999992</v>
      </c>
      <c r="I40" s="61">
        <f t="shared" si="91"/>
        <v>459.13119999999998</v>
      </c>
      <c r="J40" s="61">
        <f t="shared" si="91"/>
        <v>480.11479999999995</v>
      </c>
      <c r="K40" s="61">
        <f t="shared" si="91"/>
        <v>448.24229999999994</v>
      </c>
      <c r="L40" s="61">
        <f t="shared" si="91"/>
        <v>469.62299999999993</v>
      </c>
      <c r="M40" s="61">
        <f t="shared" si="91"/>
        <v>475.56904999999995</v>
      </c>
      <c r="N40" s="62">
        <f t="shared" si="91"/>
        <v>517.8184</v>
      </c>
    </row>
    <row r="41" spans="2:26" x14ac:dyDescent="0.2">
      <c r="B41" s="50">
        <v>2015</v>
      </c>
      <c r="C41" s="68">
        <f>C40*(1-SUM(Premissas!$C$7:C7))</f>
        <v>423.58029999999997</v>
      </c>
      <c r="D41" s="68">
        <f>D40*(1-SUM(Premissas!$C$7:D7))</f>
        <v>415.09981149999993</v>
      </c>
      <c r="E41" s="68">
        <f>E40*(1-SUM(Premissas!$C$7:E7))</f>
        <v>445.22548949999998</v>
      </c>
      <c r="F41" s="68">
        <f>F40*(1-SUM(Premissas!$C$7:F7))</f>
        <v>468.18466199999995</v>
      </c>
      <c r="G41" s="68">
        <f>G40*(1-SUM(Premissas!$C$7:G7))</f>
        <v>450.62030199999992</v>
      </c>
      <c r="H41" s="68">
        <f>H40*(1-SUM(Premissas!$C$7:H7))</f>
        <v>445.86596999999989</v>
      </c>
      <c r="I41" s="68">
        <f>I40*(1-SUM(Premissas!$C$7:I7))</f>
        <v>417.809392</v>
      </c>
      <c r="J41" s="68">
        <f>J40*(1-SUM(Premissas!$C$7:J7))</f>
        <v>436.90446799999995</v>
      </c>
      <c r="K41" s="68">
        <f>K40*(1-SUM(Premissas!$C$7:K7))</f>
        <v>394.45322399999998</v>
      </c>
      <c r="L41" s="68">
        <f>L40*(1-SUM(Premissas!$C$7:L7))</f>
        <v>413.26823999999993</v>
      </c>
      <c r="M41" s="68">
        <f>M40*(1-SUM(Premissas!$C$7:M7))</f>
        <v>418.50076399999995</v>
      </c>
      <c r="N41" s="69">
        <f>N40*(1-SUM(Premissas!$C$7:N7))</f>
        <v>455.68019199999998</v>
      </c>
    </row>
    <row r="44" spans="2:26" x14ac:dyDescent="0.2">
      <c r="B44" s="14" t="s">
        <v>117</v>
      </c>
      <c r="C44" s="44">
        <f>BK18</f>
        <v>41640</v>
      </c>
      <c r="D44" s="44">
        <f t="shared" ref="D44:Z44" si="92">BL18</f>
        <v>41671</v>
      </c>
      <c r="E44" s="44">
        <f t="shared" si="92"/>
        <v>41699</v>
      </c>
      <c r="F44" s="44">
        <f t="shared" si="92"/>
        <v>41730</v>
      </c>
      <c r="G44" s="44">
        <f t="shared" si="92"/>
        <v>41760</v>
      </c>
      <c r="H44" s="44">
        <f t="shared" si="92"/>
        <v>41791</v>
      </c>
      <c r="I44" s="44">
        <f t="shared" si="92"/>
        <v>41821</v>
      </c>
      <c r="J44" s="44">
        <f t="shared" si="92"/>
        <v>41852</v>
      </c>
      <c r="K44" s="44">
        <f t="shared" si="92"/>
        <v>41883</v>
      </c>
      <c r="L44" s="44">
        <f t="shared" si="92"/>
        <v>41913</v>
      </c>
      <c r="M44" s="44">
        <f t="shared" si="92"/>
        <v>41944</v>
      </c>
      <c r="N44" s="44">
        <f t="shared" si="92"/>
        <v>41974</v>
      </c>
      <c r="O44" s="44">
        <f t="shared" si="92"/>
        <v>42005</v>
      </c>
      <c r="P44" s="44">
        <f t="shared" si="92"/>
        <v>42036</v>
      </c>
      <c r="Q44" s="44">
        <f t="shared" si="92"/>
        <v>42064</v>
      </c>
      <c r="R44" s="44">
        <f t="shared" si="92"/>
        <v>42095</v>
      </c>
      <c r="S44" s="44">
        <f t="shared" si="92"/>
        <v>42125</v>
      </c>
      <c r="T44" s="44">
        <f t="shared" si="92"/>
        <v>42156</v>
      </c>
      <c r="U44" s="44">
        <f t="shared" si="92"/>
        <v>42186</v>
      </c>
      <c r="V44" s="44">
        <f t="shared" si="92"/>
        <v>42217</v>
      </c>
      <c r="W44" s="44">
        <f t="shared" si="92"/>
        <v>42248</v>
      </c>
      <c r="X44" s="44">
        <f t="shared" si="92"/>
        <v>42278</v>
      </c>
      <c r="Y44" s="44">
        <f t="shared" si="92"/>
        <v>42309</v>
      </c>
      <c r="Z44" s="45">
        <f t="shared" si="92"/>
        <v>42339</v>
      </c>
    </row>
    <row r="45" spans="2:26" x14ac:dyDescent="0.2">
      <c r="B45" s="46" t="s">
        <v>5</v>
      </c>
      <c r="C45" s="28">
        <f>BK4</f>
        <v>2457.5368724070781</v>
      </c>
      <c r="D45" s="28">
        <f t="shared" ref="D45:Z45" si="93">BL4</f>
        <v>2957.1435357780456</v>
      </c>
      <c r="E45" s="28">
        <f t="shared" si="93"/>
        <v>3498.9862428833976</v>
      </c>
      <c r="F45" s="28">
        <f t="shared" si="93"/>
        <v>3535.9909643454221</v>
      </c>
      <c r="G45" s="28">
        <f t="shared" si="93"/>
        <v>3589.9730468127736</v>
      </c>
      <c r="H45" s="28">
        <f t="shared" si="93"/>
        <v>3736.9000457638076</v>
      </c>
      <c r="I45" s="28">
        <f t="shared" si="93"/>
        <v>3472.9809481465049</v>
      </c>
      <c r="J45" s="28">
        <f t="shared" si="93"/>
        <v>4014.4451967030191</v>
      </c>
      <c r="K45" s="28">
        <f t="shared" si="93"/>
        <v>3576.3874479874175</v>
      </c>
      <c r="L45" s="28">
        <f t="shared" si="93"/>
        <v>3219.8443856023327</v>
      </c>
      <c r="M45" s="28">
        <f t="shared" si="93"/>
        <v>4438.9532821512566</v>
      </c>
      <c r="N45" s="28">
        <f t="shared" si="93"/>
        <v>2874.4422293063094</v>
      </c>
      <c r="O45" s="28">
        <f t="shared" si="93"/>
        <v>2465.9974694458206</v>
      </c>
      <c r="P45" s="28">
        <f t="shared" si="93"/>
        <v>2972.9237671228266</v>
      </c>
      <c r="Q45" s="28">
        <f t="shared" si="93"/>
        <v>3496.492946002435</v>
      </c>
      <c r="R45" s="28">
        <f t="shared" si="93"/>
        <v>3366.1133975185162</v>
      </c>
      <c r="S45" s="28">
        <f t="shared" si="93"/>
        <v>3357.9400596972823</v>
      </c>
      <c r="T45" s="28">
        <f t="shared" si="93"/>
        <v>3451.6663777119848</v>
      </c>
      <c r="U45" s="28">
        <f t="shared" si="93"/>
        <v>3068.4367586826438</v>
      </c>
      <c r="V45" s="28">
        <f t="shared" si="93"/>
        <v>3784.621863770155</v>
      </c>
      <c r="W45" s="28">
        <f t="shared" si="93"/>
        <v>3579.4463814384167</v>
      </c>
      <c r="X45" s="28">
        <f t="shared" si="93"/>
        <v>3459.1045012391492</v>
      </c>
      <c r="Y45" s="28">
        <f t="shared" si="93"/>
        <v>3861.521746312284</v>
      </c>
      <c r="Z45" s="63">
        <f t="shared" si="93"/>
        <v>2970.5631971541188</v>
      </c>
    </row>
    <row r="46" spans="2:26" x14ac:dyDescent="0.2">
      <c r="B46" s="46" t="str">
        <f>B19</f>
        <v>Without Breakfast</v>
      </c>
      <c r="C46" s="58">
        <f>BK19</f>
        <v>368.86410000000001</v>
      </c>
      <c r="D46" s="58">
        <f t="shared" ref="D46:Z46" si="94">BL19</f>
        <v>372.68879999999996</v>
      </c>
      <c r="E46" s="58">
        <f t="shared" si="94"/>
        <v>399.0437</v>
      </c>
      <c r="F46" s="58">
        <f t="shared" si="94"/>
        <v>421.38579999999996</v>
      </c>
      <c r="G46" s="58">
        <f t="shared" si="94"/>
        <v>417.61334999999997</v>
      </c>
      <c r="H46" s="58">
        <f t="shared" si="94"/>
        <v>413.19299999999993</v>
      </c>
      <c r="I46" s="58">
        <f t="shared" si="94"/>
        <v>399.66024999999996</v>
      </c>
      <c r="J46" s="58">
        <f t="shared" si="94"/>
        <v>418.83599999999996</v>
      </c>
      <c r="K46" s="58">
        <f t="shared" si="94"/>
        <v>389.94174999999996</v>
      </c>
      <c r="L46" s="58">
        <f t="shared" si="94"/>
        <v>409.43099999999998</v>
      </c>
      <c r="M46" s="58">
        <f t="shared" si="94"/>
        <v>414.12304999999998</v>
      </c>
      <c r="N46" s="58">
        <f t="shared" si="94"/>
        <v>451.07424999999995</v>
      </c>
      <c r="O46" s="58">
        <f t="shared" si="94"/>
        <v>368.86410000000001</v>
      </c>
      <c r="P46" s="58">
        <f t="shared" si="94"/>
        <v>361.50813599999992</v>
      </c>
      <c r="Q46" s="58">
        <f t="shared" si="94"/>
        <v>387.07238899999999</v>
      </c>
      <c r="R46" s="58">
        <f t="shared" si="94"/>
        <v>408.74422599999997</v>
      </c>
      <c r="S46" s="58">
        <f t="shared" si="94"/>
        <v>392.55654899999996</v>
      </c>
      <c r="T46" s="58">
        <f t="shared" si="94"/>
        <v>388.40141999999992</v>
      </c>
      <c r="U46" s="58">
        <f t="shared" si="94"/>
        <v>363.69082749999995</v>
      </c>
      <c r="V46" s="58">
        <f t="shared" si="94"/>
        <v>381.14076</v>
      </c>
      <c r="W46" s="58">
        <f t="shared" si="94"/>
        <v>343.14873999999998</v>
      </c>
      <c r="X46" s="58">
        <f t="shared" si="94"/>
        <v>360.29928000000001</v>
      </c>
      <c r="Y46" s="58">
        <f t="shared" si="94"/>
        <v>364.42828399999996</v>
      </c>
      <c r="Z46" s="59">
        <f t="shared" si="94"/>
        <v>396.94533999999993</v>
      </c>
    </row>
    <row r="47" spans="2:26" x14ac:dyDescent="0.2">
      <c r="B47" s="46" t="str">
        <f>B21</f>
        <v>Full</v>
      </c>
      <c r="C47" s="58">
        <f>BK21</f>
        <v>423.58029999999997</v>
      </c>
      <c r="D47" s="58">
        <f t="shared" ref="D47:Z47" si="95">BL21</f>
        <v>427.93794999999994</v>
      </c>
      <c r="E47" s="58">
        <f t="shared" si="95"/>
        <v>458.99534999999997</v>
      </c>
      <c r="F47" s="58">
        <f t="shared" si="95"/>
        <v>482.66459999999995</v>
      </c>
      <c r="G47" s="58">
        <f t="shared" si="95"/>
        <v>479.38329999999996</v>
      </c>
      <c r="H47" s="58">
        <f t="shared" si="95"/>
        <v>474.32549999999992</v>
      </c>
      <c r="I47" s="58">
        <f t="shared" si="95"/>
        <v>459.13119999999998</v>
      </c>
      <c r="J47" s="58">
        <f t="shared" si="95"/>
        <v>480.11479999999995</v>
      </c>
      <c r="K47" s="58">
        <f t="shared" si="95"/>
        <v>448.24229999999994</v>
      </c>
      <c r="L47" s="58">
        <f t="shared" si="95"/>
        <v>469.62299999999993</v>
      </c>
      <c r="M47" s="58">
        <f t="shared" si="95"/>
        <v>475.56904999999995</v>
      </c>
      <c r="N47" s="58">
        <f t="shared" si="95"/>
        <v>517.8184</v>
      </c>
      <c r="O47" s="58">
        <f t="shared" si="95"/>
        <v>423.58029999999997</v>
      </c>
      <c r="P47" s="58">
        <f t="shared" si="95"/>
        <v>415.09981149999993</v>
      </c>
      <c r="Q47" s="58">
        <f t="shared" si="95"/>
        <v>445.22548949999998</v>
      </c>
      <c r="R47" s="58">
        <f t="shared" si="95"/>
        <v>468.18466199999995</v>
      </c>
      <c r="S47" s="58">
        <f t="shared" si="95"/>
        <v>450.62030199999992</v>
      </c>
      <c r="T47" s="58">
        <f t="shared" si="95"/>
        <v>445.86596999999989</v>
      </c>
      <c r="U47" s="58">
        <f t="shared" si="95"/>
        <v>417.809392</v>
      </c>
      <c r="V47" s="58">
        <f t="shared" si="95"/>
        <v>436.90446799999995</v>
      </c>
      <c r="W47" s="58">
        <f t="shared" si="95"/>
        <v>394.45322399999998</v>
      </c>
      <c r="X47" s="58">
        <f t="shared" si="95"/>
        <v>413.26823999999993</v>
      </c>
      <c r="Y47" s="58">
        <f t="shared" si="95"/>
        <v>418.50076399999995</v>
      </c>
      <c r="Z47" s="59">
        <f t="shared" si="95"/>
        <v>455.68019199999998</v>
      </c>
    </row>
    <row r="48" spans="2:26" x14ac:dyDescent="0.2">
      <c r="B48" s="46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60"/>
    </row>
    <row r="49" spans="2:26" x14ac:dyDescent="0.2">
      <c r="B49" s="64" t="s">
        <v>118</v>
      </c>
      <c r="C49" s="23">
        <f>C45*C46</f>
        <v>906497.12665725173</v>
      </c>
      <c r="D49" s="23">
        <f t="shared" ref="D49:Z49" si="96">D45*D46</f>
        <v>1102094.2757768768</v>
      </c>
      <c r="E49" s="23">
        <f t="shared" si="96"/>
        <v>1396248.4166092896</v>
      </c>
      <c r="F49" s="23">
        <f t="shared" si="96"/>
        <v>1490016.3813034671</v>
      </c>
      <c r="G49" s="23">
        <f t="shared" si="96"/>
        <v>1499220.6704891892</v>
      </c>
      <c r="H49" s="23">
        <f t="shared" si="96"/>
        <v>1544060.9406092847</v>
      </c>
      <c r="I49" s="23">
        <f t="shared" si="96"/>
        <v>1388012.4339814691</v>
      </c>
      <c r="J49" s="23">
        <f t="shared" si="96"/>
        <v>1681394.1684063056</v>
      </c>
      <c r="K49" s="23">
        <f t="shared" si="96"/>
        <v>1394582.7801462475</v>
      </c>
      <c r="L49" s="23">
        <f t="shared" si="96"/>
        <v>1318304.1066415487</v>
      </c>
      <c r="M49" s="23">
        <f t="shared" si="96"/>
        <v>1838272.8720119889</v>
      </c>
      <c r="N49" s="23">
        <f t="shared" si="96"/>
        <v>1296586.8727526714</v>
      </c>
      <c r="O49" s="23">
        <f t="shared" si="96"/>
        <v>909617.93716941017</v>
      </c>
      <c r="P49" s="23">
        <f t="shared" si="96"/>
        <v>1074736.129522671</v>
      </c>
      <c r="Q49" s="23">
        <f t="shared" si="96"/>
        <v>1353395.8777308105</v>
      </c>
      <c r="R49" s="23">
        <f t="shared" si="96"/>
        <v>1375879.4152969362</v>
      </c>
      <c r="S49" s="23">
        <f t="shared" si="96"/>
        <v>1318181.3615836189</v>
      </c>
      <c r="T49" s="23">
        <f t="shared" si="96"/>
        <v>1340632.122469591</v>
      </c>
      <c r="U49" s="23">
        <f t="shared" si="96"/>
        <v>1115962.3038967084</v>
      </c>
      <c r="V49" s="23">
        <f t="shared" si="96"/>
        <v>1442473.6534699732</v>
      </c>
      <c r="W49" s="23">
        <f t="shared" si="96"/>
        <v>1228282.5156881521</v>
      </c>
      <c r="X49" s="23">
        <f t="shared" si="96"/>
        <v>1246312.8612412247</v>
      </c>
      <c r="Y49" s="23">
        <f t="shared" si="96"/>
        <v>1407247.7436372689</v>
      </c>
      <c r="Z49" s="24">
        <f t="shared" si="96"/>
        <v>1179151.2182858286</v>
      </c>
    </row>
    <row r="50" spans="2:26" x14ac:dyDescent="0.2">
      <c r="B50" s="65" t="s">
        <v>119</v>
      </c>
      <c r="C50" s="66">
        <f>C45*(C47-C46)</f>
        <v>134467.07901800008</v>
      </c>
      <c r="D50" s="66">
        <f t="shared" ref="D50:Z50" si="97">D45*(D47-D46)</f>
        <v>163379.66677973157</v>
      </c>
      <c r="E50" s="66">
        <f t="shared" si="97"/>
        <v>209769.99858816035</v>
      </c>
      <c r="F50" s="66">
        <f t="shared" si="97"/>
        <v>216681.28310593023</v>
      </c>
      <c r="G50" s="66">
        <f t="shared" si="97"/>
        <v>221752.45560297268</v>
      </c>
      <c r="H50" s="66">
        <f t="shared" si="97"/>
        <v>228446.04204765594</v>
      </c>
      <c r="I50" s="66">
        <f t="shared" si="97"/>
        <v>206541.47631817343</v>
      </c>
      <c r="J50" s="66">
        <f t="shared" si="97"/>
        <v>246000.38431972492</v>
      </c>
      <c r="K50" s="66">
        <f t="shared" si="97"/>
        <v>208505.3552307628</v>
      </c>
      <c r="L50" s="66">
        <f t="shared" si="97"/>
        <v>193808.87325817544</v>
      </c>
      <c r="M50" s="66">
        <f t="shared" si="97"/>
        <v>272755.92337506596</v>
      </c>
      <c r="N50" s="66">
        <f t="shared" si="97"/>
        <v>191852.20331915485</v>
      </c>
      <c r="O50" s="66">
        <f t="shared" si="97"/>
        <v>134930.01073769131</v>
      </c>
      <c r="P50" s="66">
        <f t="shared" si="97"/>
        <v>159323.9658138841</v>
      </c>
      <c r="Q50" s="66">
        <f t="shared" si="97"/>
        <v>203331.90568642065</v>
      </c>
      <c r="R50" s="66">
        <f t="shared" si="97"/>
        <v>200083.24797394185</v>
      </c>
      <c r="S50" s="66">
        <f t="shared" si="97"/>
        <v>194974.60221506812</v>
      </c>
      <c r="T50" s="66">
        <f t="shared" si="97"/>
        <v>198348.45514534914</v>
      </c>
      <c r="U50" s="66">
        <f t="shared" si="97"/>
        <v>166059.39263893774</v>
      </c>
      <c r="V50" s="66">
        <f t="shared" si="97"/>
        <v>211044.54850169452</v>
      </c>
      <c r="W50" s="66">
        <f t="shared" si="97"/>
        <v>183641.64960536515</v>
      </c>
      <c r="X50" s="66">
        <f t="shared" si="97"/>
        <v>183225.16796195618</v>
      </c>
      <c r="Y50" s="66">
        <f t="shared" si="97"/>
        <v>208802.057397036</v>
      </c>
      <c r="Z50" s="67">
        <f t="shared" si="97"/>
        <v>174475.58974149413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5"/>
  <sheetViews>
    <sheetView showGridLines="0" zoomScale="75" zoomScaleNormal="75" workbookViewId="0">
      <pane xSplit="3" ySplit="2" topLeftCell="P33" activePane="bottomRight" state="frozen"/>
      <selection pane="topRight" activeCell="C1" sqref="C1"/>
      <selection pane="bottomLeft" activeCell="A3" sqref="A3"/>
      <selection pane="bottomRight" activeCell="AE37" sqref="AE37"/>
    </sheetView>
  </sheetViews>
  <sheetFormatPr defaultColWidth="8.7109375" defaultRowHeight="14.25" outlineLevelRow="1" outlineLevelCol="1" x14ac:dyDescent="0.2"/>
  <cols>
    <col min="1" max="1" width="0" style="1" hidden="1" customWidth="1" outlineLevel="1"/>
    <col min="2" max="2" width="3.42578125" style="1" customWidth="1" collapsed="1"/>
    <col min="3" max="3" width="32.42578125" style="1" bestFit="1" customWidth="1"/>
    <col min="4" max="4" width="19" style="1" bestFit="1" customWidth="1"/>
    <col min="5" max="8" width="19.140625" style="1" bestFit="1" customWidth="1"/>
    <col min="9" max="13" width="19" style="1" bestFit="1" customWidth="1"/>
    <col min="14" max="15" width="19.140625" style="1" bestFit="1" customWidth="1"/>
    <col min="16" max="16" width="17.5703125" style="1" bestFit="1" customWidth="1"/>
    <col min="17" max="18" width="20.5703125" style="1" bestFit="1" customWidth="1"/>
    <col min="19" max="16384" width="8.7109375" style="1"/>
  </cols>
  <sheetData>
    <row r="2" spans="1:18" ht="13.5" x14ac:dyDescent="0.25">
      <c r="C2" s="108"/>
      <c r="D2" s="109">
        <v>2009</v>
      </c>
      <c r="E2" s="109">
        <v>2010</v>
      </c>
      <c r="F2" s="109">
        <v>2011</v>
      </c>
      <c r="G2" s="109">
        <v>2012</v>
      </c>
      <c r="H2" s="109">
        <v>2013</v>
      </c>
      <c r="I2" s="109">
        <v>2014</v>
      </c>
      <c r="J2" s="109">
        <v>2015</v>
      </c>
      <c r="K2" s="109">
        <v>2016</v>
      </c>
      <c r="L2" s="109">
        <v>2017</v>
      </c>
      <c r="M2" s="109">
        <v>2018</v>
      </c>
      <c r="N2" s="109">
        <v>2019</v>
      </c>
      <c r="O2" s="109">
        <v>2020</v>
      </c>
      <c r="P2" s="109">
        <v>2021</v>
      </c>
      <c r="Q2" s="109">
        <v>2022</v>
      </c>
      <c r="R2" s="109">
        <v>2023</v>
      </c>
    </row>
    <row r="3" spans="1:18" ht="13.5" x14ac:dyDescent="0.25">
      <c r="C3" s="5" t="str">
        <f>Gerencial!B3</f>
        <v>Rooms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3.5" x14ac:dyDescent="0.25">
      <c r="C4" s="1" t="str">
        <f>Gerencial!B4</f>
        <v>Available</v>
      </c>
      <c r="D4" s="6">
        <f>SUM(Gerencial!C4:N4)</f>
        <v>66198</v>
      </c>
      <c r="E4" s="6">
        <f>SUM(Gerencial!O4:Z4)</f>
        <v>62776</v>
      </c>
      <c r="F4" s="6">
        <f>SUM(Gerencial!AA4:AL4)</f>
        <v>64793</v>
      </c>
      <c r="G4" s="6">
        <f>SUM(Gerencial!AM4:AX4)</f>
        <v>68442</v>
      </c>
      <c r="H4" s="6">
        <f>SUM(Gerencial!AY4:BJ4)</f>
        <v>68255</v>
      </c>
      <c r="I4" s="6">
        <f>SUM(Operacional!BK3:BV3)</f>
        <v>68489.982456362399</v>
      </c>
      <c r="J4" s="6">
        <f>SUM(Operacional!BW3:CH3)</f>
        <v>68525.807322049848</v>
      </c>
      <c r="K4" s="6">
        <f>Premissas!J10</f>
        <v>68428.197444603065</v>
      </c>
      <c r="L4" s="6">
        <f>Premissas!K10</f>
        <v>68424.746805753835</v>
      </c>
      <c r="M4" s="6">
        <f>Premissas!L10</f>
        <v>68467.183507192298</v>
      </c>
      <c r="N4" s="6">
        <f>Premissas!M10</f>
        <v>68461.483769899758</v>
      </c>
      <c r="O4" s="6">
        <f>Premissas!N10</f>
        <v>68445.402881862246</v>
      </c>
      <c r="P4" s="6">
        <f>Premissas!O10</f>
        <v>68449.704241177038</v>
      </c>
      <c r="Q4" s="6">
        <f>Premissas!P10</f>
        <v>68455.943600032828</v>
      </c>
      <c r="R4" s="6">
        <f>Premissas!Q10</f>
        <v>68453.13362324296</v>
      </c>
    </row>
    <row r="5" spans="1:18" ht="13.5" x14ac:dyDescent="0.25">
      <c r="C5" s="1" t="str">
        <f>Gerencial!B5</f>
        <v>Occupied</v>
      </c>
      <c r="D5" s="6">
        <f>SUM(Gerencial!C5:N5)</f>
        <v>39372</v>
      </c>
      <c r="E5" s="6">
        <f>SUM(Gerencial!O5:Z5)</f>
        <v>38733</v>
      </c>
      <c r="F5" s="6">
        <f>SUM(Gerencial!AA5:AL5)</f>
        <v>38381</v>
      </c>
      <c r="G5" s="6">
        <f>SUM(Gerencial!AM5:AX5)</f>
        <v>39912</v>
      </c>
      <c r="H5" s="6">
        <f>SUM(Gerencial!AY5:BJ5)</f>
        <v>36611</v>
      </c>
      <c r="I5" s="6">
        <f>SUM(Operacional!BK4:BV4)</f>
        <v>41373.584197887365</v>
      </c>
      <c r="J5" s="6">
        <f>SUM(Operacional!BW4:CH4)</f>
        <v>39834.828466095641</v>
      </c>
      <c r="K5" s="6">
        <f>Premissas!J11</f>
        <v>36266.944645639625</v>
      </c>
      <c r="L5" s="6">
        <f>Premissas!K11</f>
        <v>36265.115807049537</v>
      </c>
      <c r="M5" s="6">
        <f>Premissas!L11</f>
        <v>36972.279093883844</v>
      </c>
      <c r="N5" s="6">
        <f>Premissas!M11</f>
        <v>36969.201235745873</v>
      </c>
      <c r="O5" s="6">
        <f>Premissas!N11</f>
        <v>37644.971585024236</v>
      </c>
      <c r="P5" s="6">
        <f>Premissas!O11</f>
        <v>37647.337332647374</v>
      </c>
      <c r="Q5" s="6">
        <f>Premissas!P11</f>
        <v>38335.32841601839</v>
      </c>
      <c r="R5" s="6">
        <f>Premissas!Q11</f>
        <v>38333.754829016063</v>
      </c>
    </row>
    <row r="6" spans="1:18" ht="13.5" hidden="1" outlineLevel="1" x14ac:dyDescent="0.25">
      <c r="C6" s="1" t="str">
        <f>Gerencial!B6</f>
        <v>Sold</v>
      </c>
      <c r="D6" s="6">
        <f>SUM(Gerencial!C6:N6)</f>
        <v>38738</v>
      </c>
      <c r="E6" s="6">
        <f>SUM(Gerencial!O6:Z6)</f>
        <v>38506</v>
      </c>
      <c r="F6" s="6">
        <f>SUM(Gerencial!AA6:AL6)</f>
        <v>36836</v>
      </c>
      <c r="G6" s="6">
        <f>SUM(Gerencial!AM6:AX6)</f>
        <v>39479</v>
      </c>
      <c r="H6" s="6">
        <f>SUM(Gerencial!AY6:BJ6)</f>
        <v>36016</v>
      </c>
    </row>
    <row r="7" spans="1:18" ht="13.5" collapsed="1" x14ac:dyDescent="0.25">
      <c r="C7" s="1" t="str">
        <f>Gerencial!B7</f>
        <v>Occupancy Rate</v>
      </c>
      <c r="D7" s="3">
        <f>D5/D4</f>
        <v>0.59476117103235748</v>
      </c>
      <c r="E7" s="3">
        <f t="shared" ref="E7:J7" si="0">E5/E4</f>
        <v>0.61700331336816616</v>
      </c>
      <c r="F7" s="3">
        <f t="shared" si="0"/>
        <v>0.59236337258654481</v>
      </c>
      <c r="G7" s="3">
        <f t="shared" si="0"/>
        <v>0.58315069694047517</v>
      </c>
      <c r="H7" s="3">
        <f t="shared" si="0"/>
        <v>0.5363856127756208</v>
      </c>
      <c r="I7" s="3">
        <f t="shared" si="0"/>
        <v>0.60408227180154506</v>
      </c>
      <c r="J7" s="3">
        <f t="shared" si="0"/>
        <v>0.58131133397501489</v>
      </c>
      <c r="K7" s="107">
        <f>Premissas!J12</f>
        <v>0.53</v>
      </c>
      <c r="L7" s="107">
        <f>Premissas!K12</f>
        <v>0.53</v>
      </c>
      <c r="M7" s="107">
        <f>Premissas!L12</f>
        <v>0.54</v>
      </c>
      <c r="N7" s="107">
        <f>Premissas!M12</f>
        <v>0.54</v>
      </c>
      <c r="O7" s="107">
        <f>Premissas!N12</f>
        <v>0.55000000000000004</v>
      </c>
      <c r="P7" s="107">
        <f>Premissas!O12</f>
        <v>0.55000000000000004</v>
      </c>
      <c r="Q7" s="107">
        <f>Premissas!P12</f>
        <v>0.56000000000000005</v>
      </c>
      <c r="R7" s="107">
        <f>Premissas!Q12</f>
        <v>0.56000000000000005</v>
      </c>
    </row>
    <row r="8" spans="1:18" ht="13.5" hidden="1" outlineLevel="1" x14ac:dyDescent="0.25">
      <c r="C8" s="1" t="str">
        <f>Gerencial!B8</f>
        <v># of guests</v>
      </c>
      <c r="D8" s="6">
        <f>SUM(Gerencial!C8:N8)</f>
        <v>50826</v>
      </c>
      <c r="E8" s="6">
        <f>SUM(Gerencial!O8:Z8)</f>
        <v>50344</v>
      </c>
      <c r="F8" s="6">
        <f>SUM(Gerencial!AA8:AL8)</f>
        <v>49921</v>
      </c>
      <c r="G8" s="6">
        <f>SUM(Gerencial!AM8:AX8)</f>
        <v>50037</v>
      </c>
      <c r="H8" s="6">
        <f>SUM(Gerencial!AY8:BJ8)</f>
        <v>49386</v>
      </c>
    </row>
    <row r="9" spans="1:18" ht="13.5" hidden="1" outlineLevel="1" x14ac:dyDescent="0.25">
      <c r="C9" s="1" t="str">
        <f>Gerencial!B9</f>
        <v>Double occupation</v>
      </c>
      <c r="D9" s="3">
        <f>(D8-D5)/D5</f>
        <v>0.29091740323072235</v>
      </c>
      <c r="E9" s="3">
        <f t="shared" ref="E9:H9" si="1">(E8-E5)/E5</f>
        <v>0.29977022177471407</v>
      </c>
      <c r="F9" s="3">
        <f t="shared" si="1"/>
        <v>0.30066960214689559</v>
      </c>
      <c r="G9" s="3">
        <f t="shared" si="1"/>
        <v>0.2536831028262177</v>
      </c>
      <c r="H9" s="3">
        <f t="shared" si="1"/>
        <v>0.34893884351697579</v>
      </c>
    </row>
    <row r="10" spans="1:18" ht="13.5" collapsed="1" x14ac:dyDescent="0.25">
      <c r="C10" s="1" t="str">
        <f>Gerencial!B10</f>
        <v>RevPAR</v>
      </c>
      <c r="D10" s="13"/>
      <c r="E10" s="13"/>
      <c r="F10" s="13"/>
      <c r="G10" s="13"/>
      <c r="H10" s="13"/>
      <c r="I10" s="13">
        <f>I7*I12</f>
        <v>282.51214400116464</v>
      </c>
      <c r="J10" s="13">
        <f t="shared" ref="J10:R10" si="2">J7*J12</f>
        <v>251.14791647078135</v>
      </c>
      <c r="K10" s="13">
        <f t="shared" si="2"/>
        <v>261.19603334897283</v>
      </c>
      <c r="L10" s="13">
        <f t="shared" si="2"/>
        <v>280.62013756500255</v>
      </c>
      <c r="M10" s="13">
        <f t="shared" si="2"/>
        <v>293.50589659881285</v>
      </c>
      <c r="N10" s="13">
        <f t="shared" si="2"/>
        <v>307.4474266872565</v>
      </c>
      <c r="O10" s="13">
        <f t="shared" si="2"/>
        <v>324.73493928369203</v>
      </c>
      <c r="P10" s="13">
        <f t="shared" si="2"/>
        <v>340.15984889966745</v>
      </c>
      <c r="Q10" s="13">
        <f t="shared" si="2"/>
        <v>359.16798125618089</v>
      </c>
      <c r="R10" s="13">
        <f t="shared" si="2"/>
        <v>376.22846036584951</v>
      </c>
    </row>
    <row r="11" spans="1:18" ht="13.5" x14ac:dyDescent="0.25">
      <c r="C11" s="1" t="str">
        <f>Gerencial!B11</f>
        <v>Daily Rate (Without Breakfast)</v>
      </c>
      <c r="I11" s="4">
        <f>I14/I5</f>
        <v>407.39257601584006</v>
      </c>
      <c r="J11" s="4">
        <f>J14/J5</f>
        <v>376.3508898438493</v>
      </c>
      <c r="K11" s="13">
        <f>Premissas!J13</f>
        <v>429.30195464131958</v>
      </c>
      <c r="L11" s="13">
        <f>Premissas!K13</f>
        <v>461.22742380017593</v>
      </c>
      <c r="M11" s="13">
        <f>Premissas!L13</f>
        <v>473.47301190207065</v>
      </c>
      <c r="N11" s="13">
        <f>Premissas!M13</f>
        <v>495.96297996741907</v>
      </c>
      <c r="O11" s="13">
        <f>Premissas!N13</f>
        <v>514.32600930071283</v>
      </c>
      <c r="P11" s="13">
        <f>Premissas!O13</f>
        <v>538.75649474249678</v>
      </c>
      <c r="Q11" s="13">
        <f>Premissas!P13</f>
        <v>558.7039539603378</v>
      </c>
      <c r="R11" s="13">
        <f>Premissas!Q13</f>
        <v>585.24239177345385</v>
      </c>
    </row>
    <row r="12" spans="1:18" ht="13.5" x14ac:dyDescent="0.25">
      <c r="C12" s="1" t="str">
        <f>Gerencial!B12</f>
        <v>Daily Rate (Full)</v>
      </c>
      <c r="D12" s="13"/>
      <c r="E12" s="13"/>
      <c r="I12" s="4">
        <f>(I14+I15)/I5</f>
        <v>467.67163545229215</v>
      </c>
      <c r="J12" s="4">
        <f>(J14+J15)/J5</f>
        <v>432.03684805769819</v>
      </c>
      <c r="K12" s="13">
        <f>Premissas!J14</f>
        <v>492.82270443202418</v>
      </c>
      <c r="L12" s="13">
        <f>Premissas!K14</f>
        <v>529.47195766981611</v>
      </c>
      <c r="M12" s="13">
        <f>Premissas!L14</f>
        <v>543.52943814594971</v>
      </c>
      <c r="N12" s="13">
        <f>Premissas!M14</f>
        <v>569.34708645788237</v>
      </c>
      <c r="O12" s="13">
        <f>Premissas!N14</f>
        <v>590.42716233398551</v>
      </c>
      <c r="P12" s="13">
        <f>Premissas!O14</f>
        <v>618.47245254484983</v>
      </c>
      <c r="Q12" s="13">
        <f>Premissas!P14</f>
        <v>641.37139510032296</v>
      </c>
      <c r="R12" s="13">
        <f>Premissas!Q14</f>
        <v>671.83653636758834</v>
      </c>
    </row>
    <row r="13" spans="1:18" ht="13.5" x14ac:dyDescent="0.25">
      <c r="C13" s="5" t="str">
        <f>Gerencial!B13</f>
        <v>REVENUES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3.5" x14ac:dyDescent="0.25">
      <c r="A14" s="1" t="s">
        <v>120</v>
      </c>
      <c r="C14" s="1" t="str">
        <f>Gerencial!B14</f>
        <v>Apartments</v>
      </c>
      <c r="D14" s="6">
        <f>SUM(Gerencial!C14:N14)</f>
        <v>8874773</v>
      </c>
      <c r="E14" s="6">
        <f>SUM(Gerencial!O14:Z14)</f>
        <v>10240288</v>
      </c>
      <c r="F14" s="6">
        <f>SUM(Gerencial!AA14:AL14)</f>
        <v>11893956</v>
      </c>
      <c r="G14" s="6">
        <f>SUM(Gerencial!AM14:AX14)</f>
        <v>12701650</v>
      </c>
      <c r="H14" s="6">
        <f>SUM(Gerencial!AY14:BJ14)</f>
        <v>14202417</v>
      </c>
      <c r="I14" s="6">
        <f>SUM(Operacional!C49:N49)</f>
        <v>16855291.045385588</v>
      </c>
      <c r="J14" s="6">
        <f>SUM(Operacional!O49:Z49)</f>
        <v>14991873.139992194</v>
      </c>
      <c r="K14" s="6">
        <f>Premissas!J17</f>
        <v>15569470.225241631</v>
      </c>
      <c r="L14" s="6">
        <f>Premissas!K17</f>
        <v>16726465.937500495</v>
      </c>
      <c r="M14" s="6">
        <f>Premissas!L17</f>
        <v>17505376.339465145</v>
      </c>
      <c r="N14" s="6">
        <f>Premissas!M17</f>
        <v>18335355.211895715</v>
      </c>
      <c r="O14" s="6">
        <f>Premissas!N17</f>
        <v>19361788.005564246</v>
      </c>
      <c r="P14" s="6">
        <f>Premissas!O17</f>
        <v>20282747.497725438</v>
      </c>
      <c r="Q14" s="6">
        <f>Premissas!P17</f>
        <v>21418099.562397569</v>
      </c>
      <c r="R14" s="6">
        <f>Premissas!Q17</f>
        <v>22434538.361790545</v>
      </c>
    </row>
    <row r="15" spans="1:18" ht="13.5" x14ac:dyDescent="0.25">
      <c r="A15" s="1" t="s">
        <v>120</v>
      </c>
      <c r="C15" s="1" t="str">
        <f>Gerencial!B15</f>
        <v>Food</v>
      </c>
      <c r="D15" s="6">
        <f>SUM(Gerencial!C15:N15)</f>
        <v>1299322</v>
      </c>
      <c r="E15" s="6">
        <f>SUM(Gerencial!O15:Z15)</f>
        <v>1466322</v>
      </c>
      <c r="F15" s="6">
        <f>SUM(Gerencial!AA15:AL15)</f>
        <v>1093836</v>
      </c>
      <c r="G15" s="6">
        <f>SUM(Gerencial!AM15:AX15)</f>
        <v>1072079</v>
      </c>
      <c r="H15" s="6">
        <f>SUM(Gerencial!AY15:BJ15)</f>
        <v>1157721</v>
      </c>
      <c r="I15" s="6">
        <f>SUM(Operacional!C50:N50)</f>
        <v>2493960.7409635079</v>
      </c>
      <c r="J15" s="6">
        <f>SUM(Operacional!O50:Z50)</f>
        <v>2218240.5934188394</v>
      </c>
      <c r="K15" s="6">
        <f>Premissas!J18</f>
        <v>2303703.5165090086</v>
      </c>
      <c r="L15" s="6">
        <f>Premissas!K18</f>
        <v>2474895.9239806156</v>
      </c>
      <c r="M15" s="6">
        <f>Premissas!L18</f>
        <v>2590145.7434087852</v>
      </c>
      <c r="N15" s="6">
        <f>Premissas!M18</f>
        <v>2712951.8003513427</v>
      </c>
      <c r="O15" s="6">
        <f>Premissas!N18</f>
        <v>2864825.7435251311</v>
      </c>
      <c r="P15" s="6">
        <f>Premissas!O18</f>
        <v>3001093.5541802687</v>
      </c>
      <c r="Q15" s="6">
        <f>Premissas!P18</f>
        <v>3169083.5054132007</v>
      </c>
      <c r="R15" s="6">
        <f>Premissas!Q18</f>
        <v>3319478.7084999182</v>
      </c>
    </row>
    <row r="16" spans="1:18" ht="13.5" x14ac:dyDescent="0.25">
      <c r="A16" s="1" t="s">
        <v>120</v>
      </c>
      <c r="C16" s="1" t="str">
        <f>Gerencial!B16</f>
        <v>Breakfast</v>
      </c>
      <c r="D16" s="6">
        <f>SUM(Gerencial!C16:N16)</f>
        <v>477575</v>
      </c>
      <c r="E16" s="6">
        <f>SUM(Gerencial!O16:Z16)</f>
        <v>544091</v>
      </c>
      <c r="F16" s="6">
        <f>SUM(Gerencial!AA16:AL16)</f>
        <v>503951</v>
      </c>
      <c r="G16" s="6">
        <f>SUM(Gerencial!AM16:AX16)</f>
        <v>542323</v>
      </c>
      <c r="H16" s="6">
        <f>SUM(Gerencial!AY16:BJ16)</f>
        <v>531817</v>
      </c>
      <c r="I16" s="6"/>
      <c r="J16" s="6"/>
    </row>
    <row r="17" spans="1:18" ht="13.5" x14ac:dyDescent="0.25">
      <c r="A17" s="1" t="s">
        <v>120</v>
      </c>
      <c r="C17" s="1" t="str">
        <f>Gerencial!B17</f>
        <v>Happy hour</v>
      </c>
      <c r="D17" s="6">
        <f>SUM(Gerencial!C17:N17)</f>
        <v>84384</v>
      </c>
      <c r="E17" s="6">
        <f>SUM(Gerencial!O17:Z17)</f>
        <v>38904</v>
      </c>
      <c r="F17" s="6">
        <f>SUM(Gerencial!AA17:AL17)</f>
        <v>51636</v>
      </c>
      <c r="G17" s="6">
        <f>SUM(Gerencial!AM17:AX17)</f>
        <v>49462</v>
      </c>
      <c r="H17" s="6">
        <f>SUM(Gerencial!AY17:BJ17)</f>
        <v>77231</v>
      </c>
      <c r="I17" s="6"/>
      <c r="J17" s="6"/>
    </row>
    <row r="18" spans="1:18" ht="13.5" x14ac:dyDescent="0.25">
      <c r="A18" s="1" t="s">
        <v>0</v>
      </c>
      <c r="C18" s="1" t="str">
        <f>Gerencial!B18</f>
        <v>Dinners</v>
      </c>
      <c r="D18" s="6">
        <f>SUM(Gerencial!C18:N18)</f>
        <v>2444275</v>
      </c>
      <c r="E18" s="6">
        <f>SUM(Gerencial!O18:Z18)</f>
        <v>2672795</v>
      </c>
      <c r="F18" s="6">
        <f>SUM(Gerencial!AA18:AL18)</f>
        <v>2939469</v>
      </c>
      <c r="G18" s="6">
        <f>SUM(Gerencial!AM18:AX18)</f>
        <v>2852226</v>
      </c>
      <c r="H18" s="6">
        <f>SUM(Gerencial!AY18:BJ18)</f>
        <v>2799438</v>
      </c>
      <c r="I18" s="6">
        <f>H18*(1+Macro!D3)</f>
        <v>2960405.6850000005</v>
      </c>
      <c r="J18" s="6">
        <f>I18*(1+Macro!E3)</f>
        <v>3137141.9043945009</v>
      </c>
      <c r="K18" s="6">
        <f>J18*(1+Macro!F3)</f>
        <v>3313449.279421472</v>
      </c>
      <c r="L18" s="6">
        <f>K18*(1+Macro!G3)</f>
        <v>3490056.1260146359</v>
      </c>
      <c r="M18" s="6">
        <f>L18*(1+Macro!H3)</f>
        <v>3655833.7920003315</v>
      </c>
      <c r="N18" s="6">
        <f>M18*(1+Macro!I3)</f>
        <v>3829485.8971203477</v>
      </c>
      <c r="O18" s="6">
        <f>N18*(1+Macro!J3)</f>
        <v>4011386.4772335645</v>
      </c>
      <c r="P18" s="6">
        <f>O18*(1+Macro!K3)</f>
        <v>4201927.3349021589</v>
      </c>
      <c r="Q18" s="6">
        <f>P18*(1+Macro!L3)</f>
        <v>4401518.8833100116</v>
      </c>
      <c r="R18" s="6">
        <f>Q18*(1+Macro!M3)</f>
        <v>4610591.0302672377</v>
      </c>
    </row>
    <row r="19" spans="1:18" ht="13.5" x14ac:dyDescent="0.25">
      <c r="A19" s="1" t="s">
        <v>120</v>
      </c>
      <c r="C19" s="1" t="str">
        <f>Gerencial!B19</f>
        <v>Beverages</v>
      </c>
      <c r="D19" s="6">
        <f>SUM(Gerencial!C19:N19)</f>
        <v>661935</v>
      </c>
      <c r="E19" s="6">
        <f>SUM(Gerencial!O19:Z19)</f>
        <v>735032</v>
      </c>
      <c r="F19" s="6">
        <f>SUM(Gerencial!AA19:AL19)</f>
        <v>611131</v>
      </c>
      <c r="G19" s="6">
        <f>SUM(Gerencial!AM19:AX19)</f>
        <v>538672</v>
      </c>
      <c r="H19" s="6">
        <f>SUM(Gerencial!AY19:BJ19)</f>
        <v>549589</v>
      </c>
      <c r="I19" s="6"/>
      <c r="J19" s="6"/>
    </row>
    <row r="20" spans="1:18" ht="13.5" x14ac:dyDescent="0.25">
      <c r="A20" s="1" t="s">
        <v>0</v>
      </c>
      <c r="C20" s="1" t="str">
        <f>Gerencial!B20</f>
        <v>Equipment Rent</v>
      </c>
      <c r="D20" s="6">
        <f>SUM(Gerencial!C20:N20)</f>
        <v>302504</v>
      </c>
      <c r="E20" s="6">
        <f>SUM(Gerencial!O20:Z20)</f>
        <v>310967</v>
      </c>
      <c r="F20" s="6">
        <f>SUM(Gerencial!AA20:AL20)</f>
        <v>311831</v>
      </c>
      <c r="G20" s="6">
        <f>SUM(Gerencial!AM20:AX20)</f>
        <v>306772</v>
      </c>
      <c r="H20" s="6">
        <f>SUM(Gerencial!AY20:BJ20)</f>
        <v>165627</v>
      </c>
      <c r="I20" s="6">
        <f>H20*(1+Macro!D3)</f>
        <v>175150.55250000002</v>
      </c>
      <c r="J20" s="6">
        <f>I20*(1+Macro!E3)</f>
        <v>185607.04048425003</v>
      </c>
      <c r="K20" s="6">
        <f>J20*(1+Macro!F3)</f>
        <v>196038.15615946488</v>
      </c>
      <c r="L20" s="6">
        <f>K20*(1+Macro!G3)</f>
        <v>206486.98988276435</v>
      </c>
      <c r="M20" s="6">
        <f>L20*(1+Macro!H3)</f>
        <v>216295.12190219568</v>
      </c>
      <c r="N20" s="6">
        <f>M20*(1+Macro!I3)</f>
        <v>226569.14019255</v>
      </c>
      <c r="O20" s="6">
        <f>N20*(1+Macro!J3)</f>
        <v>237331.17435169613</v>
      </c>
      <c r="P20" s="6">
        <f>O20*(1+Macro!K3)</f>
        <v>248604.40513340171</v>
      </c>
      <c r="Q20" s="6">
        <f>P20*(1+Macro!L3)</f>
        <v>260413.11437723832</v>
      </c>
      <c r="R20" s="6">
        <f>Q20*(1+Macro!M3)</f>
        <v>272782.73731015716</v>
      </c>
    </row>
    <row r="21" spans="1:18" ht="13.5" x14ac:dyDescent="0.25">
      <c r="A21" s="1" t="s">
        <v>0</v>
      </c>
      <c r="C21" s="1" t="str">
        <f>Gerencial!B21</f>
        <v>Rent - Events</v>
      </c>
      <c r="D21" s="6">
        <f>SUM(Gerencial!C21:N21)</f>
        <v>935117</v>
      </c>
      <c r="E21" s="6">
        <f>SUM(Gerencial!O21:Z21)</f>
        <v>1099121</v>
      </c>
      <c r="F21" s="6">
        <f>SUM(Gerencial!AA21:AL21)</f>
        <v>1033259</v>
      </c>
      <c r="G21" s="6">
        <f>SUM(Gerencial!AM21:AX21)</f>
        <v>1031709</v>
      </c>
      <c r="H21" s="6">
        <f>SUM(Gerencial!AY21:BJ21)</f>
        <v>894879</v>
      </c>
      <c r="I21" s="6">
        <f>H21*(1+Macro!D3)</f>
        <v>946334.5425000001</v>
      </c>
      <c r="J21" s="6">
        <f>I21*(1+Macro!E3)</f>
        <v>1002830.7146872502</v>
      </c>
      <c r="K21" s="6">
        <f>J21*(1+Macro!F3)</f>
        <v>1059189.8008526736</v>
      </c>
      <c r="L21" s="6">
        <f>K21*(1+Macro!G3)</f>
        <v>1115644.6172381211</v>
      </c>
      <c r="M21" s="6">
        <f>L21*(1+Macro!H3)</f>
        <v>1168637.7365569319</v>
      </c>
      <c r="N21" s="6">
        <f>M21*(1+Macro!I3)</f>
        <v>1224148.0290433862</v>
      </c>
      <c r="O21" s="6">
        <f>N21*(1+Macro!J3)</f>
        <v>1282295.0604229472</v>
      </c>
      <c r="P21" s="6">
        <f>O21*(1+Macro!K3)</f>
        <v>1343204.0757930372</v>
      </c>
      <c r="Q21" s="6">
        <f>P21*(1+Macro!L3)</f>
        <v>1407006.2693932066</v>
      </c>
      <c r="R21" s="6">
        <f>Q21*(1+Macro!M3)</f>
        <v>1473839.067189384</v>
      </c>
    </row>
    <row r="22" spans="1:18" ht="13.5" x14ac:dyDescent="0.25">
      <c r="C22" s="1" t="str">
        <f>Gerencial!B22</f>
        <v>Other F&amp;B</v>
      </c>
      <c r="D22" s="6">
        <f>SUM(Gerencial!C22:N22)</f>
        <v>0</v>
      </c>
      <c r="E22" s="6">
        <f>SUM(Gerencial!O22:Z22)</f>
        <v>0</v>
      </c>
      <c r="F22" s="6">
        <f>SUM(Gerencial!AA22:AL22)</f>
        <v>0</v>
      </c>
      <c r="G22" s="6">
        <f>SUM(Gerencial!AM22:AX22)</f>
        <v>0</v>
      </c>
      <c r="H22" s="6">
        <f>SUM(Gerencial!AY22:BJ22)</f>
        <v>0</v>
      </c>
      <c r="I22" s="6"/>
      <c r="J22" s="6"/>
    </row>
    <row r="23" spans="1:18" ht="13.5" x14ac:dyDescent="0.25">
      <c r="A23" s="1" t="s">
        <v>0</v>
      </c>
      <c r="C23" s="1" t="str">
        <f>Gerencial!B23</f>
        <v>Other</v>
      </c>
      <c r="D23" s="6">
        <f>SUM(Gerencial!C23:N23)</f>
        <v>366064</v>
      </c>
      <c r="E23" s="6">
        <f>SUM(Gerencial!O23:Z23)</f>
        <v>339456</v>
      </c>
      <c r="F23" s="6">
        <f>SUM(Gerencial!AA23:AL23)</f>
        <v>404729</v>
      </c>
      <c r="G23" s="6">
        <f>SUM(Gerencial!AM23:AX23)</f>
        <v>405816</v>
      </c>
      <c r="H23" s="6">
        <f>SUM(Gerencial!AY23:BJ23)</f>
        <v>469530</v>
      </c>
      <c r="I23" s="6">
        <f>H23*(1+Macro!D3)</f>
        <v>496527.97500000003</v>
      </c>
      <c r="J23" s="6">
        <f>I23*(1+Macro!E3)</f>
        <v>526170.69510750007</v>
      </c>
      <c r="K23" s="6">
        <f>J23*(1+Macro!F3)</f>
        <v>555741.48817254161</v>
      </c>
      <c r="L23" s="6">
        <f>K23*(1+Macro!G3)</f>
        <v>585362.50949213805</v>
      </c>
      <c r="M23" s="6">
        <f>L23*(1+Macro!H3)</f>
        <v>613167.22869301471</v>
      </c>
      <c r="N23" s="6">
        <f>M23*(1+Macro!I3)</f>
        <v>642292.67205593293</v>
      </c>
      <c r="O23" s="6">
        <f>N23*(1+Macro!J3)</f>
        <v>672801.57397858985</v>
      </c>
      <c r="P23" s="6">
        <f>O23*(1+Macro!K3)</f>
        <v>704759.64874257299</v>
      </c>
      <c r="Q23" s="6">
        <f>P23*(1+Macro!L3)</f>
        <v>738235.73205784522</v>
      </c>
      <c r="R23" s="6">
        <f>Q23*(1+Macro!M3)</f>
        <v>773301.92933059298</v>
      </c>
    </row>
    <row r="24" spans="1:18" ht="13.5" x14ac:dyDescent="0.25">
      <c r="A24" s="1" t="s">
        <v>0</v>
      </c>
      <c r="C24" s="1" t="str">
        <f>Gerencial!B24</f>
        <v>Tourism Fee</v>
      </c>
      <c r="D24" s="6">
        <f>SUM(Gerencial!C24:N24)</f>
        <v>39520</v>
      </c>
      <c r="E24" s="6">
        <f>SUM(Gerencial!O24:Z24)</f>
        <v>28392</v>
      </c>
      <c r="F24" s="6">
        <f>SUM(Gerencial!AA24:AL24)</f>
        <v>26234</v>
      </c>
      <c r="G24" s="6">
        <f>SUM(Gerencial!AM24:AX24)</f>
        <v>39425</v>
      </c>
      <c r="H24" s="6">
        <f>SUM(Gerencial!AY24:BJ24)</f>
        <v>27577</v>
      </c>
      <c r="I24" s="6">
        <f>H24*(1+Macro!D3)</f>
        <v>29162.677500000002</v>
      </c>
      <c r="J24" s="6">
        <f>I24*(1+Macro!E3)</f>
        <v>30903.689346750005</v>
      </c>
      <c r="K24" s="6">
        <f>J24*(1+Macro!F3)</f>
        <v>32640.476688037357</v>
      </c>
      <c r="L24" s="6">
        <f>K24*(1+Macro!G3)</f>
        <v>34380.214095509742</v>
      </c>
      <c r="M24" s="6">
        <f>L24*(1+Macro!H3)</f>
        <v>36013.274265046457</v>
      </c>
      <c r="N24" s="6">
        <f>M24*(1+Macro!I3)</f>
        <v>37723.904792636167</v>
      </c>
      <c r="O24" s="6">
        <f>N24*(1+Macro!J3)</f>
        <v>39515.790270286387</v>
      </c>
      <c r="P24" s="6">
        <f>O24*(1+Macro!K3)</f>
        <v>41392.790308124997</v>
      </c>
      <c r="Q24" s="6">
        <f>P24*(1+Macro!L3)</f>
        <v>43358.947847760937</v>
      </c>
      <c r="R24" s="6">
        <f>Q24*(1+Macro!M3)</f>
        <v>45418.497870529587</v>
      </c>
    </row>
    <row r="25" spans="1:18" ht="13.5" x14ac:dyDescent="0.25">
      <c r="A25" s="1" t="s">
        <v>0</v>
      </c>
      <c r="C25" s="1" t="str">
        <f>Gerencial!B25</f>
        <v>Services Fee</v>
      </c>
      <c r="D25" s="6">
        <f>SUM(Gerencial!C25:N25)</f>
        <v>1520942</v>
      </c>
      <c r="E25" s="6">
        <f>SUM(Gerencial!O25:Z25)</f>
        <v>1707221</v>
      </c>
      <c r="F25" s="6">
        <f>SUM(Gerencial!AA25:AL25)</f>
        <v>1841652</v>
      </c>
      <c r="G25" s="6">
        <f>SUM(Gerencial!AM25:AX25)</f>
        <v>1906834</v>
      </c>
      <c r="H25" s="6">
        <f>SUM(Gerencial!AY25:BJ25)</f>
        <v>2057169</v>
      </c>
      <c r="I25" s="6">
        <f>H25*(1+Macro!D3)</f>
        <v>2175456.2175000003</v>
      </c>
      <c r="J25" s="6">
        <f>I25*(1+Macro!E3)</f>
        <v>2305330.9536847505</v>
      </c>
      <c r="K25" s="6">
        <f>J25*(1+Macro!F3)</f>
        <v>2434890.5532818334</v>
      </c>
      <c r="L25" s="6">
        <f>K25*(1+Macro!G3)</f>
        <v>2564670.2197717549</v>
      </c>
      <c r="M25" s="6">
        <f>L25*(1+Macro!H3)</f>
        <v>2686492.0552109135</v>
      </c>
      <c r="N25" s="6">
        <f>M25*(1+Macro!I3)</f>
        <v>2814100.4278334323</v>
      </c>
      <c r="O25" s="6">
        <f>N25*(1+Macro!J3)</f>
        <v>2947770.1981555205</v>
      </c>
      <c r="P25" s="6">
        <f>O25*(1+Macro!K3)</f>
        <v>3087789.2825679081</v>
      </c>
      <c r="Q25" s="6">
        <f>P25*(1+Macro!L3)</f>
        <v>3234459.2734898841</v>
      </c>
      <c r="R25" s="6">
        <f>Q25*(1+Macro!M3)</f>
        <v>3388096.0889806538</v>
      </c>
    </row>
    <row r="26" spans="1:18" ht="13.5" x14ac:dyDescent="0.25">
      <c r="C26" s="8" t="str">
        <f>Gerencial!B26</f>
        <v>Total Revenues</v>
      </c>
      <c r="D26" s="9">
        <f>SUM(D14:D25)</f>
        <v>17006411</v>
      </c>
      <c r="E26" s="11">
        <f t="shared" ref="E26:H26" si="3">SUM(E14:E25)</f>
        <v>19182589</v>
      </c>
      <c r="F26" s="11">
        <f t="shared" si="3"/>
        <v>20711684</v>
      </c>
      <c r="G26" s="11">
        <f t="shared" si="3"/>
        <v>21446968</v>
      </c>
      <c r="H26" s="11">
        <f t="shared" si="3"/>
        <v>22932995</v>
      </c>
      <c r="I26" s="9">
        <f>SUM(I14:I25)</f>
        <v>26132289.436349098</v>
      </c>
      <c r="J26" s="9">
        <f>SUM(J14:J25)</f>
        <v>24398098.731116034</v>
      </c>
      <c r="K26" s="9">
        <f t="shared" ref="K26:R26" si="4">SUM(K14:K25)</f>
        <v>25465123.496326663</v>
      </c>
      <c r="L26" s="9">
        <f t="shared" si="4"/>
        <v>27197962.53797603</v>
      </c>
      <c r="M26" s="9">
        <f t="shared" si="4"/>
        <v>28471961.291502364</v>
      </c>
      <c r="N26" s="11">
        <f t="shared" si="4"/>
        <v>29822627.083285347</v>
      </c>
      <c r="O26" s="11">
        <f t="shared" si="4"/>
        <v>31417714.023501977</v>
      </c>
      <c r="P26" s="11">
        <f t="shared" si="4"/>
        <v>32911518.589352909</v>
      </c>
      <c r="Q26" s="11">
        <f t="shared" si="4"/>
        <v>34672175.288286716</v>
      </c>
      <c r="R26" s="11">
        <f t="shared" si="4"/>
        <v>36318046.421239026</v>
      </c>
    </row>
    <row r="27" spans="1:18" ht="13.5" x14ac:dyDescent="0.25">
      <c r="C27" s="5" t="str">
        <f>Gerencial!B27</f>
        <v>TAXES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hidden="1" outlineLevel="1" x14ac:dyDescent="0.25">
      <c r="C28" s="1" t="str">
        <f>Gerencial!B28</f>
        <v>ISS</v>
      </c>
      <c r="D28" s="6">
        <f>SUM(Gerencial!C28:N28)</f>
        <v>551989</v>
      </c>
      <c r="E28" s="6">
        <f>SUM(Gerencial!O28:Z28)</f>
        <v>616281</v>
      </c>
      <c r="F28" s="6">
        <f>SUM(Gerencial!AA28:AL28)</f>
        <v>700131</v>
      </c>
      <c r="G28" s="6">
        <f>SUM(Gerencial!AM28:AX28)</f>
        <v>736993</v>
      </c>
      <c r="H28" s="6">
        <f>SUM(Gerencial!AY28:BJ28)</f>
        <v>791685</v>
      </c>
    </row>
    <row r="29" spans="1:18" ht="13.5" hidden="1" outlineLevel="1" x14ac:dyDescent="0.25">
      <c r="C29" s="1" t="str">
        <f>Gerencial!B29</f>
        <v>ICMS</v>
      </c>
      <c r="D29" s="6">
        <f>SUM(Gerencial!C29:N29)</f>
        <v>91748</v>
      </c>
      <c r="E29" s="6">
        <f>SUM(Gerencial!O29:Z29)</f>
        <v>95657</v>
      </c>
      <c r="F29" s="6">
        <f>SUM(Gerencial!AA29:AL29)</f>
        <v>87386</v>
      </c>
      <c r="G29" s="6">
        <f>SUM(Gerencial!AM29:AX29)</f>
        <v>83534</v>
      </c>
      <c r="H29" s="6">
        <f>SUM(Gerencial!AY29:BJ29)</f>
        <v>86638</v>
      </c>
    </row>
    <row r="30" spans="1:18" ht="13.5" hidden="1" outlineLevel="1" x14ac:dyDescent="0.25">
      <c r="C30" s="1" t="str">
        <f>Gerencial!B30</f>
        <v>PIS</v>
      </c>
      <c r="D30" s="6">
        <f>SUM(Gerencial!C30:N30)</f>
        <v>129033</v>
      </c>
      <c r="E30" s="6">
        <f>SUM(Gerencial!O30:Z30)</f>
        <v>157653</v>
      </c>
      <c r="F30" s="6">
        <f>SUM(Gerencial!AA30:AL30)</f>
        <v>166287</v>
      </c>
      <c r="G30" s="6">
        <f>SUM(Gerencial!AM30:AX30)</f>
        <v>171223</v>
      </c>
      <c r="H30" s="6">
        <f>SUM(Gerencial!AY30:BJ30)</f>
        <v>178129</v>
      </c>
    </row>
    <row r="31" spans="1:18" ht="13.5" hidden="1" outlineLevel="1" x14ac:dyDescent="0.25">
      <c r="C31" s="1" t="str">
        <f>Gerencial!B31</f>
        <v>COFINS</v>
      </c>
      <c r="D31" s="6">
        <f>SUM(Gerencial!C31:N31)</f>
        <v>595002</v>
      </c>
      <c r="E31" s="6">
        <f>SUM(Gerencial!O31:Z31)</f>
        <v>736188</v>
      </c>
      <c r="F31" s="6">
        <f>SUM(Gerencial!AA31:AL31)</f>
        <v>775176</v>
      </c>
      <c r="G31" s="6">
        <f>SUM(Gerencial!AM31:AX31)</f>
        <v>805643</v>
      </c>
      <c r="H31" s="6">
        <f>SUM(Gerencial!AY31:BJ31)</f>
        <v>830449</v>
      </c>
    </row>
    <row r="32" spans="1:18" ht="13.5" hidden="1" outlineLevel="1" x14ac:dyDescent="0.25">
      <c r="C32" s="1" t="str">
        <f>Gerencial!B32</f>
        <v>IR e CSLL</v>
      </c>
      <c r="D32" s="6">
        <f>SUM(Gerencial!C32:N32)</f>
        <v>144190</v>
      </c>
      <c r="E32" s="6">
        <f>SUM(Gerencial!O32:Z32)</f>
        <v>119465</v>
      </c>
      <c r="F32" s="6">
        <f>SUM(Gerencial!AA32:AL32)</f>
        <v>206876</v>
      </c>
      <c r="G32" s="6">
        <f>SUM(Gerencial!AM32:AX32)</f>
        <v>193022</v>
      </c>
      <c r="H32" s="6">
        <f>SUM(Gerencial!AY32:BJ32)</f>
        <v>189822</v>
      </c>
    </row>
    <row r="33" spans="1:18" ht="13.5" collapsed="1" x14ac:dyDescent="0.25">
      <c r="C33" s="8" t="str">
        <f>Gerencial!B33</f>
        <v>Total Taxes</v>
      </c>
      <c r="D33" s="9">
        <f>SUM(D28:D32)</f>
        <v>1511962</v>
      </c>
      <c r="E33" s="11">
        <f t="shared" ref="E33:H33" si="5">SUM(E28:E32)</f>
        <v>1725244</v>
      </c>
      <c r="F33" s="11">
        <f t="shared" si="5"/>
        <v>1935856</v>
      </c>
      <c r="G33" s="11">
        <f t="shared" si="5"/>
        <v>1990415</v>
      </c>
      <c r="H33" s="11">
        <f t="shared" si="5"/>
        <v>2076723</v>
      </c>
      <c r="I33" s="11">
        <f>I26*Premissas!$C$22</f>
        <v>2325773.7598350695</v>
      </c>
      <c r="J33" s="11">
        <f>J26*Premissas!$C$22</f>
        <v>2171430.7870693267</v>
      </c>
      <c r="K33" s="11">
        <f>K26*Premissas!$C$22</f>
        <v>2266395.9911730727</v>
      </c>
      <c r="L33" s="11">
        <f>L26*Premissas!$C$22</f>
        <v>2420618.6658798666</v>
      </c>
      <c r="M33" s="11">
        <f>M26*Premissas!$C$22</f>
        <v>2534004.5549437101</v>
      </c>
      <c r="N33" s="11">
        <f>N26*Premissas!$C$22</f>
        <v>2654213.8104123957</v>
      </c>
      <c r="O33" s="11">
        <f>O26*Premissas!$C$22</f>
        <v>2796176.5480916756</v>
      </c>
      <c r="P33" s="11">
        <f>P26*Premissas!$C$22</f>
        <v>2929125.1544524087</v>
      </c>
      <c r="Q33" s="11">
        <f>Q26*Premissas!$C$22</f>
        <v>3085823.6006575176</v>
      </c>
      <c r="R33" s="11">
        <f>R26*Premissas!$C$22</f>
        <v>3232306.1314902729</v>
      </c>
    </row>
    <row r="34" spans="1:18" x14ac:dyDescent="0.2">
      <c r="C34" s="1" t="s">
        <v>129</v>
      </c>
      <c r="D34" s="3">
        <f>D33/D26</f>
        <v>8.8905413376167378E-2</v>
      </c>
      <c r="E34" s="3">
        <f>E33/E26</f>
        <v>8.9938016187491684E-2</v>
      </c>
      <c r="F34" s="3">
        <f>F33/F26</f>
        <v>9.3466856678578139E-2</v>
      </c>
      <c r="G34" s="3">
        <f>G33/G26</f>
        <v>9.2806358455889901E-2</v>
      </c>
      <c r="H34" s="3">
        <f>H33/H26</f>
        <v>9.0556117942728373E-2</v>
      </c>
      <c r="I34" s="3">
        <f t="shared" ref="I34:R34" si="6">I33/I26</f>
        <v>8.8999999999999996E-2</v>
      </c>
      <c r="J34" s="3">
        <f t="shared" si="6"/>
        <v>8.8999999999999982E-2</v>
      </c>
      <c r="K34" s="3">
        <f t="shared" si="6"/>
        <v>8.8999999999999996E-2</v>
      </c>
      <c r="L34" s="3">
        <f t="shared" si="6"/>
        <v>8.8999999999999996E-2</v>
      </c>
      <c r="M34" s="3">
        <f t="shared" si="6"/>
        <v>8.8999999999999996E-2</v>
      </c>
      <c r="N34" s="3">
        <f t="shared" si="6"/>
        <v>8.8999999999999996E-2</v>
      </c>
      <c r="O34" s="3">
        <f t="shared" si="6"/>
        <v>8.8999999999999982E-2</v>
      </c>
      <c r="P34" s="3">
        <f t="shared" si="6"/>
        <v>8.8999999999999996E-2</v>
      </c>
      <c r="Q34" s="3">
        <f t="shared" si="6"/>
        <v>8.8999999999999996E-2</v>
      </c>
      <c r="R34" s="3">
        <f t="shared" si="6"/>
        <v>8.8999999999999996E-2</v>
      </c>
    </row>
    <row r="35" spans="1:18" ht="13.5" x14ac:dyDescent="0.25">
      <c r="C35" s="5" t="str">
        <f>Gerencial!B34</f>
        <v>VARIABLE COSTS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x14ac:dyDescent="0.25">
      <c r="A36" s="1" t="s">
        <v>131</v>
      </c>
      <c r="C36" s="1" t="str">
        <f>Gerencial!B35</f>
        <v>F &amp; B</v>
      </c>
      <c r="D36" s="6">
        <f>SUM(Gerencial!C35:N35)</f>
        <v>1278977</v>
      </c>
      <c r="E36" s="6">
        <f>SUM(Gerencial!O35:Z35)</f>
        <v>1362759</v>
      </c>
      <c r="F36" s="6">
        <f>SUM(Gerencial!AA35:AL35)</f>
        <v>1266235</v>
      </c>
      <c r="G36" s="6">
        <f>SUM(Gerencial!AM35:AX35)</f>
        <v>1306439</v>
      </c>
      <c r="H36" s="6">
        <f>SUM(Gerencial!AY35:BJ35)</f>
        <v>1326241</v>
      </c>
      <c r="I36" s="6">
        <f>SUM(I15:I18)*Premissas!$C$25</f>
        <v>1472678.9350101473</v>
      </c>
      <c r="J36" s="6">
        <f>SUM(J15:J18)*Premissas!$C$25</f>
        <v>1445953.2744096019</v>
      </c>
      <c r="K36" s="6">
        <f>SUM(K15:K18)*Premissas!$C$25</f>
        <v>1516631.2549012299</v>
      </c>
      <c r="L36" s="6">
        <f>SUM(L15:L18)*Premissas!$C$25</f>
        <v>1610537.053498718</v>
      </c>
      <c r="M36" s="6">
        <f>SUM(M15:M18)*Premissas!$C$25</f>
        <v>1686414.4745604617</v>
      </c>
      <c r="N36" s="6">
        <f>SUM(N15:N18)*Premissas!$C$25</f>
        <v>1766458.1783173566</v>
      </c>
      <c r="O36" s="6">
        <f>SUM(O15:O18)*Premissas!$C$25</f>
        <v>1856577.2996048478</v>
      </c>
      <c r="P36" s="6">
        <f>SUM(P15:P18)*Premissas!$C$25</f>
        <v>1944815.6400522557</v>
      </c>
      <c r="Q36" s="6">
        <f>SUM(Q15:Q18)*Premissas!$C$25</f>
        <v>2044062.6449552674</v>
      </c>
      <c r="R36" s="6">
        <f>SUM(R15:R18)*Premissas!$C$25</f>
        <v>2141118.8294671322</v>
      </c>
    </row>
    <row r="37" spans="1:18" ht="13.5" x14ac:dyDescent="0.25">
      <c r="A37" s="1" t="s">
        <v>0</v>
      </c>
      <c r="C37" s="1" t="str">
        <f>Gerencial!B36</f>
        <v>Telecommunication</v>
      </c>
      <c r="D37" s="6">
        <f>SUM(Gerencial!C36:N36)</f>
        <v>96199</v>
      </c>
      <c r="E37" s="6">
        <f>SUM(Gerencial!O36:Z36)</f>
        <v>82571</v>
      </c>
      <c r="F37" s="6">
        <f>SUM(Gerencial!AA36:AL36)</f>
        <v>24756</v>
      </c>
      <c r="G37" s="6">
        <f>SUM(Gerencial!AM36:AX36)</f>
        <v>29249</v>
      </c>
      <c r="H37" s="6">
        <f>SUM(Gerencial!AY36:BJ36)</f>
        <v>33778</v>
      </c>
      <c r="I37" s="6">
        <f>H37*(1+Macro!D3)</f>
        <v>35720.235000000001</v>
      </c>
      <c r="J37" s="6">
        <f>I37*(1+Macro!E3)</f>
        <v>37852.733029500007</v>
      </c>
      <c r="K37" s="6">
        <f>J37*(1+Macro!F3)</f>
        <v>39980.056625757905</v>
      </c>
      <c r="L37" s="6">
        <f>K37*(1+Macro!G3)</f>
        <v>42110.993643910799</v>
      </c>
      <c r="M37" s="6">
        <f>L37*(1+Macro!H3)</f>
        <v>44111.265841996566</v>
      </c>
      <c r="N37" s="6">
        <f>M37*(1+Macro!I3)</f>
        <v>46206.550969491407</v>
      </c>
      <c r="O37" s="6">
        <f>N37*(1+Macro!J3)</f>
        <v>48401.362140542253</v>
      </c>
      <c r="P37" s="6">
        <f>O37*(1+Macro!K3)</f>
        <v>50700.426842218018</v>
      </c>
      <c r="Q37" s="6">
        <f>P37*(1+Macro!L3)</f>
        <v>53108.697117223375</v>
      </c>
      <c r="R37" s="6">
        <f>Q37*(1+Macro!M3)</f>
        <v>55631.360230291488</v>
      </c>
    </row>
    <row r="38" spans="1:18" ht="13.5" x14ac:dyDescent="0.25">
      <c r="A38" s="1" t="s">
        <v>0</v>
      </c>
      <c r="C38" s="1" t="str">
        <f>Gerencial!B37</f>
        <v>Laundry</v>
      </c>
      <c r="D38" s="6">
        <f>SUM(Gerencial!C37:N37)</f>
        <v>49781</v>
      </c>
      <c r="E38" s="6">
        <f>SUM(Gerencial!O37:Z37)</f>
        <v>52723</v>
      </c>
      <c r="F38" s="6">
        <f>SUM(Gerencial!AA37:AL37)</f>
        <v>62593</v>
      </c>
      <c r="G38" s="6">
        <f>SUM(Gerencial!AM37:AX37)</f>
        <v>58484</v>
      </c>
      <c r="H38" s="6">
        <f>SUM(Gerencial!AY37:BJ37)</f>
        <v>97567</v>
      </c>
      <c r="I38" s="6">
        <f>H38*(1+Macro!D3)</f>
        <v>103177.10250000001</v>
      </c>
      <c r="J38" s="6">
        <f>I38*(1+Macro!E3)</f>
        <v>109336.77551925002</v>
      </c>
      <c r="K38" s="6">
        <f>J38*(1+Macro!F3)</f>
        <v>115481.50230343187</v>
      </c>
      <c r="L38" s="6">
        <f>K38*(1+Macro!G3)</f>
        <v>121636.66637620478</v>
      </c>
      <c r="M38" s="6">
        <f>L38*(1+Macro!H3)</f>
        <v>127414.40802907452</v>
      </c>
      <c r="N38" s="6">
        <f>M38*(1+Macro!I3)</f>
        <v>133466.59241045557</v>
      </c>
      <c r="O38" s="6">
        <f>N38*(1+Macro!J3)</f>
        <v>139806.25554995221</v>
      </c>
      <c r="P38" s="6">
        <f>O38*(1+Macro!K3)</f>
        <v>146447.05268857497</v>
      </c>
      <c r="Q38" s="6">
        <f>P38*(1+Macro!L3)</f>
        <v>153403.28769128228</v>
      </c>
      <c r="R38" s="6">
        <f>Q38*(1+Macro!M3)</f>
        <v>160689.94385661819</v>
      </c>
    </row>
    <row r="39" spans="1:18" ht="13.5" x14ac:dyDescent="0.25">
      <c r="C39" s="1" t="str">
        <f>Gerencial!B38</f>
        <v>Other</v>
      </c>
      <c r="D39" s="6">
        <f>SUM(Gerencial!C38:N38)</f>
        <v>0</v>
      </c>
      <c r="E39" s="6">
        <f>SUM(Gerencial!O38:Z38)</f>
        <v>0</v>
      </c>
      <c r="F39" s="6">
        <f>SUM(Gerencial!AA38:AL38)</f>
        <v>0</v>
      </c>
      <c r="G39" s="6">
        <f>SUM(Gerencial!AM38:AX38)</f>
        <v>0</v>
      </c>
      <c r="H39" s="6">
        <f>SUM(Gerencial!AY38:BJ38)</f>
        <v>0</v>
      </c>
      <c r="I39" s="70">
        <f>H39</f>
        <v>0</v>
      </c>
      <c r="J39" s="70">
        <f t="shared" ref="J39:R39" si="7">I39</f>
        <v>0</v>
      </c>
      <c r="K39" s="70">
        <f t="shared" si="7"/>
        <v>0</v>
      </c>
      <c r="L39" s="70">
        <f t="shared" si="7"/>
        <v>0</v>
      </c>
      <c r="M39" s="70">
        <f t="shared" si="7"/>
        <v>0</v>
      </c>
      <c r="N39" s="70">
        <f t="shared" si="7"/>
        <v>0</v>
      </c>
      <c r="O39" s="70">
        <f t="shared" si="7"/>
        <v>0</v>
      </c>
      <c r="P39" s="70">
        <f t="shared" si="7"/>
        <v>0</v>
      </c>
      <c r="Q39" s="70">
        <f t="shared" si="7"/>
        <v>0</v>
      </c>
      <c r="R39" s="70">
        <f t="shared" si="7"/>
        <v>0</v>
      </c>
    </row>
    <row r="40" spans="1:18" ht="13.5" x14ac:dyDescent="0.25">
      <c r="C40" s="8" t="str">
        <f>Gerencial!B39</f>
        <v>Total Variable Costs</v>
      </c>
      <c r="D40" s="9">
        <f>SUM(D36:D39)</f>
        <v>1424957</v>
      </c>
      <c r="E40" s="11">
        <f t="shared" ref="E40:H40" si="8">SUM(E36:E39)</f>
        <v>1498053</v>
      </c>
      <c r="F40" s="11">
        <f t="shared" si="8"/>
        <v>1353584</v>
      </c>
      <c r="G40" s="11">
        <f t="shared" si="8"/>
        <v>1394172</v>
      </c>
      <c r="H40" s="11">
        <f t="shared" si="8"/>
        <v>1457586</v>
      </c>
      <c r="I40" s="9">
        <f>SUM(I36:I39)</f>
        <v>1611576.2725101474</v>
      </c>
      <c r="J40" s="9">
        <f t="shared" ref="J40:R40" si="9">SUM(J36:J39)</f>
        <v>1593142.782958352</v>
      </c>
      <c r="K40" s="9">
        <f t="shared" si="9"/>
        <v>1672092.8138304197</v>
      </c>
      <c r="L40" s="9">
        <f t="shared" si="9"/>
        <v>1774284.7135188335</v>
      </c>
      <c r="M40" s="9">
        <f t="shared" si="9"/>
        <v>1857940.1484315328</v>
      </c>
      <c r="N40" s="9">
        <f t="shared" si="9"/>
        <v>1946131.3216973036</v>
      </c>
      <c r="O40" s="9">
        <f t="shared" si="9"/>
        <v>2044784.9172953423</v>
      </c>
      <c r="P40" s="9">
        <f t="shared" si="9"/>
        <v>2141963.1195830489</v>
      </c>
      <c r="Q40" s="9">
        <f t="shared" si="9"/>
        <v>2250574.6297637727</v>
      </c>
      <c r="R40" s="9">
        <f t="shared" si="9"/>
        <v>2357440.1335540419</v>
      </c>
    </row>
    <row r="41" spans="1:18" ht="13.5" x14ac:dyDescent="0.25">
      <c r="C41" s="5" t="str">
        <f>Gerencial!B40</f>
        <v>PAYROLL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1" t="s">
        <v>0</v>
      </c>
      <c r="C42" s="1" t="str">
        <f>Gerencial!B41</f>
        <v>Apartments</v>
      </c>
      <c r="D42" s="6">
        <f>SUM(Gerencial!C41:N41)</f>
        <v>1445101</v>
      </c>
      <c r="E42" s="6">
        <f>SUM(Gerencial!O41:Z41)</f>
        <v>1574820</v>
      </c>
      <c r="F42" s="6">
        <f>SUM(Gerencial!AA41:AL41)</f>
        <v>1721512</v>
      </c>
      <c r="G42" s="6">
        <f>SUM(Gerencial!AM41:AX41)</f>
        <v>1920715</v>
      </c>
      <c r="H42" s="6">
        <f>SUM(Gerencial!AY41:BJ41)</f>
        <v>2007263</v>
      </c>
      <c r="I42" s="6">
        <f>H42*(1+Macro!D3)</f>
        <v>2122680.6225000001</v>
      </c>
      <c r="J42" s="6">
        <f>I42*(1+Macro!E3)</f>
        <v>2249404.65566325</v>
      </c>
      <c r="K42" s="6">
        <f>J42*(1+Macro!F3)</f>
        <v>2375821.1973115248</v>
      </c>
      <c r="L42" s="6">
        <f>K42*(1+Macro!G3)</f>
        <v>2502452.4671282289</v>
      </c>
      <c r="M42" s="6">
        <f>L42*(1+Macro!H3)</f>
        <v>2621318.9593168199</v>
      </c>
      <c r="N42" s="6">
        <f>M42*(1+Macro!I3)</f>
        <v>2745831.6098843692</v>
      </c>
      <c r="O42" s="6">
        <f>N42*(1+Macro!J3)</f>
        <v>2876258.611353877</v>
      </c>
      <c r="P42" s="6">
        <f>O42*(1+Macro!K3)</f>
        <v>3012880.8953931862</v>
      </c>
      <c r="Q42" s="6">
        <f>P42*(1+Macro!L3)</f>
        <v>3155992.737924363</v>
      </c>
      <c r="R42" s="6">
        <f>Q42*(1+Macro!M3)</f>
        <v>3305902.3929757704</v>
      </c>
    </row>
    <row r="43" spans="1:18" x14ac:dyDescent="0.2">
      <c r="A43" s="1" t="s">
        <v>0</v>
      </c>
      <c r="C43" s="1" t="str">
        <f>Gerencial!B42</f>
        <v>F &amp; B</v>
      </c>
      <c r="D43" s="6">
        <f>SUM(Gerencial!C42:N42)</f>
        <v>1997755</v>
      </c>
      <c r="E43" s="6">
        <f>SUM(Gerencial!O42:Z42)</f>
        <v>2424166</v>
      </c>
      <c r="F43" s="6">
        <f>SUM(Gerencial!AA42:AL42)</f>
        <v>2198643</v>
      </c>
      <c r="G43" s="6">
        <f>SUM(Gerencial!AM42:AX42)</f>
        <v>2416144</v>
      </c>
      <c r="H43" s="6">
        <f>SUM(Gerencial!AY42:BJ42)</f>
        <v>2435561</v>
      </c>
      <c r="I43" s="6">
        <f>H43*(1+Macro!D3)</f>
        <v>2575605.7575000003</v>
      </c>
      <c r="J43" s="6">
        <f>I43*(1+Macro!E3)</f>
        <v>2729369.4212227506</v>
      </c>
      <c r="K43" s="6">
        <f>J43*(1+Macro!F3)</f>
        <v>2882759.9826954692</v>
      </c>
      <c r="L43" s="6">
        <f>K43*(1+Macro!G3)</f>
        <v>3036411.0897731376</v>
      </c>
      <c r="M43" s="6">
        <f>L43*(1+Macro!H3)</f>
        <v>3180640.6165373619</v>
      </c>
      <c r="N43" s="6">
        <f>M43*(1+Macro!I3)</f>
        <v>3331721.0458228868</v>
      </c>
      <c r="O43" s="6">
        <f>N43*(1+Macro!J3)</f>
        <v>3489977.7954994743</v>
      </c>
      <c r="P43" s="6">
        <f>O43*(1+Macro!K3)</f>
        <v>3655751.7407856998</v>
      </c>
      <c r="Q43" s="6">
        <f>P43*(1+Macro!L3)</f>
        <v>3829399.9484730209</v>
      </c>
      <c r="R43" s="6">
        <f>Q43*(1+Macro!M3)</f>
        <v>4011296.4460254898</v>
      </c>
    </row>
    <row r="44" spans="1:18" x14ac:dyDescent="0.2">
      <c r="A44" s="1" t="s">
        <v>0</v>
      </c>
      <c r="C44" s="1" t="str">
        <f>Gerencial!B43</f>
        <v>Other</v>
      </c>
      <c r="D44" s="6">
        <f>SUM(Gerencial!C43:N43)</f>
        <v>0</v>
      </c>
      <c r="E44" s="6">
        <f>SUM(Gerencial!O43:Z43)</f>
        <v>0</v>
      </c>
      <c r="F44" s="6">
        <f>SUM(Gerencial!AA43:AL43)</f>
        <v>0</v>
      </c>
      <c r="G44" s="6">
        <f>SUM(Gerencial!AM43:AX43)</f>
        <v>0</v>
      </c>
      <c r="H44" s="6">
        <f>SUM(Gerencial!AY43:BJ43)</f>
        <v>0</v>
      </c>
    </row>
    <row r="45" spans="1:18" x14ac:dyDescent="0.2">
      <c r="C45" s="8" t="str">
        <f>Gerencial!B44</f>
        <v>Total Payroll</v>
      </c>
      <c r="D45" s="9">
        <f>SUM(D42:D44)</f>
        <v>3442856</v>
      </c>
      <c r="E45" s="11">
        <f t="shared" ref="E45:R45" si="10">SUM(E42:E44)</f>
        <v>3998986</v>
      </c>
      <c r="F45" s="11">
        <f t="shared" si="10"/>
        <v>3920155</v>
      </c>
      <c r="G45" s="11">
        <f t="shared" si="10"/>
        <v>4336859</v>
      </c>
      <c r="H45" s="11">
        <f t="shared" si="10"/>
        <v>4442824</v>
      </c>
      <c r="I45" s="11">
        <f t="shared" si="10"/>
        <v>4698286.3800000008</v>
      </c>
      <c r="J45" s="11">
        <f t="shared" si="10"/>
        <v>4978774.0768860001</v>
      </c>
      <c r="K45" s="11">
        <f t="shared" si="10"/>
        <v>5258581.1800069939</v>
      </c>
      <c r="L45" s="11">
        <f t="shared" si="10"/>
        <v>5538863.5569013664</v>
      </c>
      <c r="M45" s="11">
        <f t="shared" si="10"/>
        <v>5801959.5758541822</v>
      </c>
      <c r="N45" s="11">
        <f t="shared" si="10"/>
        <v>6077552.6557072559</v>
      </c>
      <c r="O45" s="11">
        <f t="shared" si="10"/>
        <v>6366236.4068533517</v>
      </c>
      <c r="P45" s="11">
        <f t="shared" si="10"/>
        <v>6668632.6361788865</v>
      </c>
      <c r="Q45" s="11">
        <f t="shared" si="10"/>
        <v>6985392.6863973839</v>
      </c>
      <c r="R45" s="11">
        <f t="shared" si="10"/>
        <v>7317198.8390012607</v>
      </c>
    </row>
    <row r="46" spans="1:18" x14ac:dyDescent="0.2">
      <c r="C46" s="5" t="str">
        <f>Gerencial!B45</f>
        <v>OTHER EXPENSES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1" t="s">
        <v>0</v>
      </c>
      <c r="C47" s="1" t="str">
        <f>Gerencial!B46</f>
        <v>Apartments</v>
      </c>
      <c r="D47" s="6">
        <f>SUM(Gerencial!C46:N46)</f>
        <v>1175697</v>
      </c>
      <c r="E47" s="4">
        <f>SUM(Gerencial!O46:Z46)</f>
        <v>1210421</v>
      </c>
      <c r="F47" s="4">
        <f>SUM(Gerencial!AA46:AL46)</f>
        <v>1412578</v>
      </c>
      <c r="G47" s="4">
        <f>SUM(Gerencial!AM46:AX46)</f>
        <v>1398272</v>
      </c>
      <c r="H47" s="4">
        <f>SUM(Gerencial!AY46:BJ46)</f>
        <v>1621284</v>
      </c>
      <c r="I47" s="6">
        <f>H47*(1+Macro!D3)</f>
        <v>1714507.83</v>
      </c>
      <c r="J47" s="6">
        <f>I47*(1+Macro!E3)</f>
        <v>1816863.9474510003</v>
      </c>
      <c r="K47" s="6">
        <f>J47*(1+Macro!F3)</f>
        <v>1918971.7012977465</v>
      </c>
      <c r="L47" s="6">
        <f>K47*(1+Macro!G3)</f>
        <v>2021252.8929769162</v>
      </c>
      <c r="M47" s="6">
        <f>L47*(1+Macro!H3)</f>
        <v>2117262.4053933197</v>
      </c>
      <c r="N47" s="6">
        <f>M47*(1+Macro!I3)</f>
        <v>2217832.3696495024</v>
      </c>
      <c r="O47" s="6">
        <f>N47*(1+Macro!J3)</f>
        <v>2323179.4072078541</v>
      </c>
      <c r="P47" s="6">
        <f>O47*(1+Macro!K3)</f>
        <v>2433530.4290502272</v>
      </c>
      <c r="Q47" s="6">
        <f>P47*(1+Macro!L3)</f>
        <v>2549123.124430113</v>
      </c>
      <c r="R47" s="6">
        <f>Q47*(1+Macro!M3)</f>
        <v>2670206.4728405438</v>
      </c>
    </row>
    <row r="48" spans="1:18" x14ac:dyDescent="0.2">
      <c r="A48" s="1" t="s">
        <v>0</v>
      </c>
      <c r="C48" s="1" t="str">
        <f>Gerencial!B47</f>
        <v>F &amp; B</v>
      </c>
      <c r="D48" s="6">
        <f>SUM(Gerencial!C47:N47)</f>
        <v>371980</v>
      </c>
      <c r="E48" s="4">
        <f>SUM(Gerencial!O47:Z47)</f>
        <v>386210</v>
      </c>
      <c r="F48" s="4">
        <f>SUM(Gerencial!AA47:AL47)</f>
        <v>396723</v>
      </c>
      <c r="G48" s="4">
        <f>SUM(Gerencial!AM47:AX47)</f>
        <v>389887</v>
      </c>
      <c r="H48" s="4">
        <f>SUM(Gerencial!AY47:BJ47)</f>
        <v>353894</v>
      </c>
      <c r="I48" s="6">
        <f>H48*(1+Macro!D3)</f>
        <v>374242.90500000003</v>
      </c>
      <c r="J48" s="6">
        <f>I48*(1+Macro!E3)</f>
        <v>396585.20642850007</v>
      </c>
      <c r="K48" s="6">
        <f>J48*(1+Macro!F3)</f>
        <v>418873.29502978176</v>
      </c>
      <c r="L48" s="6">
        <f>K48*(1+Macro!G3)</f>
        <v>441199.24165486911</v>
      </c>
      <c r="M48" s="6">
        <f>L48*(1+Macro!H3)</f>
        <v>462156.20563347545</v>
      </c>
      <c r="N48" s="6">
        <f>M48*(1+Macro!I3)</f>
        <v>484108.62540106557</v>
      </c>
      <c r="O48" s="6">
        <f>N48*(1+Macro!J3)</f>
        <v>507103.78510761622</v>
      </c>
      <c r="P48" s="6">
        <f>O48*(1+Macro!K3)</f>
        <v>531191.21490022808</v>
      </c>
      <c r="Q48" s="6">
        <f>P48*(1+Macro!L3)</f>
        <v>556422.79760798893</v>
      </c>
      <c r="R48" s="6">
        <f>Q48*(1+Macro!M3)</f>
        <v>582852.8804943685</v>
      </c>
    </row>
    <row r="49" spans="1:18" x14ac:dyDescent="0.2">
      <c r="A49" s="1" t="s">
        <v>0</v>
      </c>
      <c r="C49" s="1" t="str">
        <f>Gerencial!B48</f>
        <v>Other</v>
      </c>
      <c r="D49" s="6">
        <f>SUM(Gerencial!C48:N48)</f>
        <v>0</v>
      </c>
      <c r="E49" s="4">
        <f>SUM(Gerencial!O48:Z48)</f>
        <v>0</v>
      </c>
      <c r="F49" s="4">
        <f>SUM(Gerencial!AA48:AL48)</f>
        <v>0</v>
      </c>
      <c r="G49" s="4">
        <f>SUM(Gerencial!AM48:AX48)</f>
        <v>0</v>
      </c>
      <c r="H49" s="4">
        <f>SUM(Gerencial!AY48:BJ48)</f>
        <v>0</v>
      </c>
      <c r="I49" s="13">
        <f>H49</f>
        <v>0</v>
      </c>
      <c r="J49" s="13">
        <f t="shared" ref="J49:R49" si="11">I49</f>
        <v>0</v>
      </c>
      <c r="K49" s="13">
        <f t="shared" si="11"/>
        <v>0</v>
      </c>
      <c r="L49" s="13">
        <f t="shared" si="11"/>
        <v>0</v>
      </c>
      <c r="M49" s="13">
        <f t="shared" si="11"/>
        <v>0</v>
      </c>
      <c r="N49" s="13">
        <f t="shared" si="11"/>
        <v>0</v>
      </c>
      <c r="O49" s="13">
        <f t="shared" si="11"/>
        <v>0</v>
      </c>
      <c r="P49" s="13">
        <f t="shared" si="11"/>
        <v>0</v>
      </c>
      <c r="Q49" s="13">
        <f t="shared" si="11"/>
        <v>0</v>
      </c>
      <c r="R49" s="13">
        <f t="shared" si="11"/>
        <v>0</v>
      </c>
    </row>
    <row r="50" spans="1:18" x14ac:dyDescent="0.2">
      <c r="C50" s="8" t="str">
        <f>Gerencial!B49</f>
        <v>Total</v>
      </c>
      <c r="D50" s="11">
        <f>SUM(D47:D49)</f>
        <v>1547677</v>
      </c>
      <c r="E50" s="11">
        <f t="shared" ref="E50:R50" si="12">SUM(E47:E49)</f>
        <v>1596631</v>
      </c>
      <c r="F50" s="11">
        <f t="shared" si="12"/>
        <v>1809301</v>
      </c>
      <c r="G50" s="11">
        <f t="shared" si="12"/>
        <v>1788159</v>
      </c>
      <c r="H50" s="11">
        <f t="shared" si="12"/>
        <v>1975178</v>
      </c>
      <c r="I50" s="11">
        <f t="shared" si="12"/>
        <v>2088750.7350000001</v>
      </c>
      <c r="J50" s="11">
        <f t="shared" si="12"/>
        <v>2213449.1538795005</v>
      </c>
      <c r="K50" s="11">
        <f t="shared" si="12"/>
        <v>2337844.9963275283</v>
      </c>
      <c r="L50" s="11">
        <f t="shared" si="12"/>
        <v>2462452.1346317851</v>
      </c>
      <c r="M50" s="11">
        <f t="shared" si="12"/>
        <v>2579418.6110267951</v>
      </c>
      <c r="N50" s="11">
        <f t="shared" si="12"/>
        <v>2701940.9950505681</v>
      </c>
      <c r="O50" s="11">
        <f t="shared" si="12"/>
        <v>2830283.1923154704</v>
      </c>
      <c r="P50" s="11">
        <f t="shared" si="12"/>
        <v>2964721.6439504554</v>
      </c>
      <c r="Q50" s="11">
        <f t="shared" si="12"/>
        <v>3105545.9220381021</v>
      </c>
      <c r="R50" s="11">
        <f t="shared" si="12"/>
        <v>3253059.3533349121</v>
      </c>
    </row>
    <row r="51" spans="1:18" x14ac:dyDescent="0.2">
      <c r="C51" s="5" t="str">
        <f>Gerencial!B50</f>
        <v>PAYROLL SG&amp;A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1" t="s">
        <v>0</v>
      </c>
      <c r="C52" s="1" t="str">
        <f>Gerencial!B51</f>
        <v>Administrative</v>
      </c>
      <c r="D52" s="6">
        <f>SUM(Gerencial!C51:N51)</f>
        <v>977714</v>
      </c>
      <c r="E52" s="6">
        <f>SUM(Gerencial!O51:Z51)</f>
        <v>1103660</v>
      </c>
      <c r="F52" s="6">
        <f>SUM(Gerencial!AA51:AL51)</f>
        <v>1373350</v>
      </c>
      <c r="G52" s="6">
        <f>SUM(Gerencial!AM51:AX51)</f>
        <v>1281976</v>
      </c>
      <c r="H52" s="6">
        <f>SUM(Gerencial!AY51:BJ51)</f>
        <v>1401466</v>
      </c>
      <c r="I52" s="70">
        <f>H52*(1+Macro!D3)</f>
        <v>1482050.2950000002</v>
      </c>
      <c r="J52" s="70">
        <f>I52*(1+Macro!E3)</f>
        <v>1570528.6976115003</v>
      </c>
      <c r="K52" s="70">
        <f>J52*(1+Macro!F3)</f>
        <v>1658792.4104172667</v>
      </c>
      <c r="L52" s="70">
        <f>K52*(1+Macro!G3)</f>
        <v>1747206.0458925068</v>
      </c>
      <c r="M52" s="70">
        <f>L52*(1+Macro!H3)</f>
        <v>1830198.3330724011</v>
      </c>
      <c r="N52" s="70">
        <f>M52*(1+Macro!I3)</f>
        <v>1917132.7538933402</v>
      </c>
      <c r="O52" s="70">
        <f>N52*(1+Macro!J3)</f>
        <v>2008196.5597032742</v>
      </c>
      <c r="P52" s="70">
        <f>O52*(1+Macro!K3)</f>
        <v>2103585.89628918</v>
      </c>
      <c r="Q52" s="70">
        <f>P52*(1+Macro!L3)</f>
        <v>2203506.2263629162</v>
      </c>
      <c r="R52" s="70">
        <f>Q52*(1+Macro!M3)</f>
        <v>2308172.7721151551</v>
      </c>
    </row>
    <row r="53" spans="1:18" x14ac:dyDescent="0.2">
      <c r="A53" s="1" t="s">
        <v>0</v>
      </c>
      <c r="C53" s="1" t="str">
        <f>Gerencial!B52</f>
        <v>Sales</v>
      </c>
      <c r="D53" s="6">
        <f>SUM(Gerencial!C52:N52)</f>
        <v>437057</v>
      </c>
      <c r="E53" s="6">
        <f>SUM(Gerencial!O52:Z52)</f>
        <v>503005</v>
      </c>
      <c r="F53" s="6">
        <f>SUM(Gerencial!AA52:AL52)</f>
        <v>564256</v>
      </c>
      <c r="G53" s="6">
        <f>SUM(Gerencial!AM52:AX52)</f>
        <v>590614</v>
      </c>
      <c r="H53" s="6">
        <f>SUM(Gerencial!AY52:BJ52)</f>
        <v>637954</v>
      </c>
      <c r="I53" s="70">
        <f>H53*(1+Macro!D3)</f>
        <v>674636.3550000001</v>
      </c>
      <c r="J53" s="70">
        <f>I53*(1+Macro!E3)</f>
        <v>714912.1453935001</v>
      </c>
      <c r="K53" s="70">
        <f>J53*(1+Macro!F3)</f>
        <v>755090.20796461485</v>
      </c>
      <c r="L53" s="70">
        <f>K53*(1+Macro!G3)</f>
        <v>795336.51604912872</v>
      </c>
      <c r="M53" s="70">
        <f>L53*(1+Macro!H3)</f>
        <v>833115.00056146237</v>
      </c>
      <c r="N53" s="70">
        <f>M53*(1+Macro!I3)</f>
        <v>872687.96308813186</v>
      </c>
      <c r="O53" s="70">
        <f>N53*(1+Macro!J3)</f>
        <v>914140.64133481821</v>
      </c>
      <c r="P53" s="70">
        <f>O53*(1+Macro!K3)</f>
        <v>957562.32179822214</v>
      </c>
      <c r="Q53" s="70">
        <f>P53*(1+Macro!L3)</f>
        <v>1003046.5320836378</v>
      </c>
      <c r="R53" s="70">
        <f>Q53*(1+Macro!M3)</f>
        <v>1050691.2423576107</v>
      </c>
    </row>
    <row r="54" spans="1:18" x14ac:dyDescent="0.2">
      <c r="A54" s="1" t="s">
        <v>0</v>
      </c>
      <c r="C54" s="1" t="str">
        <f>Gerencial!B53</f>
        <v>HR</v>
      </c>
      <c r="D54" s="6">
        <f>SUM(Gerencial!C53:N53)</f>
        <v>290712</v>
      </c>
      <c r="E54" s="6">
        <f>SUM(Gerencial!O53:Z53)</f>
        <v>310752</v>
      </c>
      <c r="F54" s="6">
        <f>SUM(Gerencial!AA53:AL53)</f>
        <v>406863</v>
      </c>
      <c r="G54" s="6">
        <f>SUM(Gerencial!AM53:AX53)</f>
        <v>472820</v>
      </c>
      <c r="H54" s="6">
        <f>SUM(Gerencial!AY53:BJ53)</f>
        <v>512704</v>
      </c>
      <c r="I54" s="70">
        <f>H54*(1+Macro!D3)</f>
        <v>542184.4800000001</v>
      </c>
      <c r="J54" s="70">
        <f>I54*(1+Macro!E3)</f>
        <v>574552.89345600014</v>
      </c>
      <c r="K54" s="70">
        <f>J54*(1+Macro!F3)</f>
        <v>606842.76606822736</v>
      </c>
      <c r="L54" s="70">
        <f>K54*(1+Macro!G3)</f>
        <v>639187.48549966386</v>
      </c>
      <c r="M54" s="70">
        <f>L54*(1+Macro!H3)</f>
        <v>669548.89106089796</v>
      </c>
      <c r="N54" s="70">
        <f>M54*(1+Macro!I3)</f>
        <v>701352.46338629071</v>
      </c>
      <c r="O54" s="70">
        <f>N54*(1+Macro!J3)</f>
        <v>734666.70539713954</v>
      </c>
      <c r="P54" s="70">
        <f>O54*(1+Macro!K3)</f>
        <v>769563.37390350376</v>
      </c>
      <c r="Q54" s="70">
        <f>P54*(1+Macro!L3)</f>
        <v>806117.6341639203</v>
      </c>
      <c r="R54" s="70">
        <f>Q54*(1+Macro!M3)</f>
        <v>844408.22178670659</v>
      </c>
    </row>
    <row r="55" spans="1:18" x14ac:dyDescent="0.2">
      <c r="A55" s="1" t="s">
        <v>0</v>
      </c>
      <c r="C55" s="1" t="str">
        <f>Gerencial!B54</f>
        <v>Maintenance</v>
      </c>
      <c r="D55" s="6">
        <f>SUM(Gerencial!C54:N54)</f>
        <v>276151</v>
      </c>
      <c r="E55" s="6">
        <f>SUM(Gerencial!O54:Z54)</f>
        <v>324069</v>
      </c>
      <c r="F55" s="6">
        <f>SUM(Gerencial!AA54:AL54)</f>
        <v>423417</v>
      </c>
      <c r="G55" s="6">
        <f>SUM(Gerencial!AM54:AX54)</f>
        <v>551549</v>
      </c>
      <c r="H55" s="6">
        <f>SUM(Gerencial!AY54:BJ54)</f>
        <v>650955</v>
      </c>
      <c r="I55" s="70">
        <f>H55*(1+Macro!D3)</f>
        <v>688384.91250000009</v>
      </c>
      <c r="J55" s="70">
        <f>I55*(1+Macro!E3)</f>
        <v>729481.49177625019</v>
      </c>
      <c r="K55" s="70">
        <f>J55*(1+Macro!F3)</f>
        <v>770478.35161407548</v>
      </c>
      <c r="L55" s="70">
        <f>K55*(1+Macro!G3)</f>
        <v>811544.84775510558</v>
      </c>
      <c r="M55" s="70">
        <f>L55*(1+Macro!H3)</f>
        <v>850093.22802347317</v>
      </c>
      <c r="N55" s="70">
        <f>M55*(1+Macro!I3)</f>
        <v>890472.65635458822</v>
      </c>
      <c r="O55" s="70">
        <f>N55*(1+Macro!J3)</f>
        <v>932770.10753143125</v>
      </c>
      <c r="P55" s="70">
        <f>O55*(1+Macro!K3)</f>
        <v>977076.68763917428</v>
      </c>
      <c r="Q55" s="70">
        <f>P55*(1+Macro!L3)</f>
        <v>1023487.8303020352</v>
      </c>
      <c r="R55" s="70">
        <f>Q55*(1+Macro!M3)</f>
        <v>1072103.5022413819</v>
      </c>
    </row>
    <row r="56" spans="1:18" x14ac:dyDescent="0.2">
      <c r="C56" s="8" t="str">
        <f>Gerencial!B55</f>
        <v>Total Payroll SG&amp;A</v>
      </c>
      <c r="D56" s="9">
        <f>SUM(D52:D55)</f>
        <v>1981634</v>
      </c>
      <c r="E56" s="11">
        <f t="shared" ref="E56:R56" si="13">SUM(E52:E55)</f>
        <v>2241486</v>
      </c>
      <c r="F56" s="11">
        <f t="shared" si="13"/>
        <v>2767886</v>
      </c>
      <c r="G56" s="11">
        <f t="shared" si="13"/>
        <v>2896959</v>
      </c>
      <c r="H56" s="11">
        <f t="shared" si="13"/>
        <v>3203079</v>
      </c>
      <c r="I56" s="11">
        <f t="shared" si="13"/>
        <v>3387256.0425000004</v>
      </c>
      <c r="J56" s="11">
        <f t="shared" si="13"/>
        <v>3589475.2282372508</v>
      </c>
      <c r="K56" s="11">
        <f t="shared" si="13"/>
        <v>3791203.7360641845</v>
      </c>
      <c r="L56" s="11">
        <f t="shared" si="13"/>
        <v>3993274.8951964052</v>
      </c>
      <c r="M56" s="11">
        <f t="shared" si="13"/>
        <v>4182955.4527182346</v>
      </c>
      <c r="N56" s="11">
        <f t="shared" si="13"/>
        <v>4381645.8367223507</v>
      </c>
      <c r="O56" s="11">
        <f t="shared" si="13"/>
        <v>4589774.0139666628</v>
      </c>
      <c r="P56" s="11">
        <f t="shared" si="13"/>
        <v>4807788.2796300799</v>
      </c>
      <c r="Q56" s="11">
        <f t="shared" si="13"/>
        <v>5036158.222912509</v>
      </c>
      <c r="R56" s="11">
        <f t="shared" si="13"/>
        <v>5275375.738500854</v>
      </c>
    </row>
    <row r="57" spans="1:18" x14ac:dyDescent="0.2">
      <c r="C57" s="5" t="str">
        <f>Gerencial!B56</f>
        <v>OTHER SG&amp;A EXPENSES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1" t="s">
        <v>0</v>
      </c>
      <c r="C58" s="1" t="str">
        <f>Gerencial!B57</f>
        <v>Administrative</v>
      </c>
      <c r="D58" s="6">
        <f>SUM(Gerencial!C57:N57)</f>
        <v>152201</v>
      </c>
      <c r="E58" s="6">
        <f>SUM(Gerencial!O57:Z57)</f>
        <v>180213</v>
      </c>
      <c r="F58" s="6">
        <f>SUM(Gerencial!AA57:AL57)</f>
        <v>282220</v>
      </c>
      <c r="G58" s="6">
        <f>SUM(Gerencial!AM57:AX57)</f>
        <v>297973</v>
      </c>
      <c r="H58" s="6">
        <f>SUM(Gerencial!AY57:BJ57)</f>
        <v>376955</v>
      </c>
      <c r="I58" s="6">
        <f>H58*(1+Macro!D3)</f>
        <v>398629.91250000003</v>
      </c>
      <c r="J58" s="6">
        <f>I58*(1+Macro!E3)</f>
        <v>422428.11827625008</v>
      </c>
      <c r="K58" s="6">
        <f>J58*(1+Macro!F3)</f>
        <v>446168.57852337533</v>
      </c>
      <c r="L58" s="6">
        <f>K58*(1+Macro!G3)</f>
        <v>469949.36375867121</v>
      </c>
      <c r="M58" s="6">
        <f>L58*(1+Macro!H3)</f>
        <v>492271.95853720815</v>
      </c>
      <c r="N58" s="6">
        <f>M58*(1+Macro!I3)</f>
        <v>515654.87656772556</v>
      </c>
      <c r="O58" s="6">
        <f>N58*(1+Macro!J3)</f>
        <v>540148.4832046926</v>
      </c>
      <c r="P58" s="6">
        <f>O58*(1+Macro!K3)</f>
        <v>565805.53615691559</v>
      </c>
      <c r="Q58" s="6">
        <f>P58*(1+Macro!L3)</f>
        <v>592681.29912436916</v>
      </c>
      <c r="R58" s="6">
        <f>Q58*(1+Macro!M3)</f>
        <v>620833.6608327768</v>
      </c>
    </row>
    <row r="59" spans="1:18" x14ac:dyDescent="0.2">
      <c r="A59" s="1" t="s">
        <v>0</v>
      </c>
      <c r="C59" s="1" t="str">
        <f>Gerencial!B58</f>
        <v>Sales</v>
      </c>
      <c r="D59" s="6">
        <f>SUM(Gerencial!C58:N58)</f>
        <v>184304</v>
      </c>
      <c r="E59" s="6">
        <f>SUM(Gerencial!O58:Z58)</f>
        <v>141498</v>
      </c>
      <c r="F59" s="6">
        <f>SUM(Gerencial!AA58:AL58)</f>
        <v>159012</v>
      </c>
      <c r="G59" s="6">
        <f>SUM(Gerencial!AM58:AX58)</f>
        <v>186080</v>
      </c>
      <c r="H59" s="6">
        <f>SUM(Gerencial!AY58:BJ58)</f>
        <v>135352</v>
      </c>
      <c r="I59" s="6">
        <f>H59*(1+Macro!D3)</f>
        <v>143134.74000000002</v>
      </c>
      <c r="J59" s="6">
        <f>I59*(1+Macro!E3)</f>
        <v>151679.88397800003</v>
      </c>
      <c r="K59" s="6">
        <f>J59*(1+Macro!F3)</f>
        <v>160204.29345756365</v>
      </c>
      <c r="L59" s="6">
        <f>K59*(1+Macro!G3)</f>
        <v>168743.18229885178</v>
      </c>
      <c r="M59" s="6">
        <f>L59*(1+Macro!H3)</f>
        <v>176758.48345804727</v>
      </c>
      <c r="N59" s="6">
        <f>M59*(1+Macro!I3)</f>
        <v>185154.51142230452</v>
      </c>
      <c r="O59" s="6">
        <f>N59*(1+Macro!J3)</f>
        <v>193949.35071486401</v>
      </c>
      <c r="P59" s="6">
        <f>O59*(1+Macro!K3)</f>
        <v>203161.94487382006</v>
      </c>
      <c r="Q59" s="6">
        <f>P59*(1+Macro!L3)</f>
        <v>212812.13725532652</v>
      </c>
      <c r="R59" s="6">
        <f>Q59*(1+Macro!M3)</f>
        <v>222920.71377495455</v>
      </c>
    </row>
    <row r="60" spans="1:18" x14ac:dyDescent="0.2">
      <c r="A60" s="1" t="s">
        <v>0</v>
      </c>
      <c r="C60" s="1" t="str">
        <f>Gerencial!B59</f>
        <v>HR</v>
      </c>
      <c r="D60" s="6">
        <f>SUM(Gerencial!C59:N59)</f>
        <v>216947</v>
      </c>
      <c r="E60" s="6">
        <f>SUM(Gerencial!O59:Z59)</f>
        <v>201043</v>
      </c>
      <c r="F60" s="6">
        <f>SUM(Gerencial!AA59:AL59)</f>
        <v>231897</v>
      </c>
      <c r="G60" s="6">
        <f>SUM(Gerencial!AM59:AX59)</f>
        <v>243911</v>
      </c>
      <c r="H60" s="6">
        <f>SUM(Gerencial!AY59:BJ59)</f>
        <v>317514</v>
      </c>
      <c r="I60" s="6">
        <f>H60*(1+Macro!D3)</f>
        <v>335771.05500000005</v>
      </c>
      <c r="J60" s="6">
        <f>I60*(1+Macro!E3)</f>
        <v>355816.58698350011</v>
      </c>
      <c r="K60" s="6">
        <f>J60*(1+Macro!F3)</f>
        <v>375813.47917197284</v>
      </c>
      <c r="L60" s="6">
        <f>K60*(1+Macro!G3)</f>
        <v>395844.33761183894</v>
      </c>
      <c r="M60" s="6">
        <f>L60*(1+Macro!H3)</f>
        <v>414646.94364840136</v>
      </c>
      <c r="N60" s="6">
        <f>M60*(1+Macro!I3)</f>
        <v>434342.67347170046</v>
      </c>
      <c r="O60" s="6">
        <f>N60*(1+Macro!J3)</f>
        <v>454973.95046160626</v>
      </c>
      <c r="P60" s="6">
        <f>O60*(1+Macro!K3)</f>
        <v>476585.2131085326</v>
      </c>
      <c r="Q60" s="6">
        <f>P60*(1+Macro!L3)</f>
        <v>499223.01073118794</v>
      </c>
      <c r="R60" s="6">
        <f>Q60*(1+Macro!M3)</f>
        <v>522936.10374091944</v>
      </c>
    </row>
    <row r="61" spans="1:18" x14ac:dyDescent="0.2">
      <c r="A61" s="1" t="s">
        <v>0</v>
      </c>
      <c r="C61" s="1" t="str">
        <f>Gerencial!B60</f>
        <v>Maintenance</v>
      </c>
      <c r="D61" s="6">
        <f>SUM(Gerencial!C60:N60)</f>
        <v>469845</v>
      </c>
      <c r="E61" s="6">
        <f>SUM(Gerencial!O60:Z60)</f>
        <v>426677</v>
      </c>
      <c r="F61" s="6">
        <f>SUM(Gerencial!AA60:AL60)</f>
        <v>666227</v>
      </c>
      <c r="G61" s="6">
        <f>SUM(Gerencial!AM60:AX60)</f>
        <v>552103</v>
      </c>
      <c r="H61" s="6">
        <f>SUM(Gerencial!AY60:BJ60)</f>
        <v>571247</v>
      </c>
      <c r="I61" s="6">
        <f>H61*(1+Macro!D3)</f>
        <v>604093.70250000001</v>
      </c>
      <c r="J61" s="6">
        <f>I61*(1+Macro!E3)</f>
        <v>640158.09653925011</v>
      </c>
      <c r="K61" s="6">
        <f>J61*(1+Macro!F3)</f>
        <v>676134.98156475602</v>
      </c>
      <c r="L61" s="6">
        <f>K61*(1+Macro!G3)</f>
        <v>712172.97608215746</v>
      </c>
      <c r="M61" s="6">
        <f>L61*(1+Macro!H3)</f>
        <v>746001.19244606001</v>
      </c>
      <c r="N61" s="6">
        <f>M61*(1+Macro!I3)</f>
        <v>781436.24908724788</v>
      </c>
      <c r="O61" s="6">
        <f>N61*(1+Macro!J3)</f>
        <v>818554.47091889218</v>
      </c>
      <c r="P61" s="6">
        <f>O61*(1+Macro!K3)</f>
        <v>857435.80828753964</v>
      </c>
      <c r="Q61" s="6">
        <f>P61*(1+Macro!L3)</f>
        <v>898164.00918119785</v>
      </c>
      <c r="R61" s="6">
        <f>Q61*(1+Macro!M3)</f>
        <v>940826.79961730482</v>
      </c>
    </row>
    <row r="62" spans="1:18" x14ac:dyDescent="0.2">
      <c r="A62" s="1" t="s">
        <v>0</v>
      </c>
      <c r="C62" s="1" t="str">
        <f>Gerencial!B61</f>
        <v>Utilities</v>
      </c>
      <c r="D62" s="6">
        <f>SUM(Gerencial!C61:N61)</f>
        <v>734864</v>
      </c>
      <c r="E62" s="6">
        <f>SUM(Gerencial!O61:Z61)</f>
        <v>774785</v>
      </c>
      <c r="F62" s="6">
        <f>SUM(Gerencial!AA61:AL61)</f>
        <v>795544</v>
      </c>
      <c r="G62" s="6">
        <f>SUM(Gerencial!AM61:AX61)</f>
        <v>735693</v>
      </c>
      <c r="H62" s="6">
        <f>SUM(Gerencial!AY61:BJ61)</f>
        <v>674864</v>
      </c>
      <c r="I62" s="6">
        <f>H62*(1+Macro!D3)</f>
        <v>713668.68</v>
      </c>
      <c r="J62" s="6">
        <f>I62*(1+Macro!E3)</f>
        <v>756274.70019600017</v>
      </c>
      <c r="K62" s="6">
        <f>J62*(1+Macro!F3)</f>
        <v>798777.33834701544</v>
      </c>
      <c r="L62" s="6">
        <f>K62*(1+Macro!G3)</f>
        <v>841352.17048091127</v>
      </c>
      <c r="M62" s="6">
        <f>L62*(1+Macro!H3)</f>
        <v>881316.39857875463</v>
      </c>
      <c r="N62" s="6">
        <f>M62*(1+Macro!I3)</f>
        <v>923178.92751124559</v>
      </c>
      <c r="O62" s="6">
        <f>N62*(1+Macro!J3)</f>
        <v>967029.9265680298</v>
      </c>
      <c r="P62" s="6">
        <f>O62*(1+Macro!K3)</f>
        <v>1012963.8480800113</v>
      </c>
      <c r="Q62" s="6">
        <f>P62*(1+Macro!L3)</f>
        <v>1061079.6308638121</v>
      </c>
      <c r="R62" s="6">
        <f>Q62*(1+Macro!M3)</f>
        <v>1111480.9133298432</v>
      </c>
    </row>
    <row r="63" spans="1:18" x14ac:dyDescent="0.2">
      <c r="C63" s="8" t="str">
        <f>Gerencial!B62</f>
        <v>Total</v>
      </c>
      <c r="D63" s="9">
        <f>SUM(D58:D62)</f>
        <v>1758161</v>
      </c>
      <c r="E63" s="11">
        <f t="shared" ref="E63:R63" si="14">SUM(E58:E62)</f>
        <v>1724216</v>
      </c>
      <c r="F63" s="11">
        <f t="shared" si="14"/>
        <v>2134900</v>
      </c>
      <c r="G63" s="11">
        <f t="shared" si="14"/>
        <v>2015760</v>
      </c>
      <c r="H63" s="11">
        <f t="shared" si="14"/>
        <v>2075932</v>
      </c>
      <c r="I63" s="11">
        <f t="shared" si="14"/>
        <v>2195298.0900000003</v>
      </c>
      <c r="J63" s="11">
        <f t="shared" si="14"/>
        <v>2326357.3859730004</v>
      </c>
      <c r="K63" s="11">
        <f t="shared" si="14"/>
        <v>2457098.6710646832</v>
      </c>
      <c r="L63" s="11">
        <f t="shared" si="14"/>
        <v>2588062.0302324304</v>
      </c>
      <c r="M63" s="11">
        <f t="shared" si="14"/>
        <v>2710994.9766684715</v>
      </c>
      <c r="N63" s="11">
        <f t="shared" si="14"/>
        <v>2839767.2380602239</v>
      </c>
      <c r="O63" s="11">
        <f t="shared" si="14"/>
        <v>2974656.1818680847</v>
      </c>
      <c r="P63" s="11">
        <f t="shared" si="14"/>
        <v>3115952.3505068189</v>
      </c>
      <c r="Q63" s="11">
        <f t="shared" si="14"/>
        <v>3263960.0871558934</v>
      </c>
      <c r="R63" s="11">
        <f t="shared" si="14"/>
        <v>3418998.1912957989</v>
      </c>
    </row>
    <row r="67" spans="3:18" x14ac:dyDescent="0.2">
      <c r="C67" s="1" t="s">
        <v>133</v>
      </c>
      <c r="D67" s="70">
        <f>D26-D33-D40-D45-D50-D56-D63</f>
        <v>5339164</v>
      </c>
      <c r="E67" s="70">
        <f t="shared" ref="E67:R67" si="15">E26-E33-E40-E45-E50-E56-E63</f>
        <v>6397973</v>
      </c>
      <c r="F67" s="70">
        <f t="shared" si="15"/>
        <v>6790002</v>
      </c>
      <c r="G67" s="70">
        <f t="shared" si="15"/>
        <v>7024644</v>
      </c>
      <c r="H67" s="70">
        <f t="shared" si="15"/>
        <v>7701673</v>
      </c>
      <c r="I67" s="70">
        <f t="shared" si="15"/>
        <v>9825348.1565038785</v>
      </c>
      <c r="J67" s="70">
        <f t="shared" si="15"/>
        <v>7525469.3161126021</v>
      </c>
      <c r="K67" s="70">
        <f t="shared" si="15"/>
        <v>7681906.1078597782</v>
      </c>
      <c r="L67" s="70">
        <f t="shared" si="15"/>
        <v>8420406.5416153446</v>
      </c>
      <c r="M67" s="70">
        <f t="shared" si="15"/>
        <v>8804687.9718594383</v>
      </c>
      <c r="N67" s="70">
        <f t="shared" si="15"/>
        <v>9221375.2256352492</v>
      </c>
      <c r="O67" s="70">
        <f t="shared" si="15"/>
        <v>9815802.7631113902</v>
      </c>
      <c r="P67" s="70">
        <f t="shared" si="15"/>
        <v>10283335.405051209</v>
      </c>
      <c r="Q67" s="70">
        <f t="shared" si="15"/>
        <v>10944720.139361538</v>
      </c>
      <c r="R67" s="70">
        <f t="shared" si="15"/>
        <v>11463668.034061888</v>
      </c>
    </row>
    <row r="69" spans="3:18" x14ac:dyDescent="0.2">
      <c r="C69" s="1" t="s">
        <v>185</v>
      </c>
      <c r="D69" s="3">
        <f>D67/D26</f>
        <v>0.3139500744748554</v>
      </c>
      <c r="E69" s="3">
        <f t="shared" ref="E69:R69" si="16">E67/E26</f>
        <v>0.33353021325744925</v>
      </c>
      <c r="F69" s="3">
        <f t="shared" si="16"/>
        <v>0.32783437599762533</v>
      </c>
      <c r="G69" s="3">
        <f t="shared" si="16"/>
        <v>0.32753552856515661</v>
      </c>
      <c r="H69" s="3">
        <f t="shared" si="16"/>
        <v>0.33583371905850062</v>
      </c>
      <c r="I69" s="3">
        <f t="shared" si="16"/>
        <v>0.37598497370219558</v>
      </c>
      <c r="J69" s="3">
        <f t="shared" si="16"/>
        <v>0.30844490790239404</v>
      </c>
      <c r="K69" s="3">
        <f t="shared" si="16"/>
        <v>0.30166380732329418</v>
      </c>
      <c r="L69" s="3">
        <f t="shared" si="16"/>
        <v>0.30959696079653326</v>
      </c>
      <c r="M69" s="3">
        <f t="shared" si="16"/>
        <v>0.30924065545450335</v>
      </c>
      <c r="N69" s="3">
        <f t="shared" si="16"/>
        <v>0.30920734111997605</v>
      </c>
      <c r="O69" s="3">
        <f t="shared" si="16"/>
        <v>0.3124289296085862</v>
      </c>
      <c r="P69" s="3">
        <f t="shared" si="16"/>
        <v>0.31245399318577582</v>
      </c>
      <c r="Q69" s="3">
        <f t="shared" si="16"/>
        <v>0.31566292130101764</v>
      </c>
      <c r="R69" s="3">
        <f t="shared" si="16"/>
        <v>0.31564660447589116</v>
      </c>
    </row>
    <row r="74" spans="3:18" x14ac:dyDescent="0.2">
      <c r="C74" s="1" t="s">
        <v>184</v>
      </c>
      <c r="D74" s="70">
        <f>SUM(D56+D63+D50+D45+D40+D33)</f>
        <v>11667247</v>
      </c>
      <c r="E74" s="70">
        <f t="shared" ref="E74:R74" si="17">SUM(E56+E63+E50+E45+E40+E33)</f>
        <v>12784616</v>
      </c>
      <c r="F74" s="70">
        <f t="shared" si="17"/>
        <v>13921682</v>
      </c>
      <c r="G74" s="70">
        <f t="shared" si="17"/>
        <v>14422324</v>
      </c>
      <c r="H74" s="70">
        <f t="shared" si="17"/>
        <v>15231322</v>
      </c>
      <c r="I74" s="70">
        <f t="shared" si="17"/>
        <v>16306941.279845219</v>
      </c>
      <c r="J74" s="70">
        <f t="shared" si="17"/>
        <v>16872629.415003434</v>
      </c>
      <c r="K74" s="70">
        <f t="shared" si="17"/>
        <v>17783217.388466883</v>
      </c>
      <c r="L74" s="70">
        <f t="shared" si="17"/>
        <v>18777555.996360686</v>
      </c>
      <c r="M74" s="70">
        <f t="shared" si="17"/>
        <v>19667273.319642927</v>
      </c>
      <c r="N74" s="70">
        <f t="shared" si="17"/>
        <v>20601251.857650097</v>
      </c>
      <c r="O74" s="70">
        <f t="shared" si="17"/>
        <v>21601911.260390591</v>
      </c>
      <c r="P74" s="70">
        <f t="shared" si="17"/>
        <v>22628183.1843017</v>
      </c>
      <c r="Q74" s="70">
        <f t="shared" si="17"/>
        <v>23727455.148925181</v>
      </c>
      <c r="R74" s="70">
        <f t="shared" si="17"/>
        <v>24854378.38717714</v>
      </c>
    </row>
    <row r="75" spans="3:18" x14ac:dyDescent="0.2">
      <c r="D75" s="70">
        <f>D74-D26</f>
        <v>-5339164</v>
      </c>
      <c r="E75" s="70">
        <f t="shared" ref="E75:R75" si="18">E74-E26</f>
        <v>-6397973</v>
      </c>
      <c r="F75" s="70">
        <f t="shared" si="18"/>
        <v>-6790002</v>
      </c>
      <c r="G75" s="70">
        <f t="shared" si="18"/>
        <v>-7024644</v>
      </c>
      <c r="H75" s="70">
        <f t="shared" si="18"/>
        <v>-7701673</v>
      </c>
      <c r="I75" s="70">
        <f t="shared" si="18"/>
        <v>-9825348.1565038785</v>
      </c>
      <c r="J75" s="70">
        <f t="shared" si="18"/>
        <v>-7525469.3161126003</v>
      </c>
      <c r="K75" s="70">
        <f t="shared" si="18"/>
        <v>-7681906.1078597791</v>
      </c>
      <c r="L75" s="70">
        <f t="shared" si="18"/>
        <v>-8420406.5416153446</v>
      </c>
      <c r="M75" s="70">
        <f t="shared" si="18"/>
        <v>-8804687.9718594365</v>
      </c>
      <c r="N75" s="70">
        <f t="shared" si="18"/>
        <v>-9221375.2256352492</v>
      </c>
      <c r="O75" s="70">
        <f t="shared" si="18"/>
        <v>-9815802.7631113864</v>
      </c>
      <c r="P75" s="70">
        <f t="shared" si="18"/>
        <v>-10283335.405051209</v>
      </c>
      <c r="Q75" s="70">
        <f t="shared" si="18"/>
        <v>-10944720.139361534</v>
      </c>
      <c r="R75" s="70">
        <f t="shared" si="18"/>
        <v>-11463668.034061886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GridLines="0" workbookViewId="0">
      <selection activeCell="C18" sqref="C18"/>
    </sheetView>
  </sheetViews>
  <sheetFormatPr defaultRowHeight="14.25" x14ac:dyDescent="0.2"/>
  <cols>
    <col min="1" max="1" width="9.140625" style="1"/>
    <col min="2" max="2" width="30" style="1" bestFit="1" customWidth="1"/>
    <col min="3" max="3" width="21.7109375" style="1" bestFit="1" customWidth="1"/>
    <col min="4" max="16384" width="9.140625" style="1"/>
  </cols>
  <sheetData>
    <row r="2" spans="2:3" x14ac:dyDescent="0.2">
      <c r="B2" s="14" t="s">
        <v>190</v>
      </c>
      <c r="C2" s="16" t="s">
        <v>191</v>
      </c>
    </row>
    <row r="3" spans="2:3" x14ac:dyDescent="0.2">
      <c r="B3" s="112" t="s">
        <v>186</v>
      </c>
      <c r="C3" s="178">
        <v>6.37</v>
      </c>
    </row>
    <row r="4" spans="2:3" x14ac:dyDescent="0.2">
      <c r="B4" s="112" t="s">
        <v>187</v>
      </c>
      <c r="C4" s="178">
        <v>10.68</v>
      </c>
    </row>
    <row r="5" spans="2:3" x14ac:dyDescent="0.2">
      <c r="B5" s="112" t="s">
        <v>188</v>
      </c>
      <c r="C5" s="178">
        <v>8.8800000000000008</v>
      </c>
    </row>
    <row r="6" spans="2:3" x14ac:dyDescent="0.2">
      <c r="B6" s="46" t="s">
        <v>189</v>
      </c>
      <c r="C6" s="62">
        <v>9.2799999999999994</v>
      </c>
    </row>
    <row r="7" spans="2:3" x14ac:dyDescent="0.2">
      <c r="B7" s="125" t="s">
        <v>192</v>
      </c>
      <c r="C7" s="179">
        <f>AVERAGE(C3:C6)</f>
        <v>8.8025000000000002</v>
      </c>
    </row>
    <row r="8" spans="2:3" x14ac:dyDescent="0.2">
      <c r="B8" s="1" t="s">
        <v>193</v>
      </c>
      <c r="C8" s="6">
        <f>'Gerencial Anual'!$I$67</f>
        <v>9825348.1565038785</v>
      </c>
    </row>
    <row r="9" spans="2:3" x14ac:dyDescent="0.2">
      <c r="B9" s="8" t="s">
        <v>194</v>
      </c>
      <c r="C9" s="11">
        <f>C8*C7</f>
        <v>86487627.147625387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showGridLines="0" zoomScale="75" zoomScaleNormal="75" workbookViewId="0">
      <selection activeCell="L16" sqref="L16"/>
    </sheetView>
  </sheetViews>
  <sheetFormatPr defaultRowHeight="15" outlineLevelRow="1" x14ac:dyDescent="0.25"/>
  <cols>
    <col min="1" max="1" width="2.42578125" customWidth="1"/>
    <col min="2" max="2" width="33.42578125" bestFit="1" customWidth="1"/>
    <col min="3" max="3" width="11.140625" bestFit="1" customWidth="1"/>
    <col min="4" max="9" width="10.140625" bestFit="1" customWidth="1"/>
    <col min="10" max="10" width="13.7109375" bestFit="1" customWidth="1"/>
    <col min="11" max="17" width="13.5703125" bestFit="1" customWidth="1"/>
  </cols>
  <sheetData>
    <row r="2" spans="1:17" ht="14.45" x14ac:dyDescent="0.35">
      <c r="B2" s="71" t="s">
        <v>123</v>
      </c>
      <c r="C2" s="72" t="s">
        <v>105</v>
      </c>
      <c r="D2" s="72" t="s">
        <v>101</v>
      </c>
      <c r="E2" s="72" t="s">
        <v>102</v>
      </c>
      <c r="F2" s="72" t="s">
        <v>103</v>
      </c>
      <c r="G2" s="73" t="s">
        <v>104</v>
      </c>
    </row>
    <row r="3" spans="1:17" ht="14.45" x14ac:dyDescent="0.35">
      <c r="B3" s="77" t="s">
        <v>124</v>
      </c>
      <c r="C3" s="88">
        <v>0.03</v>
      </c>
      <c r="D3" s="88">
        <v>0.04</v>
      </c>
      <c r="E3" s="88">
        <v>0.05</v>
      </c>
      <c r="F3" s="88">
        <v>7.0000000000000007E-2</v>
      </c>
      <c r="G3" s="89">
        <v>0.04</v>
      </c>
    </row>
    <row r="5" spans="1:17" ht="14.45" outlineLevel="1" x14ac:dyDescent="0.35">
      <c r="B5" s="71" t="s">
        <v>111</v>
      </c>
      <c r="C5" s="72" t="s">
        <v>110</v>
      </c>
      <c r="D5" s="72" t="s">
        <v>52</v>
      </c>
      <c r="E5" s="72" t="s">
        <v>112</v>
      </c>
      <c r="F5" s="72" t="s">
        <v>105</v>
      </c>
      <c r="G5" s="72" t="s">
        <v>101</v>
      </c>
      <c r="H5" s="72" t="s">
        <v>102</v>
      </c>
      <c r="I5" s="72" t="s">
        <v>103</v>
      </c>
      <c r="J5" s="72" t="s">
        <v>104</v>
      </c>
      <c r="K5" s="72" t="s">
        <v>113</v>
      </c>
      <c r="L5" s="72" t="s">
        <v>114</v>
      </c>
      <c r="M5" s="72" t="s">
        <v>115</v>
      </c>
      <c r="N5" s="73" t="s">
        <v>116</v>
      </c>
    </row>
    <row r="6" spans="1:17" ht="14.45" outlineLevel="1" x14ac:dyDescent="0.35">
      <c r="B6" s="74" t="s">
        <v>121</v>
      </c>
      <c r="C6" s="86"/>
      <c r="D6" s="86">
        <v>10000</v>
      </c>
      <c r="E6" s="86"/>
      <c r="F6" s="86"/>
      <c r="G6" s="86">
        <v>10000</v>
      </c>
      <c r="H6" s="86"/>
      <c r="I6" s="86">
        <v>10000</v>
      </c>
      <c r="J6" s="86"/>
      <c r="K6" s="86">
        <v>10000</v>
      </c>
      <c r="L6" s="86"/>
      <c r="M6" s="86"/>
      <c r="N6" s="87"/>
    </row>
    <row r="7" spans="1:17" ht="14.45" outlineLevel="1" x14ac:dyDescent="0.35">
      <c r="A7" s="90">
        <v>5.0000000000000004E-6</v>
      </c>
      <c r="B7" s="77" t="s">
        <v>122</v>
      </c>
      <c r="C7" s="78">
        <f>C6*$A$7</f>
        <v>0</v>
      </c>
      <c r="D7" s="78">
        <v>0.03</v>
      </c>
      <c r="E7" s="78">
        <f t="shared" ref="E7:N7" si="0">E6*$A$7</f>
        <v>0</v>
      </c>
      <c r="F7" s="78">
        <f t="shared" si="0"/>
        <v>0</v>
      </c>
      <c r="G7" s="78">
        <v>0.03</v>
      </c>
      <c r="H7" s="78">
        <f t="shared" si="0"/>
        <v>0</v>
      </c>
      <c r="I7" s="78">
        <v>0.03</v>
      </c>
      <c r="J7" s="78">
        <f t="shared" si="0"/>
        <v>0</v>
      </c>
      <c r="K7" s="78">
        <v>0.03</v>
      </c>
      <c r="L7" s="78">
        <f t="shared" si="0"/>
        <v>0</v>
      </c>
      <c r="M7" s="78">
        <f t="shared" si="0"/>
        <v>0</v>
      </c>
      <c r="N7" s="79">
        <f t="shared" si="0"/>
        <v>0</v>
      </c>
    </row>
    <row r="8" spans="1:17" ht="14.45" x14ac:dyDescent="0.35"/>
    <row r="9" spans="1:17" ht="14.45" x14ac:dyDescent="0.35">
      <c r="B9" s="71" t="s">
        <v>128</v>
      </c>
      <c r="C9" s="72">
        <v>2009</v>
      </c>
      <c r="D9" s="72">
        <v>2010</v>
      </c>
      <c r="E9" s="72">
        <v>2011</v>
      </c>
      <c r="F9" s="72">
        <v>2012</v>
      </c>
      <c r="G9" s="72">
        <v>2013</v>
      </c>
      <c r="H9" s="72">
        <v>2014</v>
      </c>
      <c r="I9" s="72">
        <v>2015</v>
      </c>
      <c r="J9" s="72">
        <v>2016</v>
      </c>
      <c r="K9" s="72">
        <v>2017</v>
      </c>
      <c r="L9" s="72">
        <v>2018</v>
      </c>
      <c r="M9" s="72">
        <v>2019</v>
      </c>
      <c r="N9" s="72">
        <v>2020</v>
      </c>
      <c r="O9" s="72">
        <v>2021</v>
      </c>
      <c r="P9" s="72">
        <v>2022</v>
      </c>
      <c r="Q9" s="73">
        <v>2023</v>
      </c>
    </row>
    <row r="10" spans="1:17" x14ac:dyDescent="0.25">
      <c r="B10" s="74" t="s">
        <v>4</v>
      </c>
      <c r="C10" s="75">
        <f>'Gerencial Anual'!D4</f>
        <v>66198</v>
      </c>
      <c r="D10" s="75">
        <f>'Gerencial Anual'!E4</f>
        <v>62776</v>
      </c>
      <c r="E10" s="75">
        <f>'Gerencial Anual'!F4</f>
        <v>64793</v>
      </c>
      <c r="F10" s="75">
        <f>'Gerencial Anual'!G4</f>
        <v>68442</v>
      </c>
      <c r="G10" s="75">
        <f>'Gerencial Anual'!H4</f>
        <v>68255</v>
      </c>
      <c r="H10" s="75">
        <f>'Gerencial Anual'!I4</f>
        <v>68489.982456362399</v>
      </c>
      <c r="I10" s="75">
        <f>'Gerencial Anual'!J4</f>
        <v>68525.807322049848</v>
      </c>
      <c r="J10" s="92">
        <f>AVERAGE(F10:I10)</f>
        <v>68428.197444603065</v>
      </c>
      <c r="K10" s="92">
        <f t="shared" ref="K10:Q10" si="1">AVERAGE(G10:J10)</f>
        <v>68424.746805753835</v>
      </c>
      <c r="L10" s="92">
        <f t="shared" si="1"/>
        <v>68467.183507192298</v>
      </c>
      <c r="M10" s="92">
        <f t="shared" si="1"/>
        <v>68461.483769899758</v>
      </c>
      <c r="N10" s="92">
        <f t="shared" si="1"/>
        <v>68445.402881862246</v>
      </c>
      <c r="O10" s="92">
        <f t="shared" si="1"/>
        <v>68449.704241177038</v>
      </c>
      <c r="P10" s="92">
        <f t="shared" si="1"/>
        <v>68455.943600032828</v>
      </c>
      <c r="Q10" s="93">
        <f t="shared" si="1"/>
        <v>68453.13362324296</v>
      </c>
    </row>
    <row r="11" spans="1:17" x14ac:dyDescent="0.25">
      <c r="B11" s="74" t="s">
        <v>5</v>
      </c>
      <c r="C11" s="75">
        <f>'Gerencial Anual'!D5</f>
        <v>39372</v>
      </c>
      <c r="D11" s="75">
        <f>'Gerencial Anual'!E5</f>
        <v>38733</v>
      </c>
      <c r="E11" s="75">
        <f>'Gerencial Anual'!F5</f>
        <v>38381</v>
      </c>
      <c r="F11" s="75">
        <f>'Gerencial Anual'!G5</f>
        <v>39912</v>
      </c>
      <c r="G11" s="75">
        <f>'Gerencial Anual'!H5</f>
        <v>36611</v>
      </c>
      <c r="H11" s="75">
        <f>'Gerencial Anual'!I5</f>
        <v>41373.584197887365</v>
      </c>
      <c r="I11" s="75">
        <f>'Gerencial Anual'!J5</f>
        <v>39834.828466095641</v>
      </c>
      <c r="J11" s="94">
        <f>J10*J12</f>
        <v>36266.944645639625</v>
      </c>
      <c r="K11" s="94">
        <f t="shared" ref="K11:Q11" si="2">K10*K12</f>
        <v>36265.115807049537</v>
      </c>
      <c r="L11" s="94">
        <f t="shared" si="2"/>
        <v>36972.279093883844</v>
      </c>
      <c r="M11" s="94">
        <f t="shared" si="2"/>
        <v>36969.201235745873</v>
      </c>
      <c r="N11" s="94">
        <f t="shared" si="2"/>
        <v>37644.971585024236</v>
      </c>
      <c r="O11" s="94">
        <f t="shared" si="2"/>
        <v>37647.337332647374</v>
      </c>
      <c r="P11" s="94">
        <f t="shared" si="2"/>
        <v>38335.32841601839</v>
      </c>
      <c r="Q11" s="95">
        <f t="shared" si="2"/>
        <v>38333.754829016063</v>
      </c>
    </row>
    <row r="12" spans="1:17" x14ac:dyDescent="0.25">
      <c r="B12" s="74" t="s">
        <v>7</v>
      </c>
      <c r="C12" s="96">
        <f>'Gerencial Anual'!D7</f>
        <v>0.59476117103235748</v>
      </c>
      <c r="D12" s="96">
        <f>'Gerencial Anual'!E7</f>
        <v>0.61700331336816616</v>
      </c>
      <c r="E12" s="96">
        <f>'Gerencial Anual'!F7</f>
        <v>0.59236337258654481</v>
      </c>
      <c r="F12" s="96">
        <f>'Gerencial Anual'!G7</f>
        <v>0.58315069694047517</v>
      </c>
      <c r="G12" s="96">
        <f>'Gerencial Anual'!H7</f>
        <v>0.5363856127756208</v>
      </c>
      <c r="H12" s="96">
        <f>'Gerencial Anual'!I7</f>
        <v>0.60408227180154506</v>
      </c>
      <c r="I12" s="96">
        <f>'Gerencial Anual'!J7</f>
        <v>0.58131133397501489</v>
      </c>
      <c r="J12" s="97">
        <v>0.53</v>
      </c>
      <c r="K12" s="97">
        <f>J12</f>
        <v>0.53</v>
      </c>
      <c r="L12" s="97">
        <f>K12+1%</f>
        <v>0.54</v>
      </c>
      <c r="M12" s="97">
        <f>L12</f>
        <v>0.54</v>
      </c>
      <c r="N12" s="97">
        <f>M12+1%</f>
        <v>0.55000000000000004</v>
      </c>
      <c r="O12" s="97">
        <f>N12</f>
        <v>0.55000000000000004</v>
      </c>
      <c r="P12" s="97">
        <v>0.56000000000000005</v>
      </c>
      <c r="Q12" s="98">
        <v>0.56000000000000005</v>
      </c>
    </row>
    <row r="13" spans="1:17" x14ac:dyDescent="0.25">
      <c r="B13" s="74" t="s">
        <v>125</v>
      </c>
      <c r="C13" s="99"/>
      <c r="D13" s="99"/>
      <c r="E13" s="99"/>
      <c r="F13" s="99"/>
      <c r="G13" s="99"/>
      <c r="H13" s="100">
        <f>'Gerencial Anual'!I11</f>
        <v>407.39257601584006</v>
      </c>
      <c r="I13" s="100">
        <f>'Gerencial Anual'!J11</f>
        <v>376.3508898438493</v>
      </c>
      <c r="J13" s="101">
        <f>I13*(1+J16)</f>
        <v>429.30195464131958</v>
      </c>
      <c r="K13" s="101">
        <f t="shared" ref="K13:Q13" si="3">J13*(1+K16)</f>
        <v>461.22742380017593</v>
      </c>
      <c r="L13" s="101">
        <f t="shared" si="3"/>
        <v>473.47301190207065</v>
      </c>
      <c r="M13" s="101">
        <f t="shared" si="3"/>
        <v>495.96297996741907</v>
      </c>
      <c r="N13" s="101">
        <f t="shared" si="3"/>
        <v>514.32600930071283</v>
      </c>
      <c r="O13" s="101">
        <f t="shared" si="3"/>
        <v>538.75649474249678</v>
      </c>
      <c r="P13" s="101">
        <f t="shared" si="3"/>
        <v>558.7039539603378</v>
      </c>
      <c r="Q13" s="102">
        <f t="shared" si="3"/>
        <v>585.24239177345385</v>
      </c>
    </row>
    <row r="14" spans="1:17" x14ac:dyDescent="0.25">
      <c r="B14" s="74" t="s">
        <v>126</v>
      </c>
      <c r="C14" s="103"/>
      <c r="D14" s="103"/>
      <c r="E14" s="103"/>
      <c r="F14" s="103"/>
      <c r="G14" s="103"/>
      <c r="H14" s="100">
        <f>'Gerencial Anual'!I12</f>
        <v>467.67163545229215</v>
      </c>
      <c r="I14" s="100">
        <f>'Gerencial Anual'!J12</f>
        <v>432.03684805769819</v>
      </c>
      <c r="J14" s="101">
        <f>I14*(1+J16)</f>
        <v>492.82270443202418</v>
      </c>
      <c r="K14" s="101">
        <f t="shared" ref="K14:Q14" si="4">J14*(1+K16)</f>
        <v>529.47195766981611</v>
      </c>
      <c r="L14" s="101">
        <f t="shared" si="4"/>
        <v>543.52943814594971</v>
      </c>
      <c r="M14" s="101">
        <f t="shared" si="4"/>
        <v>569.34708645788237</v>
      </c>
      <c r="N14" s="101">
        <f t="shared" si="4"/>
        <v>590.42716233398551</v>
      </c>
      <c r="O14" s="101">
        <f t="shared" si="4"/>
        <v>618.47245254484983</v>
      </c>
      <c r="P14" s="101">
        <f t="shared" si="4"/>
        <v>641.37139510032296</v>
      </c>
      <c r="Q14" s="102">
        <f t="shared" si="4"/>
        <v>671.83653636758834</v>
      </c>
    </row>
    <row r="15" spans="1:17" x14ac:dyDescent="0.25">
      <c r="B15" s="159" t="s">
        <v>157</v>
      </c>
      <c r="J15" s="90">
        <v>0.08</v>
      </c>
      <c r="K15" s="90">
        <v>0.02</v>
      </c>
      <c r="L15" s="90">
        <v>-0.02</v>
      </c>
      <c r="M15" s="90">
        <v>0</v>
      </c>
      <c r="N15" s="90">
        <v>-0.01</v>
      </c>
      <c r="O15" s="90">
        <v>0</v>
      </c>
      <c r="P15" s="90">
        <v>-0.01</v>
      </c>
      <c r="Q15" s="90">
        <v>0</v>
      </c>
    </row>
    <row r="16" spans="1:17" x14ac:dyDescent="0.25">
      <c r="B16" s="74" t="s">
        <v>158</v>
      </c>
      <c r="C16" s="104"/>
      <c r="D16" s="104"/>
      <c r="E16" s="104"/>
      <c r="F16" s="104"/>
      <c r="G16" s="104"/>
      <c r="H16" s="104"/>
      <c r="I16" s="104"/>
      <c r="J16" s="161">
        <f>(1+J15)*(1+Macro!F3)-1</f>
        <v>0.14069600000000015</v>
      </c>
      <c r="K16" s="161">
        <f>(1+K15)*(1+Macro!G3)-1</f>
        <v>7.4365999999999932E-2</v>
      </c>
      <c r="L16" s="161">
        <f>(1+L15)*(1+Macro!H3)-1</f>
        <v>2.6550000000000074E-2</v>
      </c>
      <c r="M16" s="161">
        <f>(1+M15)*(1+Macro!I3)-1</f>
        <v>4.7500000000000098E-2</v>
      </c>
      <c r="N16" s="161">
        <f>(1+N15)*(1+Macro!J3)-1</f>
        <v>3.7025000000000086E-2</v>
      </c>
      <c r="O16" s="161">
        <f>(1+O15)*(1+Macro!K3)-1</f>
        <v>4.7500000000000098E-2</v>
      </c>
      <c r="P16" s="161">
        <f>(1+P15)*(1+Macro!L3)-1</f>
        <v>3.7025000000000086E-2</v>
      </c>
      <c r="Q16" s="162">
        <f>(1+Q15)*(1+Macro!M3)-1</f>
        <v>4.7500000000000098E-2</v>
      </c>
    </row>
    <row r="17" spans="2:17" x14ac:dyDescent="0.25">
      <c r="B17" s="74" t="s">
        <v>127</v>
      </c>
      <c r="C17" s="104"/>
      <c r="D17" s="104"/>
      <c r="E17" s="104"/>
      <c r="F17" s="104"/>
      <c r="G17" s="104"/>
      <c r="H17" s="104"/>
      <c r="I17" s="104"/>
      <c r="J17" s="75">
        <f>J13*J11</f>
        <v>15569470.225241631</v>
      </c>
      <c r="K17" s="75">
        <f t="shared" ref="K17:Q17" si="5">K13*K11</f>
        <v>16726465.937500495</v>
      </c>
      <c r="L17" s="75">
        <f t="shared" si="5"/>
        <v>17505376.339465145</v>
      </c>
      <c r="M17" s="75">
        <f t="shared" si="5"/>
        <v>18335355.211895715</v>
      </c>
      <c r="N17" s="75">
        <f t="shared" si="5"/>
        <v>19361788.005564246</v>
      </c>
      <c r="O17" s="75">
        <f t="shared" si="5"/>
        <v>20282747.497725438</v>
      </c>
      <c r="P17" s="75">
        <f t="shared" si="5"/>
        <v>21418099.562397569</v>
      </c>
      <c r="Q17" s="76">
        <f t="shared" si="5"/>
        <v>22434538.361790545</v>
      </c>
    </row>
    <row r="18" spans="2:17" x14ac:dyDescent="0.25">
      <c r="B18" s="77" t="s">
        <v>117</v>
      </c>
      <c r="C18" s="83"/>
      <c r="D18" s="83"/>
      <c r="E18" s="83"/>
      <c r="F18" s="83"/>
      <c r="G18" s="83"/>
      <c r="H18" s="83"/>
      <c r="I18" s="83"/>
      <c r="J18" s="105">
        <f>J11*(J14-J13)</f>
        <v>2303703.5165090086</v>
      </c>
      <c r="K18" s="105">
        <f t="shared" ref="K18:Q18" si="6">K11*(K14-K13)</f>
        <v>2474895.9239806156</v>
      </c>
      <c r="L18" s="105">
        <f t="shared" si="6"/>
        <v>2590145.7434087852</v>
      </c>
      <c r="M18" s="105">
        <f t="shared" si="6"/>
        <v>2712951.8003513427</v>
      </c>
      <c r="N18" s="105">
        <f t="shared" si="6"/>
        <v>2864825.7435251311</v>
      </c>
      <c r="O18" s="105">
        <f t="shared" si="6"/>
        <v>3001093.5541802687</v>
      </c>
      <c r="P18" s="105">
        <f t="shared" si="6"/>
        <v>3169083.5054132007</v>
      </c>
      <c r="Q18" s="106">
        <f t="shared" si="6"/>
        <v>3319478.7084999182</v>
      </c>
    </row>
    <row r="20" spans="2:17" x14ac:dyDescent="0.25">
      <c r="J20" s="160"/>
      <c r="K20" s="160"/>
      <c r="L20" s="160"/>
      <c r="M20" s="160"/>
      <c r="N20" s="160"/>
      <c r="O20" s="160"/>
      <c r="P20" s="160"/>
      <c r="Q20" s="160"/>
    </row>
    <row r="22" spans="2:17" x14ac:dyDescent="0.25">
      <c r="B22" t="s">
        <v>32</v>
      </c>
      <c r="C22" s="90">
        <v>8.8999999999999996E-2</v>
      </c>
    </row>
    <row r="25" spans="2:17" x14ac:dyDescent="0.25">
      <c r="B25" t="s">
        <v>130</v>
      </c>
      <c r="C25" s="91">
        <v>0.27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1"/>
  <sheetViews>
    <sheetView showGridLines="0" tabSelected="1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3" sqref="F23:P23"/>
    </sheetView>
  </sheetViews>
  <sheetFormatPr defaultColWidth="8.7109375" defaultRowHeight="14.25" outlineLevelCol="1" x14ac:dyDescent="0.2"/>
  <cols>
    <col min="1" max="1" width="2.42578125" style="1" customWidth="1"/>
    <col min="2" max="2" width="46.85546875" style="1" bestFit="1" customWidth="1"/>
    <col min="3" max="5" width="16.28515625" style="1" hidden="1" customWidth="1" outlineLevel="1"/>
    <col min="6" max="6" width="12.140625" style="1" customWidth="1" collapsed="1"/>
    <col min="7" max="7" width="12.140625" style="1" customWidth="1"/>
    <col min="8" max="13" width="12.140625" style="1" bestFit="1" customWidth="1"/>
    <col min="14" max="15" width="13.5703125" style="1" bestFit="1" customWidth="1"/>
    <col min="16" max="16" width="13.42578125" style="1" bestFit="1" customWidth="1"/>
    <col min="17" max="18" width="8.7109375" style="1"/>
    <col min="19" max="19" width="30.28515625" style="1" bestFit="1" customWidth="1"/>
    <col min="20" max="20" width="11" style="1" bestFit="1" customWidth="1"/>
    <col min="21" max="21" width="40.7109375" style="1" bestFit="1" customWidth="1"/>
    <col min="22" max="16384" width="8.7109375" style="1"/>
  </cols>
  <sheetData>
    <row r="1" spans="2:16" ht="13.5" x14ac:dyDescent="0.25">
      <c r="F1" s="70">
        <f>F3-F16</f>
        <v>-9.4493911383324303E-3</v>
      </c>
      <c r="G1" s="70">
        <f t="shared" ref="G1:P1" si="0">G3-G16</f>
        <v>-0.82513932585425209</v>
      </c>
      <c r="H1" s="70">
        <f t="shared" si="0"/>
        <v>-0.38737119156576227</v>
      </c>
      <c r="I1" s="70">
        <f t="shared" si="0"/>
        <v>0.10259274502459448</v>
      </c>
      <c r="J1" s="70">
        <f t="shared" si="0"/>
        <v>-0.1369864745211089</v>
      </c>
      <c r="K1" s="70">
        <f t="shared" si="0"/>
        <v>-0.69308273056230973</v>
      </c>
      <c r="L1" s="70">
        <f t="shared" si="0"/>
        <v>-0.36428724380675703</v>
      </c>
      <c r="M1" s="70">
        <f t="shared" si="0"/>
        <v>0.42309888461022638</v>
      </c>
      <c r="N1" s="70">
        <f t="shared" si="0"/>
        <v>-0.82563117760582827</v>
      </c>
      <c r="O1" s="70">
        <f t="shared" si="0"/>
        <v>0.41890702690579928</v>
      </c>
      <c r="P1" s="70">
        <f t="shared" si="0"/>
        <v>0.49693359625234734</v>
      </c>
    </row>
    <row r="2" spans="2:16" ht="13.5" x14ac:dyDescent="0.25">
      <c r="B2" s="14" t="s">
        <v>63</v>
      </c>
      <c r="C2" s="14">
        <v>2010</v>
      </c>
      <c r="D2" s="15">
        <v>2011</v>
      </c>
      <c r="E2" s="16">
        <v>2012</v>
      </c>
      <c r="F2" s="15">
        <v>2013</v>
      </c>
      <c r="G2" s="15">
        <v>2014</v>
      </c>
      <c r="H2" s="15">
        <v>2015</v>
      </c>
      <c r="I2" s="15">
        <v>2016</v>
      </c>
      <c r="J2" s="15">
        <v>2017</v>
      </c>
      <c r="K2" s="15">
        <v>2018</v>
      </c>
      <c r="L2" s="15">
        <v>2019</v>
      </c>
      <c r="M2" s="15">
        <v>2020</v>
      </c>
      <c r="N2" s="15">
        <v>2021</v>
      </c>
      <c r="O2" s="15">
        <v>2022</v>
      </c>
      <c r="P2" s="16">
        <v>2023</v>
      </c>
    </row>
    <row r="3" spans="2:16" ht="13.5" x14ac:dyDescent="0.25">
      <c r="B3" s="123" t="s">
        <v>64</v>
      </c>
      <c r="C3" s="31">
        <v>50293</v>
      </c>
      <c r="D3" s="17">
        <v>49632.150840000002</v>
      </c>
      <c r="E3" s="18">
        <v>48193.981079999998</v>
      </c>
      <c r="F3" s="17">
        <f>F4+F8</f>
        <v>53596.104672608861</v>
      </c>
      <c r="G3" s="17">
        <f t="shared" ref="G3:P3" si="1">G4+G8</f>
        <v>61506.664437966698</v>
      </c>
      <c r="H3" s="17">
        <f t="shared" si="1"/>
        <v>67012.504216735309</v>
      </c>
      <c r="I3" s="17">
        <f t="shared" si="1"/>
        <v>72585.035078877583</v>
      </c>
      <c r="J3" s="17">
        <f t="shared" si="1"/>
        <v>78801.618811378139</v>
      </c>
      <c r="K3" s="17">
        <f t="shared" si="1"/>
        <v>85303.670624605322</v>
      </c>
      <c r="L3" s="17">
        <f t="shared" si="1"/>
        <v>92127.875208693833</v>
      </c>
      <c r="M3" s="17">
        <f t="shared" si="1"/>
        <v>99452.412994760991</v>
      </c>
      <c r="N3" s="17">
        <f t="shared" si="1"/>
        <v>107149.67285880032</v>
      </c>
      <c r="O3" s="17">
        <f t="shared" si="1"/>
        <v>115414.40543283668</v>
      </c>
      <c r="P3" s="18">
        <f t="shared" si="1"/>
        <v>122503.38277024266</v>
      </c>
    </row>
    <row r="4" spans="2:16" ht="13.5" x14ac:dyDescent="0.25">
      <c r="B4" s="46" t="s">
        <v>65</v>
      </c>
      <c r="C4" s="32">
        <v>2000</v>
      </c>
      <c r="D4" s="19">
        <v>2670.5971399999999</v>
      </c>
      <c r="E4" s="20">
        <v>3071.1694400000001</v>
      </c>
      <c r="F4" s="19">
        <f>SUM(F5:F7)</f>
        <v>9683.5583860088609</v>
      </c>
      <c r="G4" s="19">
        <f t="shared" ref="G4:P4" si="2">SUM(G5:G7)</f>
        <v>18311.660744766708</v>
      </c>
      <c r="H4" s="19">
        <f t="shared" si="2"/>
        <v>24631.043116935314</v>
      </c>
      <c r="I4" s="19">
        <f t="shared" si="2"/>
        <v>31113.116572477596</v>
      </c>
      <c r="J4" s="19">
        <f t="shared" si="2"/>
        <v>38335.24289837815</v>
      </c>
      <c r="K4" s="19">
        <f t="shared" si="2"/>
        <v>45938.837305005341</v>
      </c>
      <c r="L4" s="19">
        <f t="shared" si="2"/>
        <v>53960.584482493839</v>
      </c>
      <c r="M4" s="19">
        <f t="shared" si="2"/>
        <v>62578.664861961013</v>
      </c>
      <c r="N4" s="19">
        <f t="shared" si="2"/>
        <v>71665.467319400326</v>
      </c>
      <c r="O4" s="19">
        <f t="shared" si="2"/>
        <v>81415.742486836694</v>
      </c>
      <c r="P4" s="20">
        <f t="shared" si="2"/>
        <v>91686.262417642676</v>
      </c>
    </row>
    <row r="5" spans="2:16" ht="13.5" x14ac:dyDescent="0.25">
      <c r="B5" s="132" t="s">
        <v>66</v>
      </c>
      <c r="C5" s="33">
        <v>277</v>
      </c>
      <c r="D5" s="21">
        <v>730.89493999999991</v>
      </c>
      <c r="E5" s="22">
        <v>596.15395000000001</v>
      </c>
      <c r="F5" s="21">
        <f t="shared" ref="F5:P5" si="3">E5+F51</f>
        <v>7066.6481499999973</v>
      </c>
      <c r="G5" s="21">
        <f t="shared" si="3"/>
        <v>15334.041209346795</v>
      </c>
      <c r="H5" s="21">
        <f t="shared" si="3"/>
        <v>21835.899804295139</v>
      </c>
      <c r="I5" s="21">
        <f t="shared" si="3"/>
        <v>28194.145723294991</v>
      </c>
      <c r="J5" s="21">
        <f t="shared" si="3"/>
        <v>35219.623632316128</v>
      </c>
      <c r="K5" s="21">
        <f t="shared" si="3"/>
        <v>42677.184029778473</v>
      </c>
      <c r="L5" s="21">
        <f t="shared" si="3"/>
        <v>50544.194303444157</v>
      </c>
      <c r="M5" s="21">
        <f t="shared" si="3"/>
        <v>58980.475321917904</v>
      </c>
      <c r="N5" s="21">
        <f t="shared" si="3"/>
        <v>67896.203776491107</v>
      </c>
      <c r="O5" s="21">
        <f t="shared" si="3"/>
        <v>77445.857078360175</v>
      </c>
      <c r="P5" s="22">
        <f t="shared" si="3"/>
        <v>87527.923059444613</v>
      </c>
    </row>
    <row r="6" spans="2:16" ht="13.5" x14ac:dyDescent="0.25">
      <c r="B6" s="133" t="s">
        <v>67</v>
      </c>
      <c r="C6" s="32">
        <v>1576</v>
      </c>
      <c r="D6" s="19">
        <v>1780.15897</v>
      </c>
      <c r="E6" s="20">
        <v>2308.7381600000003</v>
      </c>
      <c r="F6" s="19">
        <f>NCG!F3</f>
        <v>2490.7430733032161</v>
      </c>
      <c r="G6" s="19">
        <f>NCG!G3</f>
        <v>2843.0734898720989</v>
      </c>
      <c r="H6" s="19">
        <f>NCG!H3</f>
        <v>2654.4014780898992</v>
      </c>
      <c r="I6" s="19">
        <f>NCG!I3</f>
        <v>2770.4888890454681</v>
      </c>
      <c r="J6" s="19">
        <f>NCG!J3</f>
        <v>2959.0138460159806</v>
      </c>
      <c r="K6" s="19">
        <f>NCG!K3</f>
        <v>3097.6190796333094</v>
      </c>
      <c r="L6" s="19">
        <f>NCG!L3</f>
        <v>3244.5653361275431</v>
      </c>
      <c r="M6" s="19">
        <f>NCG!M3</f>
        <v>3418.1034949182972</v>
      </c>
      <c r="N6" s="19">
        <f>NCG!N3</f>
        <v>3580.6225949215782</v>
      </c>
      <c r="O6" s="19">
        <f>NCG!O3</f>
        <v>3772.1739856903368</v>
      </c>
      <c r="P6" s="20">
        <f>NCG!P3</f>
        <v>3951.2372322244769</v>
      </c>
    </row>
    <row r="7" spans="2:16" ht="13.5" x14ac:dyDescent="0.25">
      <c r="B7" s="132" t="s">
        <v>68</v>
      </c>
      <c r="C7" s="33">
        <v>147</v>
      </c>
      <c r="D7" s="21">
        <v>159.54323000000002</v>
      </c>
      <c r="E7" s="22">
        <v>166.27732999999998</v>
      </c>
      <c r="F7" s="21">
        <f>NCG!F6</f>
        <v>126.1671627056472</v>
      </c>
      <c r="G7" s="21">
        <f>NCG!G6</f>
        <v>134.54604554781434</v>
      </c>
      <c r="H7" s="21">
        <f>NCG!H6</f>
        <v>140.74183455027872</v>
      </c>
      <c r="I7" s="21">
        <f>NCG!I6</f>
        <v>148.48196013713783</v>
      </c>
      <c r="J7" s="21">
        <f>NCG!J6</f>
        <v>156.60542004604415</v>
      </c>
      <c r="K7" s="21">
        <f>NCG!K6</f>
        <v>164.03419559355953</v>
      </c>
      <c r="L7" s="21">
        <f>NCG!L6</f>
        <v>171.82484292214104</v>
      </c>
      <c r="M7" s="21">
        <f>NCG!M6</f>
        <v>180.08604512481622</v>
      </c>
      <c r="N7" s="21">
        <f>NCG!N6</f>
        <v>188.6409479876489</v>
      </c>
      <c r="O7" s="21">
        <f>NCG!O6</f>
        <v>197.71142278618245</v>
      </c>
      <c r="P7" s="22">
        <f>NCG!P6</f>
        <v>207.10212597359254</v>
      </c>
    </row>
    <row r="8" spans="2:16" ht="13.5" x14ac:dyDescent="0.25">
      <c r="B8" s="46" t="s">
        <v>69</v>
      </c>
      <c r="C8" s="32">
        <v>48293</v>
      </c>
      <c r="D8" s="19">
        <v>46961.553700000004</v>
      </c>
      <c r="E8" s="20">
        <v>45122.81164</v>
      </c>
      <c r="F8" s="19">
        <f>SUM(F9:F15)</f>
        <v>43912.546286600002</v>
      </c>
      <c r="G8" s="19">
        <f t="shared" ref="G8:P8" si="4">SUM(G9:G15)</f>
        <v>43195.003693199993</v>
      </c>
      <c r="H8" s="19">
        <f t="shared" si="4"/>
        <v>42381.461099799999</v>
      </c>
      <c r="I8" s="19">
        <f t="shared" si="4"/>
        <v>41471.91850639999</v>
      </c>
      <c r="J8" s="19">
        <f t="shared" si="4"/>
        <v>40466.375912999996</v>
      </c>
      <c r="K8" s="19">
        <f t="shared" si="4"/>
        <v>39364.833319599988</v>
      </c>
      <c r="L8" s="19">
        <f t="shared" si="4"/>
        <v>38167.290726199994</v>
      </c>
      <c r="M8" s="19">
        <f t="shared" si="4"/>
        <v>36873.748132799985</v>
      </c>
      <c r="N8" s="19">
        <f t="shared" si="4"/>
        <v>35484.205539399991</v>
      </c>
      <c r="O8" s="19">
        <f t="shared" si="4"/>
        <v>33998.662945999982</v>
      </c>
      <c r="P8" s="20">
        <f t="shared" si="4"/>
        <v>30817.120352599988</v>
      </c>
    </row>
    <row r="9" spans="2:16" ht="13.5" x14ac:dyDescent="0.25">
      <c r="B9" s="132" t="s">
        <v>70</v>
      </c>
      <c r="C9" s="33">
        <v>589</v>
      </c>
      <c r="D9" s="21">
        <v>588.72275999999999</v>
      </c>
      <c r="E9" s="22">
        <v>588.72275999999999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2">
        <v>0</v>
      </c>
    </row>
    <row r="10" spans="2:16" ht="13.5" x14ac:dyDescent="0.25">
      <c r="B10" s="133" t="s">
        <v>71</v>
      </c>
      <c r="C10" s="32">
        <v>5097</v>
      </c>
      <c r="D10" s="19">
        <v>5097.2929000000004</v>
      </c>
      <c r="E10" s="20">
        <v>5203.8211900000006</v>
      </c>
      <c r="F10" s="19">
        <f t="shared" ref="F10:P10" si="5">E10</f>
        <v>5203.8211900000006</v>
      </c>
      <c r="G10" s="19">
        <f t="shared" si="5"/>
        <v>5203.8211900000006</v>
      </c>
      <c r="H10" s="19">
        <f t="shared" si="5"/>
        <v>5203.8211900000006</v>
      </c>
      <c r="I10" s="19">
        <f t="shared" si="5"/>
        <v>5203.8211900000006</v>
      </c>
      <c r="J10" s="19">
        <f t="shared" si="5"/>
        <v>5203.8211900000006</v>
      </c>
      <c r="K10" s="19">
        <f t="shared" si="5"/>
        <v>5203.8211900000006</v>
      </c>
      <c r="L10" s="19">
        <f t="shared" si="5"/>
        <v>5203.8211900000006</v>
      </c>
      <c r="M10" s="19">
        <f t="shared" si="5"/>
        <v>5203.8211900000006</v>
      </c>
      <c r="N10" s="19">
        <f t="shared" si="5"/>
        <v>5203.8211900000006</v>
      </c>
      <c r="O10" s="19">
        <f t="shared" si="5"/>
        <v>5203.8211900000006</v>
      </c>
      <c r="P10" s="20">
        <f t="shared" si="5"/>
        <v>5203.8211900000006</v>
      </c>
    </row>
    <row r="11" spans="2:16" ht="13.5" x14ac:dyDescent="0.25">
      <c r="B11" s="132" t="s">
        <v>72</v>
      </c>
      <c r="C11" s="33">
        <v>4</v>
      </c>
      <c r="D11" s="21">
        <v>0</v>
      </c>
      <c r="E11" s="22">
        <v>0</v>
      </c>
      <c r="F11" s="21">
        <f t="shared" ref="F11:F15" si="6">E11</f>
        <v>0</v>
      </c>
      <c r="G11" s="21">
        <f t="shared" ref="G11:P11" si="7">F11</f>
        <v>0</v>
      </c>
      <c r="H11" s="21">
        <f t="shared" si="7"/>
        <v>0</v>
      </c>
      <c r="I11" s="21">
        <f t="shared" si="7"/>
        <v>0</v>
      </c>
      <c r="J11" s="21">
        <f t="shared" si="7"/>
        <v>0</v>
      </c>
      <c r="K11" s="21">
        <f t="shared" si="7"/>
        <v>0</v>
      </c>
      <c r="L11" s="21">
        <f t="shared" si="7"/>
        <v>0</v>
      </c>
      <c r="M11" s="21">
        <f t="shared" si="7"/>
        <v>0</v>
      </c>
      <c r="N11" s="21">
        <f t="shared" si="7"/>
        <v>0</v>
      </c>
      <c r="O11" s="21">
        <f t="shared" si="7"/>
        <v>0</v>
      </c>
      <c r="P11" s="22">
        <f t="shared" si="7"/>
        <v>0</v>
      </c>
    </row>
    <row r="12" spans="2:16" x14ac:dyDescent="0.2">
      <c r="B12" s="133" t="s">
        <v>73</v>
      </c>
      <c r="C12" s="32">
        <v>1370</v>
      </c>
      <c r="D12" s="19">
        <v>1774.8068000000001</v>
      </c>
      <c r="E12" s="20">
        <v>2177.9952000000003</v>
      </c>
      <c r="F12" s="19">
        <f t="shared" si="6"/>
        <v>2177.9952000000003</v>
      </c>
      <c r="G12" s="19">
        <f t="shared" ref="G12:P13" si="8">F12</f>
        <v>2177.9952000000003</v>
      </c>
      <c r="H12" s="19">
        <f t="shared" si="8"/>
        <v>2177.9952000000003</v>
      </c>
      <c r="I12" s="19">
        <f t="shared" si="8"/>
        <v>2177.9952000000003</v>
      </c>
      <c r="J12" s="19">
        <f t="shared" si="8"/>
        <v>2177.9952000000003</v>
      </c>
      <c r="K12" s="19">
        <f t="shared" si="8"/>
        <v>2177.9952000000003</v>
      </c>
      <c r="L12" s="19">
        <f t="shared" si="8"/>
        <v>2177.9952000000003</v>
      </c>
      <c r="M12" s="19">
        <f t="shared" si="8"/>
        <v>2177.9952000000003</v>
      </c>
      <c r="N12" s="19">
        <f t="shared" si="8"/>
        <v>2177.9952000000003</v>
      </c>
      <c r="O12" s="19">
        <f t="shared" si="8"/>
        <v>2177.9952000000003</v>
      </c>
      <c r="P12" s="20">
        <f t="shared" si="8"/>
        <v>2177.9952000000003</v>
      </c>
    </row>
    <row r="13" spans="2:16" x14ac:dyDescent="0.2">
      <c r="B13" s="132" t="s">
        <v>74</v>
      </c>
      <c r="C13" s="33">
        <v>70</v>
      </c>
      <c r="D13" s="21">
        <v>69.759039999999999</v>
      </c>
      <c r="E13" s="22">
        <v>69.759039999999999</v>
      </c>
      <c r="F13" s="21">
        <f t="shared" si="6"/>
        <v>69.759039999999999</v>
      </c>
      <c r="G13" s="21">
        <f t="shared" si="8"/>
        <v>69.759039999999999</v>
      </c>
      <c r="H13" s="21">
        <f t="shared" si="8"/>
        <v>69.759039999999999</v>
      </c>
      <c r="I13" s="21">
        <f t="shared" si="8"/>
        <v>69.759039999999999</v>
      </c>
      <c r="J13" s="21">
        <f t="shared" si="8"/>
        <v>69.759039999999999</v>
      </c>
      <c r="K13" s="21">
        <f t="shared" si="8"/>
        <v>69.759039999999999</v>
      </c>
      <c r="L13" s="21">
        <f t="shared" si="8"/>
        <v>69.759039999999999</v>
      </c>
      <c r="M13" s="21">
        <f t="shared" si="8"/>
        <v>69.759039999999999</v>
      </c>
      <c r="N13" s="21">
        <f t="shared" si="8"/>
        <v>69.759039999999999</v>
      </c>
      <c r="O13" s="21">
        <f t="shared" si="8"/>
        <v>69.759039999999999</v>
      </c>
      <c r="P13" s="22">
        <f t="shared" si="8"/>
        <v>69.759039999999999</v>
      </c>
    </row>
    <row r="14" spans="2:16" x14ac:dyDescent="0.2">
      <c r="B14" s="133" t="s">
        <v>75</v>
      </c>
      <c r="C14" s="32">
        <v>41026</v>
      </c>
      <c r="D14" s="19">
        <v>39293.707170000001</v>
      </c>
      <c r="E14" s="20">
        <v>37025.709889999998</v>
      </c>
      <c r="F14" s="131">
        <f>Depreciação!E17</f>
        <v>36404.167296599997</v>
      </c>
      <c r="G14" s="131">
        <f>Depreciação!F17</f>
        <v>35686.624703199996</v>
      </c>
      <c r="H14" s="131">
        <f>Depreciação!G17</f>
        <v>34873.082109799994</v>
      </c>
      <c r="I14" s="131">
        <f>Depreciação!H17</f>
        <v>33963.539516399993</v>
      </c>
      <c r="J14" s="131">
        <f>Depreciação!I17</f>
        <v>32957.996922999992</v>
      </c>
      <c r="K14" s="131">
        <f>Depreciação!J17</f>
        <v>31856.45432959999</v>
      </c>
      <c r="L14" s="131">
        <f>Depreciação!K17</f>
        <v>30658.911736199989</v>
      </c>
      <c r="M14" s="131">
        <f>Depreciação!L17</f>
        <v>29365.369142799987</v>
      </c>
      <c r="N14" s="131">
        <f>Depreciação!M17</f>
        <v>27975.826549399986</v>
      </c>
      <c r="O14" s="131">
        <f>Depreciação!N17</f>
        <v>26490.283955999985</v>
      </c>
      <c r="P14" s="134">
        <f>Depreciação!O17</f>
        <v>23308.741362599987</v>
      </c>
    </row>
    <row r="15" spans="2:16" x14ac:dyDescent="0.2">
      <c r="B15" s="132" t="s">
        <v>76</v>
      </c>
      <c r="C15" s="33">
        <v>137</v>
      </c>
      <c r="D15" s="21">
        <v>137.26503</v>
      </c>
      <c r="E15" s="22">
        <v>56.803559999999997</v>
      </c>
      <c r="F15" s="21">
        <f t="shared" si="6"/>
        <v>56.803559999999997</v>
      </c>
      <c r="G15" s="21">
        <f t="shared" ref="G15:P15" si="9">F15</f>
        <v>56.803559999999997</v>
      </c>
      <c r="H15" s="21">
        <f t="shared" si="9"/>
        <v>56.803559999999997</v>
      </c>
      <c r="I15" s="21">
        <f t="shared" si="9"/>
        <v>56.803559999999997</v>
      </c>
      <c r="J15" s="21">
        <f t="shared" si="9"/>
        <v>56.803559999999997</v>
      </c>
      <c r="K15" s="21">
        <f t="shared" si="9"/>
        <v>56.803559999999997</v>
      </c>
      <c r="L15" s="21">
        <f t="shared" si="9"/>
        <v>56.803559999999997</v>
      </c>
      <c r="M15" s="21">
        <f t="shared" si="9"/>
        <v>56.803559999999997</v>
      </c>
      <c r="N15" s="21">
        <f t="shared" si="9"/>
        <v>56.803559999999997</v>
      </c>
      <c r="O15" s="21">
        <f t="shared" si="9"/>
        <v>56.803559999999997</v>
      </c>
      <c r="P15" s="22">
        <f t="shared" si="9"/>
        <v>56.803559999999997</v>
      </c>
    </row>
    <row r="16" spans="2:16" x14ac:dyDescent="0.2">
      <c r="B16" s="64" t="s">
        <v>77</v>
      </c>
      <c r="C16" s="34">
        <v>50298</v>
      </c>
      <c r="D16" s="23">
        <v>49632.150840000002</v>
      </c>
      <c r="E16" s="24">
        <v>48193.981079999998</v>
      </c>
      <c r="F16" s="23">
        <f>F17+F22+F24</f>
        <v>53596.114121999999</v>
      </c>
      <c r="G16" s="23">
        <f t="shared" ref="G16:P16" si="10">G17+G22+G24</f>
        <v>61507.489577292552</v>
      </c>
      <c r="H16" s="23">
        <f t="shared" si="10"/>
        <v>67012.891587926875</v>
      </c>
      <c r="I16" s="23">
        <f t="shared" si="10"/>
        <v>72584.932486132559</v>
      </c>
      <c r="J16" s="23">
        <f t="shared" si="10"/>
        <v>78801.75579785266</v>
      </c>
      <c r="K16" s="23">
        <f t="shared" si="10"/>
        <v>85304.363707335884</v>
      </c>
      <c r="L16" s="23">
        <f t="shared" si="10"/>
        <v>92128.23949593764</v>
      </c>
      <c r="M16" s="23">
        <f t="shared" si="10"/>
        <v>99451.989895876381</v>
      </c>
      <c r="N16" s="23">
        <f t="shared" si="10"/>
        <v>107150.49848997792</v>
      </c>
      <c r="O16" s="23">
        <f t="shared" si="10"/>
        <v>115413.98652580977</v>
      </c>
      <c r="P16" s="24">
        <f t="shared" si="10"/>
        <v>122502.88583664641</v>
      </c>
    </row>
    <row r="17" spans="2:16" x14ac:dyDescent="0.2">
      <c r="B17" s="112" t="s">
        <v>78</v>
      </c>
      <c r="C17" s="33">
        <v>2093</v>
      </c>
      <c r="D17" s="21">
        <v>2439.1479699999995</v>
      </c>
      <c r="E17" s="22">
        <v>2280.8788300000001</v>
      </c>
      <c r="F17" s="21">
        <f>SUM(F18:F21)</f>
        <v>2362.4857000000002</v>
      </c>
      <c r="G17" s="21">
        <f t="shared" ref="G17:P17" si="11">SUM(G18:G21)</f>
        <v>2707.7093799999998</v>
      </c>
      <c r="H17" s="21">
        <f t="shared" si="11"/>
        <v>2486.8796499999999</v>
      </c>
      <c r="I17" s="21">
        <f t="shared" si="11"/>
        <v>2324.4405250182299</v>
      </c>
      <c r="J17" s="21">
        <f t="shared" si="11"/>
        <v>2358.3735272721997</v>
      </c>
      <c r="K17" s="21">
        <f t="shared" si="11"/>
        <v>2383.4653833282</v>
      </c>
      <c r="L17" s="21">
        <f t="shared" si="11"/>
        <v>2414.8115310106964</v>
      </c>
      <c r="M17" s="21">
        <f t="shared" si="11"/>
        <v>2447.7101152959085</v>
      </c>
      <c r="N17" s="21">
        <f t="shared" si="11"/>
        <v>2477.7953500636595</v>
      </c>
      <c r="O17" s="21">
        <f t="shared" si="11"/>
        <v>2509.3461019169063</v>
      </c>
      <c r="P17" s="22">
        <f t="shared" si="11"/>
        <v>2542.8025182726906</v>
      </c>
    </row>
    <row r="18" spans="2:16" x14ac:dyDescent="0.2">
      <c r="B18" s="133" t="s">
        <v>79</v>
      </c>
      <c r="C18" s="32">
        <v>549</v>
      </c>
      <c r="D18" s="19">
        <v>894.22367999999994</v>
      </c>
      <c r="E18" s="20">
        <v>673.3939499999999</v>
      </c>
      <c r="F18" s="19">
        <f>NCG!C10</f>
        <v>549</v>
      </c>
      <c r="G18" s="19">
        <f>NCG!D10</f>
        <v>894.22367999999994</v>
      </c>
      <c r="H18" s="19">
        <f>NCG!E10</f>
        <v>673.3939499999999</v>
      </c>
      <c r="I18" s="19">
        <f>NCG!F10</f>
        <v>510.95482501822983</v>
      </c>
      <c r="J18" s="19">
        <f>NCG!G10</f>
        <v>544.88782727219996</v>
      </c>
      <c r="K18" s="19">
        <f>NCG!H10</f>
        <v>569.97968332820017</v>
      </c>
      <c r="L18" s="19">
        <f>NCG!I10</f>
        <v>601.32583101069633</v>
      </c>
      <c r="M18" s="19">
        <f>NCG!J10</f>
        <v>634.22441529590856</v>
      </c>
      <c r="N18" s="19">
        <f>NCG!K10</f>
        <v>664.30965006365955</v>
      </c>
      <c r="O18" s="19">
        <f>NCG!L10</f>
        <v>695.86040191690654</v>
      </c>
      <c r="P18" s="20">
        <f>NCG!M10</f>
        <v>729.31681827269074</v>
      </c>
    </row>
    <row r="19" spans="2:16" x14ac:dyDescent="0.2">
      <c r="B19" s="132" t="s">
        <v>80</v>
      </c>
      <c r="C19" s="33">
        <v>187</v>
      </c>
      <c r="D19" s="21">
        <v>0</v>
      </c>
      <c r="E19" s="22">
        <v>0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2:16" x14ac:dyDescent="0.2">
      <c r="B20" s="133" t="s">
        <v>81</v>
      </c>
      <c r="C20" s="32">
        <v>1038</v>
      </c>
      <c r="D20" s="19">
        <v>1093.0593800000001</v>
      </c>
      <c r="E20" s="20">
        <v>1602.4857</v>
      </c>
      <c r="F20" s="19">
        <f>E20</f>
        <v>1602.4857</v>
      </c>
      <c r="G20" s="19">
        <f>F20</f>
        <v>1602.4857</v>
      </c>
      <c r="H20" s="19">
        <f t="shared" ref="H20:P20" si="12">G20</f>
        <v>1602.4857</v>
      </c>
      <c r="I20" s="19">
        <f t="shared" si="12"/>
        <v>1602.4857</v>
      </c>
      <c r="J20" s="19">
        <f t="shared" si="12"/>
        <v>1602.4857</v>
      </c>
      <c r="K20" s="19">
        <f t="shared" si="12"/>
        <v>1602.4857</v>
      </c>
      <c r="L20" s="19">
        <f t="shared" si="12"/>
        <v>1602.4857</v>
      </c>
      <c r="M20" s="19">
        <f t="shared" si="12"/>
        <v>1602.4857</v>
      </c>
      <c r="N20" s="19">
        <f t="shared" si="12"/>
        <v>1602.4857</v>
      </c>
      <c r="O20" s="19">
        <f t="shared" si="12"/>
        <v>1602.4857</v>
      </c>
      <c r="P20" s="20">
        <f t="shared" si="12"/>
        <v>1602.4857</v>
      </c>
    </row>
    <row r="21" spans="2:16" x14ac:dyDescent="0.2">
      <c r="B21" s="132" t="s">
        <v>82</v>
      </c>
      <c r="C21" s="33">
        <v>319</v>
      </c>
      <c r="D21" s="21">
        <v>451.86490999999995</v>
      </c>
      <c r="E21" s="22">
        <v>4.99918</v>
      </c>
      <c r="F21" s="21">
        <v>211</v>
      </c>
      <c r="G21" s="21">
        <f>F21</f>
        <v>211</v>
      </c>
      <c r="H21" s="21">
        <f t="shared" ref="H21:P21" si="13">G21</f>
        <v>211</v>
      </c>
      <c r="I21" s="21">
        <f t="shared" si="13"/>
        <v>211</v>
      </c>
      <c r="J21" s="21">
        <f t="shared" si="13"/>
        <v>211</v>
      </c>
      <c r="K21" s="21">
        <f t="shared" si="13"/>
        <v>211</v>
      </c>
      <c r="L21" s="21">
        <f t="shared" si="13"/>
        <v>211</v>
      </c>
      <c r="M21" s="21">
        <f t="shared" si="13"/>
        <v>211</v>
      </c>
      <c r="N21" s="21">
        <f t="shared" si="13"/>
        <v>211</v>
      </c>
      <c r="O21" s="21">
        <f t="shared" si="13"/>
        <v>211</v>
      </c>
      <c r="P21" s="22">
        <f t="shared" si="13"/>
        <v>211</v>
      </c>
    </row>
    <row r="22" spans="2:16" x14ac:dyDescent="0.2">
      <c r="B22" s="46" t="s">
        <v>83</v>
      </c>
      <c r="C22" s="32">
        <v>23296</v>
      </c>
      <c r="D22" s="19">
        <v>23636.179629999999</v>
      </c>
      <c r="E22" s="20">
        <v>23904.910739999999</v>
      </c>
      <c r="F22" s="19">
        <f>F23</f>
        <v>24426.910739999999</v>
      </c>
      <c r="G22" s="19">
        <f t="shared" ref="G22:P22" si="14">G23</f>
        <v>25792.910739999999</v>
      </c>
      <c r="H22" s="19">
        <f t="shared" si="14"/>
        <v>26836.910739999999</v>
      </c>
      <c r="I22" s="19">
        <f t="shared" si="14"/>
        <v>27785.910739999999</v>
      </c>
      <c r="J22" s="19">
        <f t="shared" si="14"/>
        <v>28695.910739999999</v>
      </c>
      <c r="K22" s="19">
        <f t="shared" si="14"/>
        <v>29646.910739999999</v>
      </c>
      <c r="L22" s="19">
        <f t="shared" si="14"/>
        <v>30637.910739999999</v>
      </c>
      <c r="M22" s="19">
        <f t="shared" si="14"/>
        <v>31734.910739999999</v>
      </c>
      <c r="N22" s="19">
        <f t="shared" si="14"/>
        <v>32900.910739999999</v>
      </c>
      <c r="O22" s="19">
        <f t="shared" si="14"/>
        <v>34193.910739999999</v>
      </c>
      <c r="P22" s="20">
        <f t="shared" si="14"/>
        <v>33967.910739999999</v>
      </c>
    </row>
    <row r="23" spans="2:16" x14ac:dyDescent="0.2">
      <c r="B23" s="132" t="s">
        <v>81</v>
      </c>
      <c r="C23" s="33">
        <v>23296</v>
      </c>
      <c r="D23" s="21">
        <v>23636.179629999999</v>
      </c>
      <c r="E23" s="22">
        <v>23904.910739999999</v>
      </c>
      <c r="F23" s="21">
        <f>E23+522</f>
        <v>24426.910739999999</v>
      </c>
      <c r="G23" s="21">
        <f>F23+1366</f>
        <v>25792.910739999999</v>
      </c>
      <c r="H23" s="21">
        <f>G23+1044</f>
        <v>26836.910739999999</v>
      </c>
      <c r="I23" s="21">
        <f>H23+949</f>
        <v>27785.910739999999</v>
      </c>
      <c r="J23" s="21">
        <f>I23+910</f>
        <v>28695.910739999999</v>
      </c>
      <c r="K23" s="21">
        <f>J23+951</f>
        <v>29646.910739999999</v>
      </c>
      <c r="L23" s="21">
        <f>K23+991</f>
        <v>30637.910739999999</v>
      </c>
      <c r="M23" s="21">
        <f>L23+1097</f>
        <v>31734.910739999999</v>
      </c>
      <c r="N23" s="21">
        <f>M23+1166</f>
        <v>32900.910739999999</v>
      </c>
      <c r="O23" s="21">
        <f>N23+1293</f>
        <v>34193.910739999999</v>
      </c>
      <c r="P23" s="22">
        <f>O23+226-452</f>
        <v>33967.910739999999</v>
      </c>
    </row>
    <row r="24" spans="2:16" x14ac:dyDescent="0.2">
      <c r="B24" s="64" t="s">
        <v>84</v>
      </c>
      <c r="C24" s="34">
        <v>24909</v>
      </c>
      <c r="D24" s="23">
        <v>23556.823240000002</v>
      </c>
      <c r="E24" s="24">
        <v>22008.191509999997</v>
      </c>
      <c r="F24" s="23">
        <f>F25+F26</f>
        <v>26806.717681999995</v>
      </c>
      <c r="G24" s="23">
        <f t="shared" ref="G24:P24" si="15">G25+G26</f>
        <v>33006.869457292552</v>
      </c>
      <c r="H24" s="23">
        <f t="shared" si="15"/>
        <v>37689.101197926873</v>
      </c>
      <c r="I24" s="23">
        <f t="shared" si="15"/>
        <v>42474.581221114327</v>
      </c>
      <c r="J24" s="23">
        <f t="shared" si="15"/>
        <v>47747.471530580457</v>
      </c>
      <c r="K24" s="23">
        <f t="shared" si="15"/>
        <v>53273.987584007686</v>
      </c>
      <c r="L24" s="23">
        <f t="shared" si="15"/>
        <v>59075.517224926945</v>
      </c>
      <c r="M24" s="23">
        <f t="shared" si="15"/>
        <v>65269.369040580466</v>
      </c>
      <c r="N24" s="23">
        <f t="shared" si="15"/>
        <v>71771.792399914266</v>
      </c>
      <c r="O24" s="23">
        <f t="shared" si="15"/>
        <v>78710.729683892874</v>
      </c>
      <c r="P24" s="24">
        <f t="shared" si="15"/>
        <v>85992.17257837372</v>
      </c>
    </row>
    <row r="25" spans="2:16" x14ac:dyDescent="0.2">
      <c r="B25" s="112" t="s">
        <v>85</v>
      </c>
      <c r="C25" s="33">
        <v>71826</v>
      </c>
      <c r="D25" s="21">
        <v>71825.705000000002</v>
      </c>
      <c r="E25" s="22">
        <v>71825.705000000002</v>
      </c>
      <c r="F25" s="21">
        <f>E25</f>
        <v>71825.705000000002</v>
      </c>
      <c r="G25" s="21">
        <f t="shared" ref="G25:P25" si="16">F25</f>
        <v>71825.705000000002</v>
      </c>
      <c r="H25" s="21">
        <f t="shared" si="16"/>
        <v>71825.705000000002</v>
      </c>
      <c r="I25" s="21">
        <f t="shared" si="16"/>
        <v>71825.705000000002</v>
      </c>
      <c r="J25" s="21">
        <f t="shared" si="16"/>
        <v>71825.705000000002</v>
      </c>
      <c r="K25" s="21">
        <f t="shared" si="16"/>
        <v>71825.705000000002</v>
      </c>
      <c r="L25" s="21">
        <f t="shared" si="16"/>
        <v>71825.705000000002</v>
      </c>
      <c r="M25" s="21">
        <f t="shared" si="16"/>
        <v>71825.705000000002</v>
      </c>
      <c r="N25" s="21">
        <f t="shared" si="16"/>
        <v>71825.705000000002</v>
      </c>
      <c r="O25" s="21">
        <f t="shared" si="16"/>
        <v>71825.705000000002</v>
      </c>
      <c r="P25" s="22">
        <f t="shared" si="16"/>
        <v>71825.705000000002</v>
      </c>
    </row>
    <row r="26" spans="2:16" x14ac:dyDescent="0.2">
      <c r="B26" s="50" t="s">
        <v>86</v>
      </c>
      <c r="C26" s="35">
        <v>-46917</v>
      </c>
      <c r="D26" s="25">
        <v>-48268.881759999997</v>
      </c>
      <c r="E26" s="26">
        <v>-49817.513490000005</v>
      </c>
      <c r="F26" s="25">
        <f>E26+F43</f>
        <v>-45018.987318000007</v>
      </c>
      <c r="G26" s="25">
        <f t="shared" ref="G26:P26" si="17">F26+G43</f>
        <v>-38818.835542707449</v>
      </c>
      <c r="H26" s="25">
        <f t="shared" si="17"/>
        <v>-34136.603802073128</v>
      </c>
      <c r="I26" s="25">
        <f t="shared" si="17"/>
        <v>-29351.123778885674</v>
      </c>
      <c r="J26" s="25">
        <f t="shared" si="17"/>
        <v>-24078.233469419549</v>
      </c>
      <c r="K26" s="25">
        <f t="shared" si="17"/>
        <v>-18551.71741599232</v>
      </c>
      <c r="L26" s="25">
        <f t="shared" si="17"/>
        <v>-12750.187775073055</v>
      </c>
      <c r="M26" s="25">
        <f t="shared" si="17"/>
        <v>-6556.3359594195372</v>
      </c>
      <c r="N26" s="25">
        <f t="shared" si="17"/>
        <v>-53.912600085737722</v>
      </c>
      <c r="O26" s="25">
        <f t="shared" si="17"/>
        <v>6885.0246838928761</v>
      </c>
      <c r="P26" s="26">
        <f t="shared" si="17"/>
        <v>14166.467578373724</v>
      </c>
    </row>
    <row r="27" spans="2:16" x14ac:dyDescent="0.2">
      <c r="B27" s="29"/>
      <c r="C27" s="19"/>
      <c r="D27" s="47">
        <f>D20/C20-1</f>
        <v>5.30437186897883E-2</v>
      </c>
      <c r="E27" s="47">
        <f>E20/D20-1</f>
        <v>0.46605548547600373</v>
      </c>
      <c r="F27" s="19"/>
      <c r="G27" s="19"/>
      <c r="H27" s="19"/>
      <c r="I27" s="19"/>
      <c r="J27" s="195"/>
      <c r="K27" s="19"/>
      <c r="L27" s="19"/>
      <c r="M27" s="19"/>
      <c r="N27" s="19"/>
      <c r="O27" s="19"/>
      <c r="P27" s="19"/>
    </row>
    <row r="28" spans="2:16" x14ac:dyDescent="0.2">
      <c r="D28" s="3">
        <f>D22/C22-1</f>
        <v>1.4602490985576866E-2</v>
      </c>
      <c r="E28" s="3">
        <f>E22/D22-1</f>
        <v>1.1369481625487232E-2</v>
      </c>
    </row>
    <row r="29" spans="2:16" x14ac:dyDescent="0.2">
      <c r="B29" s="14" t="s">
        <v>87</v>
      </c>
      <c r="C29" s="15">
        <v>2010</v>
      </c>
      <c r="D29" s="15">
        <v>2011</v>
      </c>
      <c r="E29" s="15">
        <v>2012</v>
      </c>
      <c r="F29" s="15">
        <v>2013</v>
      </c>
      <c r="G29" s="15">
        <v>2014</v>
      </c>
      <c r="H29" s="15">
        <v>2015</v>
      </c>
      <c r="I29" s="15">
        <v>2016</v>
      </c>
      <c r="J29" s="15">
        <v>2017</v>
      </c>
      <c r="K29" s="15">
        <v>2018</v>
      </c>
      <c r="L29" s="15">
        <v>2019</v>
      </c>
      <c r="M29" s="15">
        <v>2020</v>
      </c>
      <c r="N29" s="15">
        <v>2021</v>
      </c>
      <c r="O29" s="15">
        <v>2022</v>
      </c>
      <c r="P29" s="16">
        <v>2023</v>
      </c>
    </row>
    <row r="30" spans="2:16" x14ac:dyDescent="0.2">
      <c r="B30" s="123" t="s">
        <v>88</v>
      </c>
      <c r="C30" s="27">
        <v>18807</v>
      </c>
      <c r="D30" s="27">
        <v>20360</v>
      </c>
      <c r="E30" s="27">
        <v>21184.258949999999</v>
      </c>
      <c r="F30" s="27">
        <f>'Gerencial Anual'!H26/1000</f>
        <v>22932.994999999999</v>
      </c>
      <c r="G30" s="27">
        <f>'Gerencial Anual'!I26/1000</f>
        <v>26132.289436349096</v>
      </c>
      <c r="H30" s="27">
        <f>'Gerencial Anual'!J26/1000</f>
        <v>24398.098731116035</v>
      </c>
      <c r="I30" s="27">
        <f>'Gerencial Anual'!K26/1000</f>
        <v>25465.123496326662</v>
      </c>
      <c r="J30" s="27">
        <f>'Gerencial Anual'!L26/1000</f>
        <v>27197.962537976029</v>
      </c>
      <c r="K30" s="27">
        <f>'Gerencial Anual'!M26/1000</f>
        <v>28471.961291502364</v>
      </c>
      <c r="L30" s="27">
        <f>'Gerencial Anual'!N26/1000</f>
        <v>29822.627083285348</v>
      </c>
      <c r="M30" s="27">
        <f>'Gerencial Anual'!O26/1000</f>
        <v>31417.714023501976</v>
      </c>
      <c r="N30" s="27">
        <f>'Gerencial Anual'!P26/1000</f>
        <v>32911.518589352912</v>
      </c>
      <c r="O30" s="27">
        <f>'Gerencial Anual'!Q26/1000</f>
        <v>34672.175288286715</v>
      </c>
      <c r="P30" s="135">
        <f>'Gerencial Anual'!R26/1000</f>
        <v>36318.046421239029</v>
      </c>
    </row>
    <row r="31" spans="2:16" x14ac:dyDescent="0.2">
      <c r="B31" s="133" t="s">
        <v>89</v>
      </c>
      <c r="C31" s="28">
        <v>-1724</v>
      </c>
      <c r="D31" s="28">
        <v>-1819</v>
      </c>
      <c r="E31" s="28">
        <v>-1852.0076399999998</v>
      </c>
      <c r="F31" s="28">
        <f>-'Gerencial Anual'!H33/1000</f>
        <v>-2076.723</v>
      </c>
      <c r="G31" s="28">
        <f>-'Gerencial Anual'!I33/1000</f>
        <v>-2325.7737598350695</v>
      </c>
      <c r="H31" s="28">
        <f>-'Gerencial Anual'!J33/1000</f>
        <v>-2171.4307870693269</v>
      </c>
      <c r="I31" s="28">
        <f>-'Gerencial Anual'!K33/1000</f>
        <v>-2266.3959911730726</v>
      </c>
      <c r="J31" s="28">
        <f>-'Gerencial Anual'!L33/1000</f>
        <v>-2420.6186658798665</v>
      </c>
      <c r="K31" s="28">
        <f>-'Gerencial Anual'!M33/1000</f>
        <v>-2534.00455494371</v>
      </c>
      <c r="L31" s="28">
        <f>-'Gerencial Anual'!N33/1000</f>
        <v>-2654.2138104123956</v>
      </c>
      <c r="M31" s="28">
        <f>-'Gerencial Anual'!O33/1000</f>
        <v>-2796.1765480916756</v>
      </c>
      <c r="N31" s="28">
        <f>-'Gerencial Anual'!P33/1000</f>
        <v>-2929.1251544524089</v>
      </c>
      <c r="O31" s="28">
        <f>-'Gerencial Anual'!Q33/1000</f>
        <v>-3085.8236006575175</v>
      </c>
      <c r="P31" s="63">
        <f>-'Gerencial Anual'!R33/1000</f>
        <v>-3232.3061314902729</v>
      </c>
    </row>
    <row r="32" spans="2:16" x14ac:dyDescent="0.2">
      <c r="B32" s="123" t="s">
        <v>90</v>
      </c>
      <c r="C32" s="27">
        <v>17083</v>
      </c>
      <c r="D32" s="27">
        <v>18541</v>
      </c>
      <c r="E32" s="27">
        <v>19332.25131</v>
      </c>
      <c r="F32" s="27">
        <f>F30+F31</f>
        <v>20856.271999999997</v>
      </c>
      <c r="G32" s="27">
        <f t="shared" ref="G32:P32" si="18">G30+G31</f>
        <v>23806.515676514027</v>
      </c>
      <c r="H32" s="27">
        <f t="shared" si="18"/>
        <v>22226.667944046709</v>
      </c>
      <c r="I32" s="27">
        <f t="shared" si="18"/>
        <v>23198.727505153591</v>
      </c>
      <c r="J32" s="27">
        <f t="shared" si="18"/>
        <v>24777.343872096164</v>
      </c>
      <c r="K32" s="27">
        <f t="shared" si="18"/>
        <v>25937.956736558655</v>
      </c>
      <c r="L32" s="27">
        <f t="shared" si="18"/>
        <v>27168.413272872953</v>
      </c>
      <c r="M32" s="27">
        <f t="shared" si="18"/>
        <v>28621.5374754103</v>
      </c>
      <c r="N32" s="27">
        <f t="shared" si="18"/>
        <v>29982.393434900503</v>
      </c>
      <c r="O32" s="27">
        <f t="shared" si="18"/>
        <v>31586.351687629198</v>
      </c>
      <c r="P32" s="135">
        <f t="shared" si="18"/>
        <v>33085.740289748755</v>
      </c>
    </row>
    <row r="33" spans="2:16" x14ac:dyDescent="0.2">
      <c r="B33" s="133" t="s">
        <v>91</v>
      </c>
      <c r="C33" s="28">
        <v>-10111</v>
      </c>
      <c r="D33" s="28">
        <v>-10639</v>
      </c>
      <c r="E33" s="28">
        <v>-10379.33894</v>
      </c>
      <c r="F33" s="28">
        <f>-('Gerencial Anual'!H40+'Gerencial Anual'!H45+'Gerencial Anual'!H50)/1000</f>
        <v>-7875.5879999999997</v>
      </c>
      <c r="G33" s="28">
        <f>-('Gerencial Anual'!I40+'Gerencial Anual'!I45+'Gerencial Anual'!I50)/1000</f>
        <v>-8398.6133875101496</v>
      </c>
      <c r="H33" s="28">
        <f>-('Gerencial Anual'!J40+'Gerencial Anual'!J45+'Gerencial Anual'!J50)/1000</f>
        <v>-8785.3660137238512</v>
      </c>
      <c r="I33" s="28">
        <f>-('Gerencial Anual'!K40+'Gerencial Anual'!K45+'Gerencial Anual'!K50)/1000</f>
        <v>-9268.518990164941</v>
      </c>
      <c r="J33" s="28">
        <f>-('Gerencial Anual'!L40+'Gerencial Anual'!L45+'Gerencial Anual'!L50)/1000</f>
        <v>-9775.6004050519859</v>
      </c>
      <c r="K33" s="28">
        <f>-('Gerencial Anual'!M40+'Gerencial Anual'!M45+'Gerencial Anual'!M50)/1000</f>
        <v>-10239.31833531251</v>
      </c>
      <c r="L33" s="28">
        <f>-('Gerencial Anual'!N40+'Gerencial Anual'!N45+'Gerencial Anual'!N50)/1000</f>
        <v>-10725.624972455127</v>
      </c>
      <c r="M33" s="28">
        <f>-('Gerencial Anual'!O40+'Gerencial Anual'!O45+'Gerencial Anual'!O50)/1000</f>
        <v>-11241.304516464164</v>
      </c>
      <c r="N33" s="28">
        <f>-('Gerencial Anual'!P40+'Gerencial Anual'!P45+'Gerencial Anual'!P50)/1000</f>
        <v>-11775.31739971239</v>
      </c>
      <c r="O33" s="28">
        <f>-('Gerencial Anual'!Q40+'Gerencial Anual'!Q45+'Gerencial Anual'!Q50)/1000</f>
        <v>-12341.513238199259</v>
      </c>
      <c r="P33" s="63">
        <f>-('Gerencial Anual'!R40+'Gerencial Anual'!R45+'Gerencial Anual'!R50)/1000</f>
        <v>-12927.698325890213</v>
      </c>
    </row>
    <row r="34" spans="2:16" x14ac:dyDescent="0.2">
      <c r="B34" s="123" t="s">
        <v>92</v>
      </c>
      <c r="C34" s="27">
        <v>6972</v>
      </c>
      <c r="D34" s="27">
        <v>7902</v>
      </c>
      <c r="E34" s="27">
        <v>8952.91237</v>
      </c>
      <c r="F34" s="27">
        <f>F32+F33</f>
        <v>12980.683999999997</v>
      </c>
      <c r="G34" s="27">
        <f t="shared" ref="G34:P34" si="19">G32+G33</f>
        <v>15407.902289003878</v>
      </c>
      <c r="H34" s="27">
        <f t="shared" si="19"/>
        <v>13441.301930322858</v>
      </c>
      <c r="I34" s="27">
        <f t="shared" si="19"/>
        <v>13930.20851498865</v>
      </c>
      <c r="J34" s="27">
        <f t="shared" si="19"/>
        <v>15001.743467044178</v>
      </c>
      <c r="K34" s="27">
        <f t="shared" si="19"/>
        <v>15698.638401246146</v>
      </c>
      <c r="L34" s="27">
        <f t="shared" si="19"/>
        <v>16442.788300417826</v>
      </c>
      <c r="M34" s="27">
        <f t="shared" si="19"/>
        <v>17380.232958946137</v>
      </c>
      <c r="N34" s="27">
        <f t="shared" si="19"/>
        <v>18207.076035188111</v>
      </c>
      <c r="O34" s="27">
        <f t="shared" si="19"/>
        <v>19244.838449429939</v>
      </c>
      <c r="P34" s="135">
        <f t="shared" si="19"/>
        <v>20158.041963858544</v>
      </c>
    </row>
    <row r="35" spans="2:16" x14ac:dyDescent="0.2">
      <c r="B35" s="46" t="s">
        <v>93</v>
      </c>
      <c r="C35" s="28">
        <f>SUM(C36:C38)</f>
        <v>-8858</v>
      </c>
      <c r="D35" s="28">
        <f t="shared" ref="D35:P35" si="20">SUM(D36:D38)</f>
        <v>-8782</v>
      </c>
      <c r="E35" s="28">
        <f t="shared" si="20"/>
        <v>-10070.365299999999</v>
      </c>
      <c r="F35" s="28">
        <f t="shared" si="20"/>
        <v>-5279.0110000000004</v>
      </c>
      <c r="G35" s="28">
        <f t="shared" si="20"/>
        <v>-5582.5541325000013</v>
      </c>
      <c r="H35" s="28">
        <f t="shared" si="20"/>
        <v>-5915.8326142102505</v>
      </c>
      <c r="I35" s="28">
        <f t="shared" si="20"/>
        <v>-6248.3024071288673</v>
      </c>
      <c r="J35" s="28">
        <f t="shared" si="20"/>
        <v>-6581.3369254288355</v>
      </c>
      <c r="K35" s="28">
        <f t="shared" si="20"/>
        <v>-6893.9504293867067</v>
      </c>
      <c r="L35" s="28">
        <f t="shared" si="20"/>
        <v>-7221.4130747825748</v>
      </c>
      <c r="M35" s="28">
        <f t="shared" si="20"/>
        <v>-7564.4301958347478</v>
      </c>
      <c r="N35" s="28">
        <f t="shared" si="20"/>
        <v>-7923.7406301368992</v>
      </c>
      <c r="O35" s="28">
        <f t="shared" si="20"/>
        <v>-8300.1183100684029</v>
      </c>
      <c r="P35" s="63">
        <f t="shared" si="20"/>
        <v>-8694.3739297966531</v>
      </c>
    </row>
    <row r="36" spans="2:16" x14ac:dyDescent="0.2">
      <c r="B36" s="132" t="s">
        <v>97</v>
      </c>
      <c r="C36" s="36">
        <v>-6610</v>
      </c>
      <c r="D36" s="36">
        <v>-6861</v>
      </c>
      <c r="E36" s="36">
        <v>-8122.5083299999997</v>
      </c>
      <c r="F36" s="36">
        <f>-('Gerencial Anual'!H52+'Gerencial Anual'!H58)/1000</f>
        <v>-1778.421</v>
      </c>
      <c r="G36" s="36">
        <f>-('Gerencial Anual'!I52+'Gerencial Anual'!I58)/1000</f>
        <v>-1880.6802075000003</v>
      </c>
      <c r="H36" s="36">
        <f>-('Gerencial Anual'!J52+'Gerencial Anual'!J58)/1000</f>
        <v>-1992.9568158877503</v>
      </c>
      <c r="I36" s="36">
        <f>-('Gerencial Anual'!K52+'Gerencial Anual'!K58)/1000</f>
        <v>-2104.9609889406424</v>
      </c>
      <c r="J36" s="36">
        <f>-('Gerencial Anual'!L52+'Gerencial Anual'!L58)/1000</f>
        <v>-2217.1554096511782</v>
      </c>
      <c r="K36" s="36">
        <f>-('Gerencial Anual'!M52+'Gerencial Anual'!M58)/1000</f>
        <v>-2322.4702916096094</v>
      </c>
      <c r="L36" s="36">
        <f>-('Gerencial Anual'!N52+'Gerencial Anual'!N58)/1000</f>
        <v>-2432.7876304610659</v>
      </c>
      <c r="M36" s="36">
        <f>-('Gerencial Anual'!O52+'Gerencial Anual'!O58)/1000</f>
        <v>-2548.3450429079667</v>
      </c>
      <c r="N36" s="36">
        <f>-('Gerencial Anual'!P52+'Gerencial Anual'!P58)/1000</f>
        <v>-2669.3914324460957</v>
      </c>
      <c r="O36" s="36">
        <f>-('Gerencial Anual'!Q52+'Gerencial Anual'!Q58)/1000</f>
        <v>-2796.1875254872853</v>
      </c>
      <c r="P36" s="124">
        <f>-('Gerencial Anual'!R52+'Gerencial Anual'!R58)/1000</f>
        <v>-2929.0064329479319</v>
      </c>
    </row>
    <row r="37" spans="2:16" x14ac:dyDescent="0.2">
      <c r="B37" s="133" t="s">
        <v>98</v>
      </c>
      <c r="C37" s="28">
        <v>-656</v>
      </c>
      <c r="D37" s="28">
        <v>-704</v>
      </c>
      <c r="E37" s="28">
        <v>-817.99876000000006</v>
      </c>
      <c r="F37" s="28">
        <f>-('Gerencial Anual'!H53+'Gerencial Anual'!H59)/1000</f>
        <v>-773.30600000000004</v>
      </c>
      <c r="G37" s="28">
        <f>-('Gerencial Anual'!I53+'Gerencial Anual'!I59)/1000</f>
        <v>-817.77109500000006</v>
      </c>
      <c r="H37" s="28">
        <f>-('Gerencial Anual'!J53+'Gerencial Anual'!J59)/1000</f>
        <v>-866.59202937150008</v>
      </c>
      <c r="I37" s="28">
        <f>-('Gerencial Anual'!K53+'Gerencial Anual'!K59)/1000</f>
        <v>-915.29450142217843</v>
      </c>
      <c r="J37" s="28">
        <f>-('Gerencial Anual'!L53+'Gerencial Anual'!L59)/1000</f>
        <v>-964.07969834798052</v>
      </c>
      <c r="K37" s="28">
        <f>-('Gerencial Anual'!M53+'Gerencial Anual'!M59)/1000</f>
        <v>-1009.8734840195096</v>
      </c>
      <c r="L37" s="28">
        <f>-('Gerencial Anual'!N53+'Gerencial Anual'!N59)/1000</f>
        <v>-1057.8424745104364</v>
      </c>
      <c r="M37" s="28">
        <f>-('Gerencial Anual'!O53+'Gerencial Anual'!O59)/1000</f>
        <v>-1108.0899920496822</v>
      </c>
      <c r="N37" s="28">
        <f>-('Gerencial Anual'!P53+'Gerencial Anual'!P59)/1000</f>
        <v>-1160.7242666720422</v>
      </c>
      <c r="O37" s="28">
        <f>-('Gerencial Anual'!Q53+'Gerencial Anual'!Q59)/1000</f>
        <v>-1215.8586693389643</v>
      </c>
      <c r="P37" s="63">
        <f>-('Gerencial Anual'!R53+'Gerencial Anual'!R59)/1000</f>
        <v>-1273.6119561325652</v>
      </c>
    </row>
    <row r="38" spans="2:16" x14ac:dyDescent="0.2">
      <c r="B38" s="132" t="s">
        <v>23</v>
      </c>
      <c r="C38" s="36">
        <v>-1592</v>
      </c>
      <c r="D38" s="36">
        <v>-1217</v>
      </c>
      <c r="E38" s="36">
        <v>-1129.8582099999999</v>
      </c>
      <c r="F38" s="36">
        <f>-SUM('Gerencial Anual'!H54:H55,'Gerencial Anual'!H60:H62)/1000</f>
        <v>-2727.2840000000001</v>
      </c>
      <c r="G38" s="36">
        <f>-SUM('Gerencial Anual'!I54:I55,'Gerencial Anual'!I60:I62)/1000</f>
        <v>-2884.1028300000007</v>
      </c>
      <c r="H38" s="36">
        <f>-SUM('Gerencial Anual'!J54:J55,'Gerencial Anual'!J60:J62)/1000</f>
        <v>-3056.2837689510006</v>
      </c>
      <c r="I38" s="36">
        <f>-SUM('Gerencial Anual'!K54:K55,'Gerencial Anual'!K60:K62)/1000</f>
        <v>-3228.0469167660472</v>
      </c>
      <c r="J38" s="36">
        <f>-SUM('Gerencial Anual'!L54:L55,'Gerencial Anual'!L60:L62)/1000</f>
        <v>-3400.1018174296773</v>
      </c>
      <c r="K38" s="36">
        <f>-SUM('Gerencial Anual'!M54:M55,'Gerencial Anual'!M60:M62)/1000</f>
        <v>-3561.6066537575871</v>
      </c>
      <c r="L38" s="36">
        <f>-SUM('Gerencial Anual'!N54:N55,'Gerencial Anual'!N60:N62)/1000</f>
        <v>-3730.7829698110727</v>
      </c>
      <c r="M38" s="36">
        <f>-SUM('Gerencial Anual'!O54:O55,'Gerencial Anual'!O60:O62)/1000</f>
        <v>-3907.9951608770989</v>
      </c>
      <c r="N38" s="36">
        <f>-SUM('Gerencial Anual'!P54:P55,'Gerencial Anual'!P60:P62)/1000</f>
        <v>-4093.6249310187613</v>
      </c>
      <c r="O38" s="36">
        <f>-SUM('Gerencial Anual'!Q54:Q55,'Gerencial Anual'!Q60:Q62)/1000</f>
        <v>-4288.0721152421538</v>
      </c>
      <c r="P38" s="124">
        <f>-SUM('Gerencial Anual'!R54:R55,'Gerencial Anual'!R60:R62)/1000</f>
        <v>-4491.7555407161562</v>
      </c>
    </row>
    <row r="39" spans="2:16" x14ac:dyDescent="0.2">
      <c r="B39" s="136" t="s">
        <v>94</v>
      </c>
      <c r="C39" s="37">
        <v>-1886</v>
      </c>
      <c r="D39" s="37">
        <v>-880</v>
      </c>
      <c r="E39" s="37">
        <v>-1117.4529299999995</v>
      </c>
      <c r="F39" s="37">
        <f>F34+F35</f>
        <v>7701.672999999997</v>
      </c>
      <c r="G39" s="37">
        <f t="shared" ref="G39:P39" si="21">G34+G35</f>
        <v>9825.3481565038765</v>
      </c>
      <c r="H39" s="37">
        <f t="shared" si="21"/>
        <v>7525.469316112607</v>
      </c>
      <c r="I39" s="37">
        <f t="shared" si="21"/>
        <v>7681.9061078597824</v>
      </c>
      <c r="J39" s="37">
        <f t="shared" si="21"/>
        <v>8420.4065416153426</v>
      </c>
      <c r="K39" s="37">
        <f t="shared" si="21"/>
        <v>8804.6879718594391</v>
      </c>
      <c r="L39" s="37">
        <f t="shared" si="21"/>
        <v>9221.3752256352509</v>
      </c>
      <c r="M39" s="37">
        <f t="shared" si="21"/>
        <v>9815.8027631113891</v>
      </c>
      <c r="N39" s="37">
        <f t="shared" si="21"/>
        <v>10283.335405051212</v>
      </c>
      <c r="O39" s="37">
        <f t="shared" si="21"/>
        <v>10944.720139361536</v>
      </c>
      <c r="P39" s="137">
        <f t="shared" si="21"/>
        <v>11463.668034061891</v>
      </c>
    </row>
    <row r="40" spans="2:16" x14ac:dyDescent="0.2">
      <c r="B40" s="132" t="s">
        <v>95</v>
      </c>
      <c r="C40" s="36">
        <v>-538</v>
      </c>
      <c r="D40" s="36">
        <v>-474</v>
      </c>
      <c r="E40" s="36">
        <v>-431.17879999999997</v>
      </c>
      <c r="F40" s="36">
        <f>E40</f>
        <v>-431.17879999999997</v>
      </c>
      <c r="G40" s="36">
        <f t="shared" ref="G40:P40" si="22">F40</f>
        <v>-431.17879999999997</v>
      </c>
      <c r="H40" s="36">
        <f t="shared" si="22"/>
        <v>-431.17879999999997</v>
      </c>
      <c r="I40" s="36">
        <f t="shared" si="22"/>
        <v>-431.17879999999997</v>
      </c>
      <c r="J40" s="36">
        <f t="shared" si="22"/>
        <v>-431.17879999999997</v>
      </c>
      <c r="K40" s="36">
        <f t="shared" si="22"/>
        <v>-431.17879999999997</v>
      </c>
      <c r="L40" s="36">
        <f t="shared" si="22"/>
        <v>-431.17879999999997</v>
      </c>
      <c r="M40" s="36">
        <f t="shared" si="22"/>
        <v>-431.17879999999997</v>
      </c>
      <c r="N40" s="36">
        <f t="shared" si="22"/>
        <v>-431.17879999999997</v>
      </c>
      <c r="O40" s="36">
        <f t="shared" si="22"/>
        <v>-431.17879999999997</v>
      </c>
      <c r="P40" s="124">
        <f t="shared" si="22"/>
        <v>-431.17879999999997</v>
      </c>
    </row>
    <row r="41" spans="2:16" x14ac:dyDescent="0.2">
      <c r="B41" s="138" t="s">
        <v>148</v>
      </c>
      <c r="C41" s="130"/>
      <c r="D41" s="130"/>
      <c r="E41" s="130"/>
      <c r="F41" s="130">
        <f>F39+F40</f>
        <v>7270.4941999999974</v>
      </c>
      <c r="G41" s="130">
        <f t="shared" ref="G41:P41" si="23">G39+G40</f>
        <v>9394.1693565038768</v>
      </c>
      <c r="H41" s="130">
        <f t="shared" si="23"/>
        <v>7094.2905161126073</v>
      </c>
      <c r="I41" s="130">
        <f t="shared" si="23"/>
        <v>7250.7273078597827</v>
      </c>
      <c r="J41" s="130">
        <f t="shared" si="23"/>
        <v>7989.2277416153429</v>
      </c>
      <c r="K41" s="130">
        <f t="shared" si="23"/>
        <v>8373.5091718594394</v>
      </c>
      <c r="L41" s="130">
        <f t="shared" si="23"/>
        <v>8790.1964256352512</v>
      </c>
      <c r="M41" s="130">
        <f t="shared" si="23"/>
        <v>9384.6239631113895</v>
      </c>
      <c r="N41" s="130">
        <f t="shared" si="23"/>
        <v>9852.156605051212</v>
      </c>
      <c r="O41" s="130">
        <f t="shared" si="23"/>
        <v>10513.541339361536</v>
      </c>
      <c r="P41" s="139">
        <f t="shared" si="23"/>
        <v>11032.489234061892</v>
      </c>
    </row>
    <row r="42" spans="2:16" x14ac:dyDescent="0.2">
      <c r="B42" s="140" t="s">
        <v>149</v>
      </c>
      <c r="C42" s="36"/>
      <c r="D42" s="36"/>
      <c r="E42" s="36"/>
      <c r="F42" s="36">
        <f>-F41*34%</f>
        <v>-2471.9680279999993</v>
      </c>
      <c r="G42" s="36">
        <f t="shared" ref="G42:P42" si="24">-G41*34%</f>
        <v>-3194.0175812113184</v>
      </c>
      <c r="H42" s="36">
        <f t="shared" si="24"/>
        <v>-2412.0587754782869</v>
      </c>
      <c r="I42" s="36">
        <f t="shared" si="24"/>
        <v>-2465.2472846723263</v>
      </c>
      <c r="J42" s="36">
        <f t="shared" si="24"/>
        <v>-2716.337432149217</v>
      </c>
      <c r="K42" s="36">
        <f t="shared" si="24"/>
        <v>-2846.9931184322095</v>
      </c>
      <c r="L42" s="36">
        <f t="shared" si="24"/>
        <v>-2988.6667847159856</v>
      </c>
      <c r="M42" s="36">
        <f t="shared" si="24"/>
        <v>-3190.7721474578725</v>
      </c>
      <c r="N42" s="36">
        <f t="shared" si="24"/>
        <v>-3349.7332457174125</v>
      </c>
      <c r="O42" s="36">
        <f t="shared" si="24"/>
        <v>-3574.6040553829225</v>
      </c>
      <c r="P42" s="124">
        <f t="shared" si="24"/>
        <v>-3751.0463395810434</v>
      </c>
    </row>
    <row r="43" spans="2:16" x14ac:dyDescent="0.2">
      <c r="B43" s="141" t="s">
        <v>96</v>
      </c>
      <c r="C43" s="142">
        <v>-2424</v>
      </c>
      <c r="D43" s="142">
        <v>-1354</v>
      </c>
      <c r="E43" s="142">
        <v>-1548.6317299999994</v>
      </c>
      <c r="F43" s="142">
        <f>F41+F42</f>
        <v>4798.526171999998</v>
      </c>
      <c r="G43" s="142">
        <f t="shared" ref="G43:P43" si="25">G41+G42</f>
        <v>6200.1517752925583</v>
      </c>
      <c r="H43" s="142">
        <f t="shared" si="25"/>
        <v>4682.2317406343209</v>
      </c>
      <c r="I43" s="142">
        <f t="shared" si="25"/>
        <v>4785.480023187456</v>
      </c>
      <c r="J43" s="142">
        <f t="shared" si="25"/>
        <v>5272.8903094661255</v>
      </c>
      <c r="K43" s="142">
        <f t="shared" si="25"/>
        <v>5526.51605342723</v>
      </c>
      <c r="L43" s="142">
        <f t="shared" si="25"/>
        <v>5801.5296409192651</v>
      </c>
      <c r="M43" s="142">
        <f t="shared" si="25"/>
        <v>6193.8518156535174</v>
      </c>
      <c r="N43" s="142">
        <f t="shared" si="25"/>
        <v>6502.4233593337995</v>
      </c>
      <c r="O43" s="142">
        <f t="shared" si="25"/>
        <v>6938.9372839786138</v>
      </c>
      <c r="P43" s="143">
        <f t="shared" si="25"/>
        <v>7281.4428944808478</v>
      </c>
    </row>
    <row r="45" spans="2:16" x14ac:dyDescent="0.2">
      <c r="B45" s="14" t="s">
        <v>132</v>
      </c>
      <c r="C45" s="15">
        <f>C29</f>
        <v>2010</v>
      </c>
      <c r="D45" s="15">
        <f t="shared" ref="D45:P45" si="26">D29</f>
        <v>2011</v>
      </c>
      <c r="E45" s="15">
        <f t="shared" si="26"/>
        <v>2012</v>
      </c>
      <c r="F45" s="15">
        <f t="shared" si="26"/>
        <v>2013</v>
      </c>
      <c r="G45" s="15">
        <f t="shared" si="26"/>
        <v>2014</v>
      </c>
      <c r="H45" s="15">
        <f t="shared" si="26"/>
        <v>2015</v>
      </c>
      <c r="I45" s="15">
        <f t="shared" si="26"/>
        <v>2016</v>
      </c>
      <c r="J45" s="15">
        <f t="shared" si="26"/>
        <v>2017</v>
      </c>
      <c r="K45" s="15">
        <f t="shared" si="26"/>
        <v>2018</v>
      </c>
      <c r="L45" s="15">
        <f t="shared" si="26"/>
        <v>2019</v>
      </c>
      <c r="M45" s="15">
        <f t="shared" si="26"/>
        <v>2020</v>
      </c>
      <c r="N45" s="15">
        <f t="shared" si="26"/>
        <v>2021</v>
      </c>
      <c r="O45" s="15">
        <f t="shared" si="26"/>
        <v>2022</v>
      </c>
      <c r="P45" s="16">
        <f t="shared" si="26"/>
        <v>2023</v>
      </c>
    </row>
    <row r="46" spans="2:16" x14ac:dyDescent="0.2">
      <c r="B46" s="112" t="s">
        <v>94</v>
      </c>
      <c r="C46" s="30"/>
      <c r="D46" s="30"/>
      <c r="E46" s="30"/>
      <c r="F46" s="36">
        <f>F39</f>
        <v>7701.672999999997</v>
      </c>
      <c r="G46" s="36">
        <f>G39</f>
        <v>9825.3481565038765</v>
      </c>
      <c r="H46" s="36">
        <f t="shared" ref="H46:P46" si="27">H39</f>
        <v>7525.469316112607</v>
      </c>
      <c r="I46" s="36">
        <f t="shared" si="27"/>
        <v>7681.9061078597824</v>
      </c>
      <c r="J46" s="36">
        <f t="shared" si="27"/>
        <v>8420.4065416153426</v>
      </c>
      <c r="K46" s="36">
        <f t="shared" si="27"/>
        <v>8804.6879718594391</v>
      </c>
      <c r="L46" s="36">
        <f t="shared" si="27"/>
        <v>9221.3752256352509</v>
      </c>
      <c r="M46" s="36">
        <f t="shared" si="27"/>
        <v>9815.8027631113891</v>
      </c>
      <c r="N46" s="36">
        <f t="shared" si="27"/>
        <v>10283.335405051212</v>
      </c>
      <c r="O46" s="36">
        <f t="shared" si="27"/>
        <v>10944.720139361536</v>
      </c>
      <c r="P46" s="124">
        <f t="shared" si="27"/>
        <v>11463.668034061891</v>
      </c>
    </row>
    <row r="47" spans="2:16" x14ac:dyDescent="0.2">
      <c r="B47" s="46" t="s">
        <v>134</v>
      </c>
      <c r="C47" s="29"/>
      <c r="D47" s="29"/>
      <c r="E47" s="29"/>
      <c r="F47" s="19">
        <v>800</v>
      </c>
      <c r="G47" s="19">
        <v>800</v>
      </c>
      <c r="H47" s="19">
        <v>800</v>
      </c>
      <c r="I47" s="19">
        <v>800</v>
      </c>
      <c r="J47" s="19">
        <v>800</v>
      </c>
      <c r="K47" s="19">
        <v>800</v>
      </c>
      <c r="L47" s="19">
        <v>800</v>
      </c>
      <c r="M47" s="19">
        <v>800</v>
      </c>
      <c r="N47" s="19">
        <v>800</v>
      </c>
      <c r="O47" s="19">
        <v>800</v>
      </c>
      <c r="P47" s="20">
        <v>800</v>
      </c>
    </row>
    <row r="48" spans="2:16" x14ac:dyDescent="0.2">
      <c r="B48" s="112" t="s">
        <v>135</v>
      </c>
      <c r="C48" s="30"/>
      <c r="D48" s="30"/>
      <c r="E48" s="30"/>
      <c r="F48" s="30"/>
      <c r="G48" s="21">
        <f>-NCG!G17</f>
        <v>326.77629715707985</v>
      </c>
      <c r="H48" s="21">
        <f>-NCG!H17</f>
        <v>-207.56807883573549</v>
      </c>
      <c r="I48" s="21">
        <f>-NCG!I17</f>
        <v>92.481388859931826</v>
      </c>
      <c r="J48" s="21">
        <f>-NCG!J17</f>
        <v>163.74983259420654</v>
      </c>
      <c r="K48" s="21">
        <f>-NCG!K17</f>
        <v>115.94877439709325</v>
      </c>
      <c r="L48" s="21">
        <f>-NCG!L17</f>
        <v>123.18615196956821</v>
      </c>
      <c r="M48" s="21">
        <f>-NCG!M17</f>
        <v>148.34294463764508</v>
      </c>
      <c r="N48" s="21">
        <f>-NCG!N17</f>
        <v>136.42815047800272</v>
      </c>
      <c r="O48" s="21">
        <f>-NCG!O17</f>
        <v>163.8880374924733</v>
      </c>
      <c r="P48" s="22">
        <f>-NCG!P17</f>
        <v>150.42325297745586</v>
      </c>
    </row>
    <row r="49" spans="2:21" x14ac:dyDescent="0.2">
      <c r="B49" s="148" t="s">
        <v>136</v>
      </c>
      <c r="C49" s="149"/>
      <c r="D49" s="149"/>
      <c r="E49" s="149"/>
      <c r="F49" s="150">
        <f t="shared" ref="F49:P49" si="28">F46-F47-F48</f>
        <v>6901.672999999997</v>
      </c>
      <c r="G49" s="150">
        <f t="shared" si="28"/>
        <v>8698.5718593467973</v>
      </c>
      <c r="H49" s="150">
        <f t="shared" si="28"/>
        <v>6933.0373949483428</v>
      </c>
      <c r="I49" s="150">
        <f t="shared" si="28"/>
        <v>6789.4247189998505</v>
      </c>
      <c r="J49" s="150">
        <f t="shared" si="28"/>
        <v>7456.6567090211356</v>
      </c>
      <c r="K49" s="150">
        <f t="shared" si="28"/>
        <v>7888.7391974623461</v>
      </c>
      <c r="L49" s="150">
        <f t="shared" si="28"/>
        <v>8298.1890736656824</v>
      </c>
      <c r="M49" s="150">
        <f t="shared" si="28"/>
        <v>8867.4598184737442</v>
      </c>
      <c r="N49" s="150">
        <f t="shared" si="28"/>
        <v>9346.9072545732088</v>
      </c>
      <c r="O49" s="150">
        <f t="shared" si="28"/>
        <v>9980.8321018690622</v>
      </c>
      <c r="P49" s="151">
        <f t="shared" si="28"/>
        <v>10513.244781084435</v>
      </c>
    </row>
    <row r="50" spans="2:21" x14ac:dyDescent="0.2">
      <c r="B50" s="112" t="s">
        <v>95</v>
      </c>
      <c r="C50" s="30"/>
      <c r="D50" s="30"/>
      <c r="E50" s="30"/>
      <c r="F50" s="36">
        <f t="shared" ref="F50:P50" si="29">F40</f>
        <v>-431.17879999999997</v>
      </c>
      <c r="G50" s="36">
        <f t="shared" si="29"/>
        <v>-431.17879999999997</v>
      </c>
      <c r="H50" s="36">
        <f t="shared" si="29"/>
        <v>-431.17879999999997</v>
      </c>
      <c r="I50" s="36">
        <f t="shared" si="29"/>
        <v>-431.17879999999997</v>
      </c>
      <c r="J50" s="36">
        <f t="shared" si="29"/>
        <v>-431.17879999999997</v>
      </c>
      <c r="K50" s="36">
        <f t="shared" si="29"/>
        <v>-431.17879999999997</v>
      </c>
      <c r="L50" s="36">
        <f t="shared" si="29"/>
        <v>-431.17879999999997</v>
      </c>
      <c r="M50" s="36">
        <f t="shared" si="29"/>
        <v>-431.17879999999997</v>
      </c>
      <c r="N50" s="36">
        <f t="shared" si="29"/>
        <v>-431.17879999999997</v>
      </c>
      <c r="O50" s="36">
        <f t="shared" si="29"/>
        <v>-431.17879999999997</v>
      </c>
      <c r="P50" s="124">
        <f t="shared" si="29"/>
        <v>-431.17879999999997</v>
      </c>
    </row>
    <row r="51" spans="2:21" x14ac:dyDescent="0.2">
      <c r="B51" s="144" t="s">
        <v>147</v>
      </c>
      <c r="C51" s="145"/>
      <c r="D51" s="145"/>
      <c r="E51" s="145"/>
      <c r="F51" s="146">
        <f>F49+F50</f>
        <v>6470.4941999999974</v>
      </c>
      <c r="G51" s="146">
        <f>G49+G50</f>
        <v>8267.3930593467976</v>
      </c>
      <c r="H51" s="146">
        <f t="shared" ref="H51:P51" si="30">H49+H50</f>
        <v>6501.8585949483431</v>
      </c>
      <c r="I51" s="146">
        <f t="shared" si="30"/>
        <v>6358.2459189998508</v>
      </c>
      <c r="J51" s="146">
        <f t="shared" si="30"/>
        <v>7025.4779090211359</v>
      </c>
      <c r="K51" s="146">
        <f t="shared" si="30"/>
        <v>7457.5603974623464</v>
      </c>
      <c r="L51" s="146">
        <f t="shared" si="30"/>
        <v>7867.0102736656827</v>
      </c>
      <c r="M51" s="146">
        <f t="shared" si="30"/>
        <v>8436.2810184737446</v>
      </c>
      <c r="N51" s="146">
        <f t="shared" si="30"/>
        <v>8915.7284545732091</v>
      </c>
      <c r="O51" s="146">
        <f t="shared" si="30"/>
        <v>9549.6533018690625</v>
      </c>
      <c r="P51" s="147">
        <f t="shared" si="30"/>
        <v>10082.065981084435</v>
      </c>
    </row>
    <row r="53" spans="2:21" x14ac:dyDescent="0.2">
      <c r="B53" s="14" t="s">
        <v>167</v>
      </c>
      <c r="C53" s="15"/>
      <c r="D53" s="15"/>
      <c r="E53" s="15"/>
      <c r="F53" s="15"/>
      <c r="G53" s="165"/>
      <c r="H53" s="165"/>
      <c r="I53" s="165"/>
      <c r="J53" s="165"/>
      <c r="K53" s="165"/>
      <c r="L53" s="165"/>
      <c r="M53" s="165"/>
      <c r="N53" s="165"/>
      <c r="O53" s="165"/>
      <c r="P53" s="166"/>
    </row>
    <row r="54" spans="2:21" x14ac:dyDescent="0.2">
      <c r="B54" s="112" t="s">
        <v>137</v>
      </c>
      <c r="C54" s="30"/>
      <c r="D54" s="30"/>
      <c r="E54" s="30"/>
      <c r="F54" s="30"/>
      <c r="G54" s="21">
        <f t="shared" ref="G54:P54" si="31">G49/(1+$C$65)^(G29-$F$29)</f>
        <v>7694.8073278506617</v>
      </c>
      <c r="H54" s="21">
        <f t="shared" si="31"/>
        <v>5425.2921703107904</v>
      </c>
      <c r="I54" s="21">
        <f t="shared" si="31"/>
        <v>4699.8322851103985</v>
      </c>
      <c r="J54" s="21">
        <f t="shared" si="31"/>
        <v>4566.0780081224111</v>
      </c>
      <c r="K54" s="21">
        <f t="shared" si="31"/>
        <v>4273.2329671589159</v>
      </c>
      <c r="L54" s="21">
        <f t="shared" si="31"/>
        <v>3976.3269994853613</v>
      </c>
      <c r="M54" s="21">
        <f t="shared" si="31"/>
        <v>3758.7876362736706</v>
      </c>
      <c r="N54" s="21">
        <f t="shared" si="31"/>
        <v>3504.8245979752201</v>
      </c>
      <c r="O54" s="21">
        <f t="shared" si="31"/>
        <v>3310.6624199930006</v>
      </c>
      <c r="P54" s="22">
        <f t="shared" si="31"/>
        <v>3084.8547473044614</v>
      </c>
    </row>
    <row r="55" spans="2:21" x14ac:dyDescent="0.2">
      <c r="B55" s="46" t="s">
        <v>138</v>
      </c>
      <c r="C55" s="29"/>
      <c r="D55" s="29"/>
      <c r="E55" s="29"/>
      <c r="F55" s="29"/>
      <c r="G55" s="19">
        <f>P55/(1+$C$65)^(P29-F29)</f>
        <v>37190.672927344713</v>
      </c>
      <c r="H55" s="29"/>
      <c r="I55" s="29"/>
      <c r="J55" s="29"/>
      <c r="K55" s="29"/>
      <c r="L55" s="29"/>
      <c r="M55" s="29"/>
      <c r="N55" s="29"/>
      <c r="O55" s="29"/>
      <c r="P55" s="20">
        <f>P49/(C65-C72)</f>
        <v>126746.53430605613</v>
      </c>
    </row>
    <row r="56" spans="2:21" x14ac:dyDescent="0.2">
      <c r="B56" s="65" t="s">
        <v>145</v>
      </c>
      <c r="C56" s="167"/>
      <c r="D56" s="167"/>
      <c r="E56" s="167"/>
      <c r="F56" s="167"/>
      <c r="G56" s="168">
        <f>G55+SUM(G54:P54)</f>
        <v>81485.372086929594</v>
      </c>
      <c r="H56" s="167"/>
      <c r="I56" s="167"/>
      <c r="J56" s="167"/>
      <c r="K56" s="167"/>
      <c r="L56" s="167"/>
      <c r="M56" s="167"/>
      <c r="N56" s="167"/>
      <c r="O56" s="167"/>
      <c r="P56" s="169"/>
    </row>
    <row r="58" spans="2:21" x14ac:dyDescent="0.2">
      <c r="B58" s="14" t="s">
        <v>151</v>
      </c>
      <c r="C58" s="16"/>
      <c r="R58" s="14"/>
      <c r="S58" s="15" t="s">
        <v>171</v>
      </c>
      <c r="T58" s="15" t="s">
        <v>172</v>
      </c>
      <c r="U58" s="16" t="s">
        <v>173</v>
      </c>
    </row>
    <row r="59" spans="2:21" x14ac:dyDescent="0.2">
      <c r="B59" s="148" t="s">
        <v>153</v>
      </c>
      <c r="C59" s="154">
        <v>3.3399999999999999E-2</v>
      </c>
      <c r="D59" s="149"/>
      <c r="R59" s="112">
        <v>1</v>
      </c>
      <c r="S59" s="30" t="s">
        <v>174</v>
      </c>
      <c r="T59" s="173">
        <f t="shared" ref="T59:T65" si="32">C59</f>
        <v>3.3399999999999999E-2</v>
      </c>
      <c r="U59" s="113" t="s">
        <v>175</v>
      </c>
    </row>
    <row r="60" spans="2:21" x14ac:dyDescent="0.2">
      <c r="B60" s="148" t="s">
        <v>154</v>
      </c>
      <c r="C60" s="154">
        <v>3.9899999999999998E-2</v>
      </c>
      <c r="D60" s="149"/>
      <c r="G60" s="6"/>
      <c r="H60" s="6"/>
      <c r="I60" s="6"/>
      <c r="J60" s="6"/>
      <c r="K60" s="6"/>
      <c r="L60" s="6"/>
      <c r="M60" s="6"/>
      <c r="N60" s="6"/>
      <c r="O60" s="6"/>
      <c r="P60" s="6"/>
      <c r="R60" s="46">
        <v>2</v>
      </c>
      <c r="S60" s="29" t="s">
        <v>176</v>
      </c>
      <c r="T60" s="48">
        <f t="shared" si="32"/>
        <v>3.9899999999999998E-2</v>
      </c>
      <c r="U60" s="60" t="s">
        <v>177</v>
      </c>
    </row>
    <row r="61" spans="2:21" x14ac:dyDescent="0.2">
      <c r="B61" s="148" t="s">
        <v>155</v>
      </c>
      <c r="C61" s="154">
        <v>2.23E-2</v>
      </c>
      <c r="D61" s="153"/>
      <c r="F61" s="13"/>
      <c r="P61" s="4"/>
      <c r="R61" s="112">
        <v>3</v>
      </c>
      <c r="S61" s="30" t="s">
        <v>178</v>
      </c>
      <c r="T61" s="173">
        <f t="shared" si="32"/>
        <v>2.23E-2</v>
      </c>
      <c r="U61" s="113" t="s">
        <v>180</v>
      </c>
    </row>
    <row r="62" spans="2:21" x14ac:dyDescent="0.2">
      <c r="B62" s="148" t="s">
        <v>169</v>
      </c>
      <c r="C62" s="154">
        <v>2.3599999999999999E-2</v>
      </c>
      <c r="D62" s="152"/>
      <c r="R62" s="46">
        <v>4</v>
      </c>
      <c r="S62" s="29" t="s">
        <v>179</v>
      </c>
      <c r="T62" s="48">
        <f t="shared" si="32"/>
        <v>2.3599999999999999E-2</v>
      </c>
      <c r="U62" s="60" t="s">
        <v>183</v>
      </c>
    </row>
    <row r="63" spans="2:21" x14ac:dyDescent="0.2">
      <c r="B63" s="148" t="s">
        <v>152</v>
      </c>
      <c r="C63" s="155">
        <v>0.53</v>
      </c>
      <c r="D63" s="149"/>
      <c r="R63" s="112">
        <v>5</v>
      </c>
      <c r="S63" s="30" t="s">
        <v>152</v>
      </c>
      <c r="T63" s="30">
        <f t="shared" si="32"/>
        <v>0.53</v>
      </c>
      <c r="U63" s="113" t="s">
        <v>182</v>
      </c>
    </row>
    <row r="64" spans="2:21" x14ac:dyDescent="0.2">
      <c r="B64" s="148" t="s">
        <v>156</v>
      </c>
      <c r="C64" s="154">
        <v>0.03</v>
      </c>
      <c r="D64" s="158">
        <v>4.07E-2</v>
      </c>
      <c r="E64" s="149"/>
      <c r="R64" s="46">
        <v>6</v>
      </c>
      <c r="S64" s="29" t="s">
        <v>156</v>
      </c>
      <c r="T64" s="48">
        <f t="shared" si="32"/>
        <v>0.03</v>
      </c>
      <c r="U64" s="60"/>
    </row>
    <row r="65" spans="2:21" x14ac:dyDescent="0.2">
      <c r="B65" s="156" t="s">
        <v>151</v>
      </c>
      <c r="C65" s="157">
        <f>C59+C60*C63+C61+C62+C64</f>
        <v>0.13044699999999998</v>
      </c>
      <c r="D65" s="149"/>
      <c r="E65" s="149"/>
      <c r="R65" s="174">
        <v>7</v>
      </c>
      <c r="S65" s="175" t="s">
        <v>181</v>
      </c>
      <c r="T65" s="176">
        <f t="shared" si="32"/>
        <v>0.13044699999999998</v>
      </c>
      <c r="U65" s="177"/>
    </row>
    <row r="66" spans="2:21" x14ac:dyDescent="0.2">
      <c r="E66" s="153"/>
    </row>
    <row r="67" spans="2:21" x14ac:dyDescent="0.2">
      <c r="B67" s="14" t="s">
        <v>161</v>
      </c>
      <c r="C67" s="163"/>
      <c r="E67" s="152"/>
    </row>
    <row r="68" spans="2:21" x14ac:dyDescent="0.2">
      <c r="B68" s="46" t="s">
        <v>162</v>
      </c>
      <c r="C68" s="59">
        <f>1-C69</f>
        <v>0.73793708345229525</v>
      </c>
      <c r="E68" s="149"/>
    </row>
    <row r="69" spans="2:21" x14ac:dyDescent="0.2">
      <c r="B69" s="46" t="s">
        <v>163</v>
      </c>
      <c r="C69" s="59">
        <f>(E22+E20)/(E20+E22+E25)</f>
        <v>0.26206291654770475</v>
      </c>
      <c r="E69" s="149"/>
    </row>
    <row r="70" spans="2:21" x14ac:dyDescent="0.2">
      <c r="B70" s="46" t="s">
        <v>164</v>
      </c>
      <c r="C70" s="49">
        <f>C65</f>
        <v>0.13044699999999998</v>
      </c>
      <c r="E70" s="149"/>
    </row>
    <row r="71" spans="2:21" x14ac:dyDescent="0.2">
      <c r="B71" s="46" t="s">
        <v>165</v>
      </c>
      <c r="C71" s="49">
        <v>0.05</v>
      </c>
    </row>
    <row r="72" spans="2:21" x14ac:dyDescent="0.2">
      <c r="B72" s="46" t="s">
        <v>170</v>
      </c>
      <c r="C72" s="49">
        <f>Macro!M3</f>
        <v>4.7500000000000001E-2</v>
      </c>
    </row>
    <row r="73" spans="2:21" x14ac:dyDescent="0.2">
      <c r="B73" s="65" t="s">
        <v>161</v>
      </c>
      <c r="C73" s="164">
        <f>C68*C70+C69*C71</f>
        <v>0.10936482455248678</v>
      </c>
    </row>
    <row r="75" spans="2:21" x14ac:dyDescent="0.2">
      <c r="B75" s="14" t="s">
        <v>168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6"/>
    </row>
    <row r="76" spans="2:21" x14ac:dyDescent="0.2">
      <c r="B76" s="112" t="s">
        <v>137</v>
      </c>
      <c r="C76" s="30"/>
      <c r="D76" s="30"/>
      <c r="E76" s="30"/>
      <c r="F76" s="30"/>
      <c r="G76" s="21">
        <f t="shared" ref="G76:P76" si="33">G49/(1+$C$73)^(G29-$F$29)</f>
        <v>7841.0381029124173</v>
      </c>
      <c r="H76" s="21">
        <f t="shared" si="33"/>
        <v>5633.4540999770952</v>
      </c>
      <c r="I76" s="21">
        <f t="shared" si="33"/>
        <v>4972.900885570707</v>
      </c>
      <c r="J76" s="21">
        <f t="shared" si="33"/>
        <v>4923.1898593255264</v>
      </c>
      <c r="K76" s="21">
        <f t="shared" si="33"/>
        <v>4695.0004923612951</v>
      </c>
      <c r="L76" s="21">
        <f t="shared" si="33"/>
        <v>4451.8136665826933</v>
      </c>
      <c r="M76" s="21">
        <f t="shared" si="33"/>
        <v>4288.234142878302</v>
      </c>
      <c r="N76" s="21">
        <f t="shared" si="33"/>
        <v>4074.4857500756539</v>
      </c>
      <c r="O76" s="21">
        <f t="shared" si="33"/>
        <v>3921.9064354035645</v>
      </c>
      <c r="P76" s="22">
        <f t="shared" si="33"/>
        <v>3723.8558710023044</v>
      </c>
    </row>
    <row r="77" spans="2:21" x14ac:dyDescent="0.2">
      <c r="B77" s="46" t="s">
        <v>138</v>
      </c>
      <c r="C77" s="29"/>
      <c r="D77" s="29"/>
      <c r="E77" s="29"/>
      <c r="F77" s="29"/>
      <c r="G77" s="19">
        <f>P77/(1+$C$73)^(P29-F29)</f>
        <v>60193.428138520707</v>
      </c>
      <c r="H77" s="29"/>
      <c r="I77" s="29"/>
      <c r="J77" s="29"/>
      <c r="K77" s="29"/>
      <c r="L77" s="29"/>
      <c r="M77" s="29"/>
      <c r="N77" s="29"/>
      <c r="O77" s="29"/>
      <c r="P77" s="20">
        <f>P49/(C73-Macro!M3)</f>
        <v>169938.97351417987</v>
      </c>
    </row>
    <row r="78" spans="2:21" x14ac:dyDescent="0.2">
      <c r="B78" s="46" t="s">
        <v>145</v>
      </c>
      <c r="C78" s="29"/>
      <c r="D78" s="29"/>
      <c r="E78" s="29"/>
      <c r="F78" s="29"/>
      <c r="G78" s="28">
        <f>SUM(G76:P76)+G77</f>
        <v>108719.30744461027</v>
      </c>
      <c r="H78" s="170"/>
      <c r="I78" s="170"/>
      <c r="J78" s="170"/>
      <c r="K78" s="170"/>
      <c r="L78" s="170"/>
      <c r="M78" s="170"/>
      <c r="N78" s="170"/>
      <c r="O78" s="170"/>
      <c r="P78" s="171"/>
    </row>
    <row r="79" spans="2:21" x14ac:dyDescent="0.2">
      <c r="B79" s="46" t="s">
        <v>166</v>
      </c>
      <c r="C79" s="29"/>
      <c r="D79" s="29"/>
      <c r="E79" s="29"/>
      <c r="F79" s="29"/>
      <c r="G79" s="28">
        <f>(E22+E20)</f>
        <v>25507.39644</v>
      </c>
      <c r="H79" s="29"/>
      <c r="I79" s="29"/>
      <c r="J79" s="29"/>
      <c r="K79" s="29"/>
      <c r="L79" s="29"/>
      <c r="M79" s="29"/>
      <c r="N79" s="29"/>
      <c r="O79" s="29"/>
      <c r="P79" s="60"/>
    </row>
    <row r="80" spans="2:21" x14ac:dyDescent="0.2">
      <c r="B80" s="65" t="s">
        <v>85</v>
      </c>
      <c r="C80" s="172"/>
      <c r="D80" s="167"/>
      <c r="E80" s="167"/>
      <c r="F80" s="167"/>
      <c r="G80" s="168">
        <f>G78-G79</f>
        <v>83211.911004610272</v>
      </c>
      <c r="H80" s="51"/>
      <c r="I80" s="51"/>
      <c r="J80" s="51"/>
      <c r="K80" s="51"/>
      <c r="L80" s="51"/>
      <c r="M80" s="51"/>
      <c r="N80" s="51"/>
      <c r="O80" s="51"/>
      <c r="P80" s="52"/>
    </row>
    <row r="83" spans="2:7" x14ac:dyDescent="0.2">
      <c r="B83" s="70">
        <f>G56</f>
        <v>81485.372086929594</v>
      </c>
      <c r="C83" s="1">
        <f>D83-0.25%</f>
        <v>4.2499999999999996E-2</v>
      </c>
      <c r="D83" s="1">
        <f>E83-0.25%</f>
        <v>4.4999999999999998E-2</v>
      </c>
      <c r="E83" s="107">
        <v>4.7500000000000001E-2</v>
      </c>
      <c r="F83" s="107">
        <f>E83+0.25%</f>
        <v>0.05</v>
      </c>
      <c r="G83" s="107">
        <f>F83+0.25%</f>
        <v>5.2500000000000005E-2</v>
      </c>
    </row>
    <row r="84" spans="2:7" x14ac:dyDescent="0.2">
      <c r="B84" s="180">
        <f>B85-0.5%</f>
        <v>9.9399999999999988E-2</v>
      </c>
      <c r="C84" s="4">
        <f t="dataTable" ref="C84:G88" dt2D="1" dtr="1" r1="C73" r2="C72"/>
        <v>143655.49882797353</v>
      </c>
      <c r="D84" s="4">
        <v>143655.49882797353</v>
      </c>
      <c r="E84" s="4">
        <v>143655.49882797353</v>
      </c>
      <c r="F84" s="4">
        <v>143655.49882797353</v>
      </c>
      <c r="G84" s="4">
        <v>143655.49882797353</v>
      </c>
    </row>
    <row r="85" spans="2:7" x14ac:dyDescent="0.2">
      <c r="B85" s="180">
        <f>B86-0.5%</f>
        <v>0.10439999999999999</v>
      </c>
      <c r="C85" s="4">
        <v>162728.86613867895</v>
      </c>
      <c r="D85" s="4">
        <v>162728.86613867895</v>
      </c>
      <c r="E85" s="4">
        <v>162728.86613867895</v>
      </c>
      <c r="F85" s="4">
        <v>162728.86613867895</v>
      </c>
      <c r="G85" s="4">
        <v>162728.86613867895</v>
      </c>
    </row>
    <row r="86" spans="2:7" x14ac:dyDescent="0.2">
      <c r="B86" s="180">
        <v>0.1094</v>
      </c>
      <c r="C86" s="4">
        <v>190864.50708016567</v>
      </c>
      <c r="D86" s="4">
        <v>190864.50708016567</v>
      </c>
      <c r="E86" s="4">
        <v>190864.50708016567</v>
      </c>
      <c r="F86" s="4">
        <v>190864.50708016567</v>
      </c>
      <c r="G86" s="4">
        <v>190864.50708016567</v>
      </c>
    </row>
    <row r="87" spans="2:7" x14ac:dyDescent="0.2">
      <c r="B87" s="180">
        <f>B86+0.5%</f>
        <v>0.1144</v>
      </c>
      <c r="C87" s="4">
        <v>236533.41962474756</v>
      </c>
      <c r="D87" s="4">
        <v>236533.41962474756</v>
      </c>
      <c r="E87" s="4">
        <v>236533.41962474756</v>
      </c>
      <c r="F87" s="4">
        <v>236533.41962474756</v>
      </c>
      <c r="G87" s="4">
        <v>236533.41962474756</v>
      </c>
    </row>
    <row r="88" spans="2:7" x14ac:dyDescent="0.2">
      <c r="B88" s="180">
        <f>B87+0.5%</f>
        <v>0.11940000000000001</v>
      </c>
      <c r="C88" s="4">
        <v>323542.88846930413</v>
      </c>
      <c r="D88" s="4">
        <v>323542.88846930413</v>
      </c>
      <c r="E88" s="4">
        <v>323542.88846930413</v>
      </c>
      <c r="F88" s="4">
        <v>323542.88846930413</v>
      </c>
      <c r="G88" s="4">
        <v>323542.88846930413</v>
      </c>
    </row>
    <row r="91" spans="2:7" x14ac:dyDescent="0.2">
      <c r="B91" s="70">
        <f>G56</f>
        <v>81485.372086929594</v>
      </c>
      <c r="C91" s="107">
        <f>D91-0.5%</f>
        <v>0.12039999999999998</v>
      </c>
      <c r="D91" s="107">
        <f>E91-0.5%</f>
        <v>0.12539999999999998</v>
      </c>
      <c r="E91" s="3">
        <v>0.13039999999999999</v>
      </c>
      <c r="F91" s="107">
        <f>E91+0.5%</f>
        <v>0.13539999999999999</v>
      </c>
      <c r="G91" s="107">
        <f>F91+0.5%</f>
        <v>0.1404</v>
      </c>
    </row>
    <row r="92" spans="2:7" x14ac:dyDescent="0.2">
      <c r="B92" s="3">
        <f>B93-0.25%</f>
        <v>4.2499999999999996E-2</v>
      </c>
      <c r="C92" s="6">
        <f t="dataTable" ref="C92:G96" dt2D="1" dtr="1" r1="C65" r2="C72" ca="1"/>
        <v>89533.811297101871</v>
      </c>
      <c r="D92" s="6">
        <v>84168.034732766944</v>
      </c>
      <c r="E92" s="6">
        <v>79413.121430833446</v>
      </c>
      <c r="F92" s="6">
        <v>75170.443512494385</v>
      </c>
      <c r="G92" s="6">
        <v>71361.520022947996</v>
      </c>
    </row>
    <row r="93" spans="2:7" x14ac:dyDescent="0.2">
      <c r="B93" s="3">
        <f>B94-0.25%</f>
        <v>4.4999999999999998E-2</v>
      </c>
      <c r="C93" s="6">
        <v>90969.422966589977</v>
      </c>
      <c r="D93" s="6">
        <v>85378.06740651204</v>
      </c>
      <c r="E93" s="6">
        <v>80440.921282719588</v>
      </c>
      <c r="F93" s="6">
        <v>76049.473602383543</v>
      </c>
      <c r="G93" s="6">
        <v>72117.958535640413</v>
      </c>
    </row>
    <row r="94" spans="2:7" x14ac:dyDescent="0.2">
      <c r="B94" s="3">
        <v>4.7500000000000001E-2</v>
      </c>
      <c r="C94" s="6">
        <v>92503.499085288509</v>
      </c>
      <c r="D94" s="6">
        <v>86665.765848790194</v>
      </c>
      <c r="E94" s="6">
        <v>81530.711475491495</v>
      </c>
      <c r="F94" s="6">
        <v>76978.505403870498</v>
      </c>
      <c r="G94" s="6">
        <v>72915.109562471276</v>
      </c>
    </row>
    <row r="95" spans="2:7" x14ac:dyDescent="0.2">
      <c r="B95" s="3">
        <f>B94+0.25%</f>
        <v>0.05</v>
      </c>
      <c r="C95" s="6">
        <v>94146.529473780975</v>
      </c>
      <c r="D95" s="6">
        <v>88038.855434455487</v>
      </c>
      <c r="E95" s="6">
        <v>82688.274690201957</v>
      </c>
      <c r="F95" s="6">
        <v>77961.930167973798</v>
      </c>
      <c r="G95" s="6">
        <v>73756.350800963133</v>
      </c>
    </row>
    <row r="96" spans="2:7" x14ac:dyDescent="0.2">
      <c r="B96" s="3">
        <f>B95+0.25%</f>
        <v>5.2500000000000005E-2</v>
      </c>
      <c r="C96" s="6">
        <v>95910.548845225756</v>
      </c>
      <c r="D96" s="6">
        <v>89506.121260564221</v>
      </c>
      <c r="E96" s="6">
        <v>83920.135928963165</v>
      </c>
      <c r="F96" s="6">
        <v>79004.66885029804</v>
      </c>
      <c r="G96" s="6">
        <v>74645.444214568299</v>
      </c>
    </row>
    <row r="100" spans="3:6" x14ac:dyDescent="0.2">
      <c r="C100" s="189" t="s">
        <v>198</v>
      </c>
      <c r="D100" s="190">
        <v>-0.05</v>
      </c>
      <c r="E100" s="191" t="s">
        <v>200</v>
      </c>
      <c r="F100" s="188">
        <v>0.05</v>
      </c>
    </row>
    <row r="101" spans="3:6" x14ac:dyDescent="0.2">
      <c r="C101" s="192" t="s">
        <v>199</v>
      </c>
      <c r="D101" s="193">
        <f>E101*0.95</f>
        <v>77411.103482583116</v>
      </c>
      <c r="E101" s="193">
        <f>G56</f>
        <v>81485.372086929594</v>
      </c>
      <c r="F101" s="194">
        <f>E101*(1.05)</f>
        <v>85559.640691276072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F33:P33 F42:P42 F14:P14 G22:P22 F24:P24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showGridLines="0" zoomScale="75" zoomScaleNormal="75" workbookViewId="0">
      <selection activeCell="B17" sqref="B17"/>
    </sheetView>
  </sheetViews>
  <sheetFormatPr defaultColWidth="8.7109375" defaultRowHeight="14.25" x14ac:dyDescent="0.2"/>
  <cols>
    <col min="1" max="1" width="8.7109375" style="1"/>
    <col min="2" max="2" width="41.28515625" style="1" bestFit="1" customWidth="1"/>
    <col min="3" max="3" width="10.140625" style="1" bestFit="1" customWidth="1"/>
    <col min="4" max="15" width="10.42578125" style="1" bestFit="1" customWidth="1"/>
    <col min="16" max="16384" width="8.7109375" style="1"/>
  </cols>
  <sheetData>
    <row r="2" spans="2:15" ht="13.5" x14ac:dyDescent="0.25">
      <c r="B2" s="14" t="s">
        <v>150</v>
      </c>
      <c r="C2" s="15"/>
      <c r="D2" s="15">
        <v>2012</v>
      </c>
      <c r="E2" s="15">
        <v>2013</v>
      </c>
      <c r="F2" s="15">
        <v>2014</v>
      </c>
      <c r="G2" s="15">
        <v>2015</v>
      </c>
      <c r="H2" s="15">
        <v>2016</v>
      </c>
      <c r="I2" s="15">
        <v>2017</v>
      </c>
      <c r="J2" s="15">
        <v>2018</v>
      </c>
      <c r="K2" s="15">
        <v>2019</v>
      </c>
      <c r="L2" s="15">
        <v>2020</v>
      </c>
      <c r="M2" s="15">
        <v>2021</v>
      </c>
      <c r="N2" s="15">
        <v>2022</v>
      </c>
      <c r="O2" s="16">
        <v>2023</v>
      </c>
    </row>
    <row r="3" spans="2:15" ht="13.5" x14ac:dyDescent="0.25">
      <c r="B3" s="64" t="str">
        <f>DF!B14</f>
        <v xml:space="preserve">Properties, Plants and Equipment </v>
      </c>
      <c r="C3" s="48">
        <v>0.06</v>
      </c>
      <c r="D3" s="19">
        <f>DF!E14</f>
        <v>37025.709889999998</v>
      </c>
      <c r="E3" s="28">
        <f>D3-E4</f>
        <v>34804.167296599997</v>
      </c>
      <c r="F3" s="28">
        <f t="shared" ref="F3:O3" si="0">E3-F4</f>
        <v>32582.624703199996</v>
      </c>
      <c r="G3" s="28">
        <f t="shared" si="0"/>
        <v>30361.082109799994</v>
      </c>
      <c r="H3" s="28">
        <f t="shared" si="0"/>
        <v>28139.539516399993</v>
      </c>
      <c r="I3" s="28">
        <f t="shared" si="0"/>
        <v>25917.996922999992</v>
      </c>
      <c r="J3" s="28">
        <f t="shared" si="0"/>
        <v>23696.45432959999</v>
      </c>
      <c r="K3" s="28">
        <f t="shared" si="0"/>
        <v>21474.911736199989</v>
      </c>
      <c r="L3" s="28">
        <f t="shared" si="0"/>
        <v>19253.369142799987</v>
      </c>
      <c r="M3" s="28">
        <f t="shared" si="0"/>
        <v>17031.826549399986</v>
      </c>
      <c r="N3" s="28">
        <f t="shared" si="0"/>
        <v>14810.283955999987</v>
      </c>
      <c r="O3" s="63">
        <f t="shared" si="0"/>
        <v>12588.741362599987</v>
      </c>
    </row>
    <row r="4" spans="2:15" ht="13.5" x14ac:dyDescent="0.25">
      <c r="B4" s="46"/>
      <c r="C4" s="29"/>
      <c r="D4" s="29"/>
      <c r="E4" s="19">
        <f>$D$3*$C$3</f>
        <v>2221.5425934</v>
      </c>
      <c r="F4" s="19">
        <f t="shared" ref="F4:O4" si="1">$D$3*$C$3</f>
        <v>2221.5425934</v>
      </c>
      <c r="G4" s="19">
        <f t="shared" si="1"/>
        <v>2221.5425934</v>
      </c>
      <c r="H4" s="19">
        <f t="shared" si="1"/>
        <v>2221.5425934</v>
      </c>
      <c r="I4" s="19">
        <f t="shared" si="1"/>
        <v>2221.5425934</v>
      </c>
      <c r="J4" s="19">
        <f t="shared" si="1"/>
        <v>2221.5425934</v>
      </c>
      <c r="K4" s="19">
        <f t="shared" si="1"/>
        <v>2221.5425934</v>
      </c>
      <c r="L4" s="19">
        <f t="shared" si="1"/>
        <v>2221.5425934</v>
      </c>
      <c r="M4" s="19">
        <f t="shared" si="1"/>
        <v>2221.5425934</v>
      </c>
      <c r="N4" s="19">
        <f t="shared" si="1"/>
        <v>2221.5425934</v>
      </c>
      <c r="O4" s="20">
        <f t="shared" si="1"/>
        <v>2221.5425934</v>
      </c>
    </row>
    <row r="5" spans="2:15" ht="13.5" x14ac:dyDescent="0.25">
      <c r="B5" s="46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60"/>
    </row>
    <row r="6" spans="2:15" ht="13.5" x14ac:dyDescent="0.25">
      <c r="B6" s="46"/>
      <c r="C6" s="29"/>
      <c r="D6" s="29"/>
      <c r="E6" s="29">
        <f t="shared" ref="E6:O6" si="2">$E$7*$C$3</f>
        <v>96</v>
      </c>
      <c r="F6" s="29">
        <f t="shared" si="2"/>
        <v>96</v>
      </c>
      <c r="G6" s="29">
        <f t="shared" si="2"/>
        <v>96</v>
      </c>
      <c r="H6" s="29">
        <f t="shared" si="2"/>
        <v>96</v>
      </c>
      <c r="I6" s="29">
        <f t="shared" si="2"/>
        <v>96</v>
      </c>
      <c r="J6" s="29">
        <f t="shared" si="2"/>
        <v>96</v>
      </c>
      <c r="K6" s="29">
        <f t="shared" si="2"/>
        <v>96</v>
      </c>
      <c r="L6" s="29">
        <f t="shared" si="2"/>
        <v>96</v>
      </c>
      <c r="M6" s="29">
        <f t="shared" si="2"/>
        <v>96</v>
      </c>
      <c r="N6" s="29">
        <f t="shared" si="2"/>
        <v>96</v>
      </c>
      <c r="O6" s="60">
        <f t="shared" si="2"/>
        <v>96</v>
      </c>
    </row>
    <row r="7" spans="2:15" ht="13.5" x14ac:dyDescent="0.25">
      <c r="B7" s="46">
        <v>2014</v>
      </c>
      <c r="C7" s="29"/>
      <c r="D7" s="29"/>
      <c r="E7" s="29">
        <v>1600</v>
      </c>
      <c r="F7" s="29">
        <f t="shared" ref="F7:O7" si="3">E7-E6</f>
        <v>1504</v>
      </c>
      <c r="G7" s="29">
        <f t="shared" si="3"/>
        <v>1408</v>
      </c>
      <c r="H7" s="29">
        <f t="shared" si="3"/>
        <v>1312</v>
      </c>
      <c r="I7" s="29">
        <f t="shared" si="3"/>
        <v>1216</v>
      </c>
      <c r="J7" s="29">
        <f t="shared" si="3"/>
        <v>1120</v>
      </c>
      <c r="K7" s="29">
        <f t="shared" si="3"/>
        <v>1024</v>
      </c>
      <c r="L7" s="29">
        <f t="shared" si="3"/>
        <v>928</v>
      </c>
      <c r="M7" s="29">
        <f t="shared" si="3"/>
        <v>832</v>
      </c>
      <c r="N7" s="29">
        <f t="shared" si="3"/>
        <v>736</v>
      </c>
      <c r="O7" s="60">
        <f t="shared" si="3"/>
        <v>640</v>
      </c>
    </row>
    <row r="8" spans="2:15" ht="13.5" x14ac:dyDescent="0.25">
      <c r="B8" s="46">
        <v>2015</v>
      </c>
      <c r="C8" s="29"/>
      <c r="D8" s="29"/>
      <c r="E8" s="29"/>
      <c r="F8" s="29">
        <f t="shared" ref="F8:O8" si="4">E7</f>
        <v>1600</v>
      </c>
      <c r="G8" s="29">
        <f t="shared" si="4"/>
        <v>1504</v>
      </c>
      <c r="H8" s="29">
        <f t="shared" si="4"/>
        <v>1408</v>
      </c>
      <c r="I8" s="29">
        <f t="shared" si="4"/>
        <v>1312</v>
      </c>
      <c r="J8" s="29">
        <f t="shared" si="4"/>
        <v>1216</v>
      </c>
      <c r="K8" s="29">
        <f t="shared" si="4"/>
        <v>1120</v>
      </c>
      <c r="L8" s="29">
        <f t="shared" si="4"/>
        <v>1024</v>
      </c>
      <c r="M8" s="29">
        <f t="shared" si="4"/>
        <v>928</v>
      </c>
      <c r="N8" s="29">
        <f t="shared" si="4"/>
        <v>832</v>
      </c>
      <c r="O8" s="60">
        <f t="shared" si="4"/>
        <v>736</v>
      </c>
    </row>
    <row r="9" spans="2:15" ht="13.5" x14ac:dyDescent="0.25">
      <c r="B9" s="46">
        <v>2016</v>
      </c>
      <c r="C9" s="29"/>
      <c r="D9" s="29"/>
      <c r="E9" s="29"/>
      <c r="F9" s="29"/>
      <c r="G9" s="29">
        <f t="shared" ref="G9:O9" si="5">F8</f>
        <v>1600</v>
      </c>
      <c r="H9" s="29">
        <f t="shared" si="5"/>
        <v>1504</v>
      </c>
      <c r="I9" s="29">
        <f t="shared" si="5"/>
        <v>1408</v>
      </c>
      <c r="J9" s="29">
        <f t="shared" si="5"/>
        <v>1312</v>
      </c>
      <c r="K9" s="29">
        <f t="shared" si="5"/>
        <v>1216</v>
      </c>
      <c r="L9" s="29">
        <f t="shared" si="5"/>
        <v>1120</v>
      </c>
      <c r="M9" s="29">
        <f t="shared" si="5"/>
        <v>1024</v>
      </c>
      <c r="N9" s="29">
        <f t="shared" si="5"/>
        <v>928</v>
      </c>
      <c r="O9" s="60">
        <f t="shared" si="5"/>
        <v>832</v>
      </c>
    </row>
    <row r="10" spans="2:15" x14ac:dyDescent="0.2">
      <c r="B10" s="46">
        <v>2017</v>
      </c>
      <c r="C10" s="29"/>
      <c r="D10" s="29"/>
      <c r="E10" s="29"/>
      <c r="F10" s="29"/>
      <c r="G10" s="29"/>
      <c r="H10" s="29">
        <f t="shared" ref="H10:O10" si="6">G9</f>
        <v>1600</v>
      </c>
      <c r="I10" s="29">
        <f t="shared" si="6"/>
        <v>1504</v>
      </c>
      <c r="J10" s="29">
        <f t="shared" si="6"/>
        <v>1408</v>
      </c>
      <c r="K10" s="29">
        <f t="shared" si="6"/>
        <v>1312</v>
      </c>
      <c r="L10" s="29">
        <f t="shared" si="6"/>
        <v>1216</v>
      </c>
      <c r="M10" s="29">
        <f t="shared" si="6"/>
        <v>1120</v>
      </c>
      <c r="N10" s="29">
        <f t="shared" si="6"/>
        <v>1024</v>
      </c>
      <c r="O10" s="60">
        <f t="shared" si="6"/>
        <v>928</v>
      </c>
    </row>
    <row r="11" spans="2:15" x14ac:dyDescent="0.2">
      <c r="B11" s="46">
        <v>2018</v>
      </c>
      <c r="C11" s="29"/>
      <c r="D11" s="29"/>
      <c r="E11" s="29"/>
      <c r="F11" s="29"/>
      <c r="G11" s="29"/>
      <c r="H11" s="29"/>
      <c r="I11" s="29">
        <f t="shared" ref="I11:O11" si="7">H10</f>
        <v>1600</v>
      </c>
      <c r="J11" s="29">
        <f t="shared" si="7"/>
        <v>1504</v>
      </c>
      <c r="K11" s="29">
        <f t="shared" si="7"/>
        <v>1408</v>
      </c>
      <c r="L11" s="29">
        <f t="shared" si="7"/>
        <v>1312</v>
      </c>
      <c r="M11" s="29">
        <f t="shared" si="7"/>
        <v>1216</v>
      </c>
      <c r="N11" s="29">
        <f t="shared" si="7"/>
        <v>1120</v>
      </c>
      <c r="O11" s="60">
        <f t="shared" si="7"/>
        <v>1024</v>
      </c>
    </row>
    <row r="12" spans="2:15" x14ac:dyDescent="0.2">
      <c r="B12" s="46">
        <v>2019</v>
      </c>
      <c r="C12" s="29"/>
      <c r="D12" s="29"/>
      <c r="E12" s="29"/>
      <c r="F12" s="29"/>
      <c r="G12" s="29"/>
      <c r="H12" s="29"/>
      <c r="I12" s="29"/>
      <c r="J12" s="29">
        <f t="shared" ref="J12:O12" si="8">I11</f>
        <v>1600</v>
      </c>
      <c r="K12" s="29">
        <f t="shared" si="8"/>
        <v>1504</v>
      </c>
      <c r="L12" s="29">
        <f t="shared" si="8"/>
        <v>1408</v>
      </c>
      <c r="M12" s="29">
        <f t="shared" si="8"/>
        <v>1312</v>
      </c>
      <c r="N12" s="29">
        <f t="shared" si="8"/>
        <v>1216</v>
      </c>
      <c r="O12" s="60">
        <f t="shared" si="8"/>
        <v>1120</v>
      </c>
    </row>
    <row r="13" spans="2:15" x14ac:dyDescent="0.2">
      <c r="B13" s="46">
        <v>2020</v>
      </c>
      <c r="C13" s="29"/>
      <c r="D13" s="29"/>
      <c r="E13" s="29"/>
      <c r="F13" s="29"/>
      <c r="G13" s="29"/>
      <c r="H13" s="29"/>
      <c r="I13" s="29"/>
      <c r="J13" s="29"/>
      <c r="K13" s="29">
        <f>J12</f>
        <v>1600</v>
      </c>
      <c r="L13" s="29">
        <f>K12</f>
        <v>1504</v>
      </c>
      <c r="M13" s="29">
        <f>L12</f>
        <v>1408</v>
      </c>
      <c r="N13" s="29">
        <f>M12</f>
        <v>1312</v>
      </c>
      <c r="O13" s="60">
        <f>N12</f>
        <v>1216</v>
      </c>
    </row>
    <row r="14" spans="2:15" x14ac:dyDescent="0.2">
      <c r="B14" s="46">
        <v>2021</v>
      </c>
      <c r="C14" s="29"/>
      <c r="D14" s="29"/>
      <c r="E14" s="29"/>
      <c r="F14" s="29"/>
      <c r="G14" s="29"/>
      <c r="H14" s="29"/>
      <c r="I14" s="29"/>
      <c r="J14" s="29"/>
      <c r="K14" s="29"/>
      <c r="L14" s="29">
        <f>K13</f>
        <v>1600</v>
      </c>
      <c r="M14" s="29">
        <f>L13</f>
        <v>1504</v>
      </c>
      <c r="N14" s="29">
        <f>M13</f>
        <v>1408</v>
      </c>
      <c r="O14" s="60">
        <f>N13</f>
        <v>1312</v>
      </c>
    </row>
    <row r="15" spans="2:15" x14ac:dyDescent="0.2">
      <c r="B15" s="46">
        <v>2022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>
        <f>L14</f>
        <v>1600</v>
      </c>
      <c r="N15" s="29">
        <f>M14</f>
        <v>1504</v>
      </c>
      <c r="O15" s="60">
        <f>N14</f>
        <v>1408</v>
      </c>
    </row>
    <row r="16" spans="2:15" x14ac:dyDescent="0.2">
      <c r="B16" s="46">
        <v>2023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>
        <f>M15</f>
        <v>1600</v>
      </c>
      <c r="O16" s="60">
        <f>N15</f>
        <v>1504</v>
      </c>
    </row>
    <row r="17" spans="2:15" x14ac:dyDescent="0.2">
      <c r="B17" s="50" t="str">
        <f>B3</f>
        <v xml:space="preserve">Properties, Plants and Equipment </v>
      </c>
      <c r="C17" s="51"/>
      <c r="D17" s="51"/>
      <c r="E17" s="110">
        <f>E3+SUM(E7:E16)</f>
        <v>36404.167296599997</v>
      </c>
      <c r="F17" s="110">
        <f t="shared" ref="F17:O17" si="9">F3+SUM(F7:F16)</f>
        <v>35686.624703199996</v>
      </c>
      <c r="G17" s="110">
        <f t="shared" si="9"/>
        <v>34873.082109799994</v>
      </c>
      <c r="H17" s="110">
        <f t="shared" si="9"/>
        <v>33963.539516399993</v>
      </c>
      <c r="I17" s="110">
        <f t="shared" si="9"/>
        <v>32957.996922999992</v>
      </c>
      <c r="J17" s="110">
        <f t="shared" si="9"/>
        <v>31856.45432959999</v>
      </c>
      <c r="K17" s="110">
        <f t="shared" si="9"/>
        <v>30658.911736199989</v>
      </c>
      <c r="L17" s="110">
        <f t="shared" si="9"/>
        <v>29365.369142799987</v>
      </c>
      <c r="M17" s="110">
        <f t="shared" si="9"/>
        <v>27975.826549399986</v>
      </c>
      <c r="N17" s="110">
        <f t="shared" si="9"/>
        <v>26490.283955999985</v>
      </c>
      <c r="O17" s="111">
        <f t="shared" si="9"/>
        <v>23308.741362599987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showGridLines="0" zoomScale="75" zoomScaleNormal="75" workbookViewId="0"/>
  </sheetViews>
  <sheetFormatPr defaultColWidth="8.7109375" defaultRowHeight="14.25" x14ac:dyDescent="0.2"/>
  <cols>
    <col min="1" max="1" width="2.42578125" style="1" customWidth="1"/>
    <col min="2" max="2" width="46.5703125" style="1" bestFit="1" customWidth="1"/>
    <col min="3" max="16" width="11.85546875" style="1" bestFit="1" customWidth="1"/>
    <col min="17" max="16384" width="8.7109375" style="1"/>
  </cols>
  <sheetData>
    <row r="2" spans="1:16" ht="13.5" x14ac:dyDescent="0.25">
      <c r="B2" s="14" t="s">
        <v>140</v>
      </c>
      <c r="C2" s="15">
        <f>DF!C29</f>
        <v>2010</v>
      </c>
      <c r="D2" s="15">
        <f>DF!D29</f>
        <v>2011</v>
      </c>
      <c r="E2" s="15">
        <f>DF!E29</f>
        <v>2012</v>
      </c>
      <c r="F2" s="15">
        <f>DF!F29</f>
        <v>2013</v>
      </c>
      <c r="G2" s="15">
        <f>DF!G29</f>
        <v>2014</v>
      </c>
      <c r="H2" s="15">
        <f>DF!H29</f>
        <v>2015</v>
      </c>
      <c r="I2" s="15">
        <f>DF!I29</f>
        <v>2016</v>
      </c>
      <c r="J2" s="15">
        <f>DF!J29</f>
        <v>2017</v>
      </c>
      <c r="K2" s="15">
        <f>DF!K29</f>
        <v>2018</v>
      </c>
      <c r="L2" s="15">
        <f>DF!L29</f>
        <v>2019</v>
      </c>
      <c r="M2" s="15">
        <f>DF!M29</f>
        <v>2020</v>
      </c>
      <c r="N2" s="15">
        <f>DF!N29</f>
        <v>2021</v>
      </c>
      <c r="O2" s="15">
        <f>DF!O29</f>
        <v>2022</v>
      </c>
      <c r="P2" s="16">
        <f>DF!P29</f>
        <v>2023</v>
      </c>
    </row>
    <row r="3" spans="1:16" ht="13.5" x14ac:dyDescent="0.25">
      <c r="B3" s="112" t="str">
        <f>DF!B6</f>
        <v>Trade and other Receivables</v>
      </c>
      <c r="C3" s="21">
        <f>DF!C6</f>
        <v>1576</v>
      </c>
      <c r="D3" s="21">
        <f>DF!D6</f>
        <v>1780.15897</v>
      </c>
      <c r="E3" s="21">
        <f>DF!E6</f>
        <v>2308.7381600000003</v>
      </c>
      <c r="F3" s="21">
        <f>DF!F32*NCG!F4/360</f>
        <v>2490.7430733032161</v>
      </c>
      <c r="G3" s="21">
        <f>DF!G32*NCG!G4/360</f>
        <v>2843.0734898720989</v>
      </c>
      <c r="H3" s="21">
        <f>DF!H32*NCG!H4/360</f>
        <v>2654.4014780898992</v>
      </c>
      <c r="I3" s="21">
        <f>DF!I32*NCG!I4/360</f>
        <v>2770.4888890454681</v>
      </c>
      <c r="J3" s="21">
        <f>DF!J32*NCG!J4/360</f>
        <v>2959.0138460159806</v>
      </c>
      <c r="K3" s="21">
        <f>DF!K32*NCG!K4/360</f>
        <v>3097.6190796333094</v>
      </c>
      <c r="L3" s="21">
        <f>DF!L32*NCG!L4/360</f>
        <v>3244.5653361275431</v>
      </c>
      <c r="M3" s="21">
        <f>DF!M32*NCG!M4/360</f>
        <v>3418.1034949182972</v>
      </c>
      <c r="N3" s="21">
        <f>DF!N32*NCG!N4/360</f>
        <v>3580.6225949215782</v>
      </c>
      <c r="O3" s="21">
        <f>DF!O32*NCG!O4/360</f>
        <v>3772.1739856903368</v>
      </c>
      <c r="P3" s="22">
        <f>DF!P32*NCG!P4/360</f>
        <v>3951.2372322244769</v>
      </c>
    </row>
    <row r="4" spans="1:16" ht="13.5" x14ac:dyDescent="0.25">
      <c r="B4" s="46" t="s">
        <v>139</v>
      </c>
      <c r="C4" s="19">
        <f>C3/DF!C32*360</f>
        <v>33.211965111514374</v>
      </c>
      <c r="D4" s="19">
        <f>D3/DF!D32*360</f>
        <v>34.5643292810528</v>
      </c>
      <c r="E4" s="19">
        <f>E3/DF!E32*360</f>
        <v>42.992702933158803</v>
      </c>
      <c r="F4" s="28">
        <f>E4</f>
        <v>42.992702933158803</v>
      </c>
      <c r="G4" s="28">
        <f t="shared" ref="G4:P4" si="0">F4</f>
        <v>42.992702933158803</v>
      </c>
      <c r="H4" s="28">
        <f t="shared" si="0"/>
        <v>42.992702933158803</v>
      </c>
      <c r="I4" s="28">
        <f t="shared" si="0"/>
        <v>42.992702933158803</v>
      </c>
      <c r="J4" s="28">
        <f t="shared" si="0"/>
        <v>42.992702933158803</v>
      </c>
      <c r="K4" s="28">
        <f t="shared" si="0"/>
        <v>42.992702933158803</v>
      </c>
      <c r="L4" s="28">
        <f t="shared" si="0"/>
        <v>42.992702933158803</v>
      </c>
      <c r="M4" s="28">
        <f t="shared" si="0"/>
        <v>42.992702933158803</v>
      </c>
      <c r="N4" s="28">
        <f t="shared" si="0"/>
        <v>42.992702933158803</v>
      </c>
      <c r="O4" s="28">
        <f t="shared" si="0"/>
        <v>42.992702933158803</v>
      </c>
      <c r="P4" s="63">
        <f t="shared" si="0"/>
        <v>42.992702933158803</v>
      </c>
    </row>
    <row r="5" spans="1:16" s="2" customFormat="1" ht="13.5" x14ac:dyDescent="0.25">
      <c r="A5" s="1"/>
      <c r="B5" s="112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113"/>
    </row>
    <row r="6" spans="1:16" ht="13.5" x14ac:dyDescent="0.25">
      <c r="B6" s="46" t="str">
        <f>DF!B7</f>
        <v>Inventory</v>
      </c>
      <c r="C6" s="19">
        <f>DF!C7</f>
        <v>147</v>
      </c>
      <c r="D6" s="19">
        <f>DF!D7</f>
        <v>159.54323000000002</v>
      </c>
      <c r="E6" s="19">
        <f>DF!E7</f>
        <v>166.27732999999998</v>
      </c>
      <c r="F6" s="19">
        <f>F7*(-DF!F33)/360</f>
        <v>126.1671627056472</v>
      </c>
      <c r="G6" s="19">
        <f>G7*(-DF!G33)/360</f>
        <v>134.54604554781434</v>
      </c>
      <c r="H6" s="19">
        <f>H7*(-DF!H33)/360</f>
        <v>140.74183455027872</v>
      </c>
      <c r="I6" s="19">
        <f>I7*(-DF!I33)/360</f>
        <v>148.48196013713783</v>
      </c>
      <c r="J6" s="19">
        <f>J7*(-DF!J33)/360</f>
        <v>156.60542004604415</v>
      </c>
      <c r="K6" s="19">
        <f>K7*(-DF!K33)/360</f>
        <v>164.03419559355953</v>
      </c>
      <c r="L6" s="19">
        <f>L7*(-DF!L33)/360</f>
        <v>171.82484292214104</v>
      </c>
      <c r="M6" s="19">
        <f>M7*(-DF!M33)/360</f>
        <v>180.08604512481622</v>
      </c>
      <c r="N6" s="19">
        <f>N7*(-DF!N33)/360</f>
        <v>188.6409479876489</v>
      </c>
      <c r="O6" s="19">
        <f>O7*(-DF!O33)/360</f>
        <v>197.71142278618245</v>
      </c>
      <c r="P6" s="20">
        <f>P7*(-DF!P33)/360</f>
        <v>207.10212597359254</v>
      </c>
    </row>
    <row r="7" spans="1:16" ht="13.5" x14ac:dyDescent="0.25">
      <c r="B7" s="114" t="s">
        <v>139</v>
      </c>
      <c r="C7" s="115">
        <f>C6/(-DF!C33)*360</f>
        <v>5.2339036692710907</v>
      </c>
      <c r="D7" s="115">
        <f>D6/(-DF!D33)*360</f>
        <v>5.3985865964846331</v>
      </c>
      <c r="E7" s="115">
        <f>E6/(-DF!E33)*360</f>
        <v>5.7672111052575374</v>
      </c>
      <c r="F7" s="116">
        <f>E7</f>
        <v>5.7672111052575374</v>
      </c>
      <c r="G7" s="116">
        <f t="shared" ref="G7:P7" si="1">F7</f>
        <v>5.7672111052575374</v>
      </c>
      <c r="H7" s="116">
        <f t="shared" si="1"/>
        <v>5.7672111052575374</v>
      </c>
      <c r="I7" s="116">
        <f t="shared" si="1"/>
        <v>5.7672111052575374</v>
      </c>
      <c r="J7" s="116">
        <f t="shared" si="1"/>
        <v>5.7672111052575374</v>
      </c>
      <c r="K7" s="116">
        <f t="shared" si="1"/>
        <v>5.7672111052575374</v>
      </c>
      <c r="L7" s="116">
        <f t="shared" si="1"/>
        <v>5.7672111052575374</v>
      </c>
      <c r="M7" s="116">
        <f t="shared" si="1"/>
        <v>5.7672111052575374</v>
      </c>
      <c r="N7" s="116">
        <f t="shared" si="1"/>
        <v>5.7672111052575374</v>
      </c>
      <c r="O7" s="116">
        <f t="shared" si="1"/>
        <v>5.7672111052575374</v>
      </c>
      <c r="P7" s="117">
        <f t="shared" si="1"/>
        <v>5.7672111052575374</v>
      </c>
    </row>
    <row r="9" spans="1:16" ht="13.5" x14ac:dyDescent="0.25">
      <c r="B9" s="14" t="s">
        <v>141</v>
      </c>
      <c r="C9" s="15">
        <f>C2</f>
        <v>2010</v>
      </c>
      <c r="D9" s="15">
        <f t="shared" ref="D9:P9" si="2">D2</f>
        <v>2011</v>
      </c>
      <c r="E9" s="15">
        <f t="shared" si="2"/>
        <v>2012</v>
      </c>
      <c r="F9" s="15">
        <f t="shared" si="2"/>
        <v>2013</v>
      </c>
      <c r="G9" s="15">
        <f t="shared" si="2"/>
        <v>2014</v>
      </c>
      <c r="H9" s="15">
        <f t="shared" si="2"/>
        <v>2015</v>
      </c>
      <c r="I9" s="15">
        <f t="shared" si="2"/>
        <v>2016</v>
      </c>
      <c r="J9" s="15">
        <f t="shared" si="2"/>
        <v>2017</v>
      </c>
      <c r="K9" s="15">
        <f t="shared" si="2"/>
        <v>2018</v>
      </c>
      <c r="L9" s="15">
        <f t="shared" si="2"/>
        <v>2019</v>
      </c>
      <c r="M9" s="15">
        <f t="shared" si="2"/>
        <v>2020</v>
      </c>
      <c r="N9" s="15">
        <f t="shared" si="2"/>
        <v>2021</v>
      </c>
      <c r="O9" s="15">
        <f t="shared" si="2"/>
        <v>2022</v>
      </c>
      <c r="P9" s="16">
        <f t="shared" si="2"/>
        <v>2023</v>
      </c>
    </row>
    <row r="10" spans="1:16" x14ac:dyDescent="0.2">
      <c r="B10" s="112" t="str">
        <f>DF!B18</f>
        <v>Trade and other payables</v>
      </c>
      <c r="C10" s="21">
        <f>DF!C18</f>
        <v>549</v>
      </c>
      <c r="D10" s="21">
        <f>DF!D18</f>
        <v>894.22367999999994</v>
      </c>
      <c r="E10" s="21">
        <f>DF!E18</f>
        <v>673.3939499999999</v>
      </c>
      <c r="F10" s="21">
        <f>F11*(-DF!F33)/360</f>
        <v>510.95482501822983</v>
      </c>
      <c r="G10" s="21">
        <f>G11*(-DF!G33)/360</f>
        <v>544.88782727219996</v>
      </c>
      <c r="H10" s="21">
        <f>H11*(-DF!H33)/360</f>
        <v>569.97968332820017</v>
      </c>
      <c r="I10" s="21">
        <f>I11*(-DF!I33)/360</f>
        <v>601.32583101069633</v>
      </c>
      <c r="J10" s="21">
        <f>J11*(-DF!J33)/360</f>
        <v>634.22441529590856</v>
      </c>
      <c r="K10" s="21">
        <f>K11*(-DF!K33)/360</f>
        <v>664.30965006365955</v>
      </c>
      <c r="L10" s="21">
        <f>L11*(-DF!L33)/360</f>
        <v>695.86040191690654</v>
      </c>
      <c r="M10" s="21">
        <f>M11*(-DF!M33)/360</f>
        <v>729.31681827269074</v>
      </c>
      <c r="N10" s="21">
        <f>N11*(-DF!N33)/360</f>
        <v>763.96267066080168</v>
      </c>
      <c r="O10" s="21">
        <f>O11*(-DF!O33)/360</f>
        <v>800.69649873562059</v>
      </c>
      <c r="P10" s="22">
        <f>P11*(-DF!P33)/360</f>
        <v>838.72719547971485</v>
      </c>
    </row>
    <row r="11" spans="1:16" x14ac:dyDescent="0.2">
      <c r="B11" s="50" t="s">
        <v>139</v>
      </c>
      <c r="C11" s="25">
        <f>C10/(-DF!C33)*360</f>
        <v>19.547027989318565</v>
      </c>
      <c r="D11" s="25">
        <f>D10/(-DF!D33)*360</f>
        <v>30.258532268070304</v>
      </c>
      <c r="E11" s="25">
        <f>E10/(-DF!E33)*360</f>
        <v>23.356190929053518</v>
      </c>
      <c r="F11" s="110">
        <f>E11</f>
        <v>23.356190929053518</v>
      </c>
      <c r="G11" s="110">
        <f t="shared" ref="G11:P11" si="3">F11</f>
        <v>23.356190929053518</v>
      </c>
      <c r="H11" s="110">
        <f t="shared" si="3"/>
        <v>23.356190929053518</v>
      </c>
      <c r="I11" s="110">
        <f t="shared" si="3"/>
        <v>23.356190929053518</v>
      </c>
      <c r="J11" s="110">
        <f t="shared" si="3"/>
        <v>23.356190929053518</v>
      </c>
      <c r="K11" s="110">
        <f t="shared" si="3"/>
        <v>23.356190929053518</v>
      </c>
      <c r="L11" s="110">
        <f t="shared" si="3"/>
        <v>23.356190929053518</v>
      </c>
      <c r="M11" s="110">
        <f t="shared" si="3"/>
        <v>23.356190929053518</v>
      </c>
      <c r="N11" s="110">
        <f t="shared" si="3"/>
        <v>23.356190929053518</v>
      </c>
      <c r="O11" s="110">
        <f t="shared" si="3"/>
        <v>23.356190929053518</v>
      </c>
      <c r="P11" s="111">
        <f t="shared" si="3"/>
        <v>23.356190929053518</v>
      </c>
    </row>
    <row r="14" spans="1:16" x14ac:dyDescent="0.2">
      <c r="B14" s="118" t="s">
        <v>142</v>
      </c>
      <c r="C14" s="119"/>
      <c r="D14" s="120"/>
      <c r="E14" s="120"/>
      <c r="F14" s="121">
        <f>-(F3-E3)</f>
        <v>-182.00491330321574</v>
      </c>
      <c r="G14" s="121">
        <f t="shared" ref="G14:P14" si="4">-(G3-F3)</f>
        <v>-352.33041656888281</v>
      </c>
      <c r="H14" s="121">
        <f t="shared" si="4"/>
        <v>188.67201178219966</v>
      </c>
      <c r="I14" s="121">
        <f t="shared" si="4"/>
        <v>-116.08741095556888</v>
      </c>
      <c r="J14" s="121">
        <f t="shared" si="4"/>
        <v>-188.52495697051245</v>
      </c>
      <c r="K14" s="121">
        <f t="shared" si="4"/>
        <v>-138.60523361732885</v>
      </c>
      <c r="L14" s="121">
        <f t="shared" si="4"/>
        <v>-146.94625649423369</v>
      </c>
      <c r="M14" s="121">
        <f t="shared" si="4"/>
        <v>-173.5381587907541</v>
      </c>
      <c r="N14" s="121">
        <f t="shared" si="4"/>
        <v>-162.51910000328098</v>
      </c>
      <c r="O14" s="121">
        <f t="shared" si="4"/>
        <v>-191.55139076875867</v>
      </c>
      <c r="P14" s="122">
        <f t="shared" si="4"/>
        <v>-179.06324653414003</v>
      </c>
    </row>
    <row r="15" spans="1:16" x14ac:dyDescent="0.2">
      <c r="B15" s="64" t="s">
        <v>143</v>
      </c>
      <c r="C15" s="29"/>
      <c r="D15" s="29"/>
      <c r="E15" s="29"/>
      <c r="F15" s="28">
        <f>-(F6-E6)</f>
        <v>40.110167294352777</v>
      </c>
      <c r="G15" s="28">
        <f t="shared" ref="G15:P15" si="5">-(G6-F6)</f>
        <v>-8.378882842167144</v>
      </c>
      <c r="H15" s="28">
        <f t="shared" si="5"/>
        <v>-6.1957890024643802</v>
      </c>
      <c r="I15" s="28">
        <f t="shared" si="5"/>
        <v>-7.7401255868591079</v>
      </c>
      <c r="J15" s="28">
        <f t="shared" si="5"/>
        <v>-8.1234599089063124</v>
      </c>
      <c r="K15" s="28">
        <f t="shared" si="5"/>
        <v>-7.4287755475153858</v>
      </c>
      <c r="L15" s="28">
        <f t="shared" si="5"/>
        <v>-7.7906473285815139</v>
      </c>
      <c r="M15" s="28">
        <f t="shared" si="5"/>
        <v>-8.2612022026751788</v>
      </c>
      <c r="N15" s="28">
        <f t="shared" si="5"/>
        <v>-8.5549028628326766</v>
      </c>
      <c r="O15" s="28">
        <f t="shared" si="5"/>
        <v>-9.070474798533553</v>
      </c>
      <c r="P15" s="63">
        <f t="shared" si="5"/>
        <v>-9.3907031874100824</v>
      </c>
    </row>
    <row r="16" spans="1:16" x14ac:dyDescent="0.2">
      <c r="B16" s="123" t="s">
        <v>144</v>
      </c>
      <c r="C16" s="30"/>
      <c r="D16" s="30"/>
      <c r="E16" s="30"/>
      <c r="F16" s="36">
        <f>F10-E10</f>
        <v>-162.43912498177008</v>
      </c>
      <c r="G16" s="36">
        <f t="shared" ref="G16:P16" si="6">G10-F10</f>
        <v>33.93300225397013</v>
      </c>
      <c r="H16" s="36">
        <f t="shared" si="6"/>
        <v>25.091856056000211</v>
      </c>
      <c r="I16" s="36">
        <f t="shared" si="6"/>
        <v>31.346147682496166</v>
      </c>
      <c r="J16" s="36">
        <f t="shared" si="6"/>
        <v>32.898584285212223</v>
      </c>
      <c r="K16" s="36">
        <f t="shared" si="6"/>
        <v>30.08523476775099</v>
      </c>
      <c r="L16" s="36">
        <f t="shared" si="6"/>
        <v>31.550751853246993</v>
      </c>
      <c r="M16" s="36">
        <f t="shared" si="6"/>
        <v>33.456416355784199</v>
      </c>
      <c r="N16" s="36">
        <f t="shared" si="6"/>
        <v>34.645852388110939</v>
      </c>
      <c r="O16" s="36">
        <f t="shared" si="6"/>
        <v>36.733828074818916</v>
      </c>
      <c r="P16" s="124">
        <f t="shared" si="6"/>
        <v>38.030696744094257</v>
      </c>
    </row>
    <row r="17" spans="2:16" x14ac:dyDescent="0.2">
      <c r="B17" s="125" t="s">
        <v>146</v>
      </c>
      <c r="C17" s="126"/>
      <c r="D17" s="126"/>
      <c r="E17" s="126"/>
      <c r="F17" s="127">
        <f>SUM(F14:F16)</f>
        <v>-304.33387099063305</v>
      </c>
      <c r="G17" s="127">
        <f t="shared" ref="G17:P17" si="7">SUM(G14:G16)</f>
        <v>-326.77629715707985</v>
      </c>
      <c r="H17" s="127">
        <f t="shared" si="7"/>
        <v>207.56807883573549</v>
      </c>
      <c r="I17" s="127">
        <f t="shared" si="7"/>
        <v>-92.481388859931826</v>
      </c>
      <c r="J17" s="127">
        <f t="shared" si="7"/>
        <v>-163.74983259420654</v>
      </c>
      <c r="K17" s="127">
        <f t="shared" si="7"/>
        <v>-115.94877439709325</v>
      </c>
      <c r="L17" s="127">
        <f t="shared" si="7"/>
        <v>-123.18615196956821</v>
      </c>
      <c r="M17" s="127">
        <f t="shared" si="7"/>
        <v>-148.34294463764508</v>
      </c>
      <c r="N17" s="127">
        <f t="shared" si="7"/>
        <v>-136.42815047800272</v>
      </c>
      <c r="O17" s="127">
        <f t="shared" si="7"/>
        <v>-163.8880374924733</v>
      </c>
      <c r="P17" s="128">
        <f t="shared" si="7"/>
        <v>-150.42325297745586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opLeftCell="A4" workbookViewId="0">
      <selection activeCell="B2" sqref="B2:H8"/>
    </sheetView>
  </sheetViews>
  <sheetFormatPr defaultRowHeight="14.25" x14ac:dyDescent="0.2"/>
  <cols>
    <col min="1" max="1" width="14.42578125" style="1" customWidth="1"/>
    <col min="2" max="2" width="3.7109375" style="1" customWidth="1"/>
    <col min="3" max="3" width="9.42578125" style="1" bestFit="1" customWidth="1"/>
    <col min="4" max="5" width="11.140625" style="1" bestFit="1" customWidth="1"/>
    <col min="6" max="6" width="11.85546875" style="1" bestFit="1" customWidth="1"/>
    <col min="7" max="8" width="11.140625" style="1" bestFit="1" customWidth="1"/>
    <col min="9" max="16384" width="9.140625" style="1"/>
  </cols>
  <sheetData>
    <row r="2" spans="2:8" x14ac:dyDescent="0.2">
      <c r="D2" s="181" t="s">
        <v>196</v>
      </c>
      <c r="E2" s="182"/>
      <c r="F2" s="182"/>
      <c r="G2" s="182"/>
      <c r="H2" s="182"/>
    </row>
    <row r="3" spans="2:8" x14ac:dyDescent="0.2">
      <c r="B3" s="8"/>
      <c r="C3" s="14" t="s">
        <v>195</v>
      </c>
      <c r="D3" s="183">
        <v>0.12039999999999998</v>
      </c>
      <c r="E3" s="183">
        <v>0.12539999999999998</v>
      </c>
      <c r="F3" s="183">
        <v>0.13039999999999999</v>
      </c>
      <c r="G3" s="183">
        <v>0.13539999999999999</v>
      </c>
      <c r="H3" s="184">
        <v>0.1404</v>
      </c>
    </row>
    <row r="4" spans="2:8" ht="15" customHeight="1" x14ac:dyDescent="0.2">
      <c r="B4" s="8"/>
      <c r="C4" s="185">
        <v>4.2499999999999996E-2</v>
      </c>
      <c r="D4" s="19">
        <f>DF!C92</f>
        <v>89533.811297101871</v>
      </c>
      <c r="E4" s="19">
        <f>DF!D92</f>
        <v>84168.034732766944</v>
      </c>
      <c r="F4" s="19">
        <f>DF!E92</f>
        <v>79413.121430833446</v>
      </c>
      <c r="G4" s="19">
        <f>DF!F92</f>
        <v>75170.443512494385</v>
      </c>
      <c r="H4" s="20">
        <f>DF!G92</f>
        <v>71361.520022947996</v>
      </c>
    </row>
    <row r="5" spans="2:8" x14ac:dyDescent="0.2">
      <c r="B5" s="8"/>
      <c r="C5" s="185">
        <v>4.4999999999999998E-2</v>
      </c>
      <c r="D5" s="19">
        <f>DF!C93</f>
        <v>90969.422966589977</v>
      </c>
      <c r="E5" s="21">
        <f>DF!D93</f>
        <v>85378.06740651204</v>
      </c>
      <c r="F5" s="21">
        <f>DF!E93</f>
        <v>80440.921282719588</v>
      </c>
      <c r="G5" s="21">
        <f>DF!F93</f>
        <v>76049.473602383543</v>
      </c>
      <c r="H5" s="20">
        <f>DF!G93</f>
        <v>72117.958535640413</v>
      </c>
    </row>
    <row r="6" spans="2:8" x14ac:dyDescent="0.2">
      <c r="B6" s="8" t="s">
        <v>197</v>
      </c>
      <c r="C6" s="185">
        <v>4.7500000000000001E-2</v>
      </c>
      <c r="D6" s="19">
        <f>DF!C94</f>
        <v>92503.499085288509</v>
      </c>
      <c r="E6" s="21">
        <f>DF!D94</f>
        <v>86665.765848790194</v>
      </c>
      <c r="F6" s="187">
        <f>DF!E94</f>
        <v>81530.711475491495</v>
      </c>
      <c r="G6" s="21">
        <f>DF!F94</f>
        <v>76978.505403870498</v>
      </c>
      <c r="H6" s="20">
        <f>DF!G94</f>
        <v>72915.109562471276</v>
      </c>
    </row>
    <row r="7" spans="2:8" x14ac:dyDescent="0.2">
      <c r="B7" s="8"/>
      <c r="C7" s="185">
        <v>0.05</v>
      </c>
      <c r="D7" s="19">
        <f>DF!C95</f>
        <v>94146.529473780975</v>
      </c>
      <c r="E7" s="21">
        <f>DF!D95</f>
        <v>88038.855434455487</v>
      </c>
      <c r="F7" s="21">
        <f>DF!E95</f>
        <v>82688.274690201957</v>
      </c>
      <c r="G7" s="21">
        <f>DF!F95</f>
        <v>77961.930167973798</v>
      </c>
      <c r="H7" s="20">
        <f>DF!G95</f>
        <v>73756.350800963133</v>
      </c>
    </row>
    <row r="8" spans="2:8" x14ac:dyDescent="0.2">
      <c r="B8" s="8"/>
      <c r="C8" s="186">
        <v>5.2500000000000005E-2</v>
      </c>
      <c r="D8" s="25">
        <f>DF!C96</f>
        <v>95910.548845225756</v>
      </c>
      <c r="E8" s="25">
        <f>DF!D96</f>
        <v>89506.121260564221</v>
      </c>
      <c r="F8" s="25">
        <f>DF!E96</f>
        <v>83920.135928963165</v>
      </c>
      <c r="G8" s="25">
        <f>DF!F96</f>
        <v>79004.66885029804</v>
      </c>
      <c r="H8" s="26">
        <f>DF!G96</f>
        <v>74645.444214568299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Macro</vt:lpstr>
      <vt:lpstr>Gerencial</vt:lpstr>
      <vt:lpstr>Operacional</vt:lpstr>
      <vt:lpstr>Gerencial Anual</vt:lpstr>
      <vt:lpstr>Multiplos</vt:lpstr>
      <vt:lpstr>Premissas</vt:lpstr>
      <vt:lpstr>DF</vt:lpstr>
      <vt:lpstr>Depreciação</vt:lpstr>
      <vt:lpstr>NCG</vt:lpstr>
      <vt:lpstr>Tabela Sensibilidade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Miyazaki</dc:creator>
  <cp:lastModifiedBy>Emerson Tetsuo Miyazaki</cp:lastModifiedBy>
  <dcterms:created xsi:type="dcterms:W3CDTF">2014-01-16T17:48:34Z</dcterms:created>
  <dcterms:modified xsi:type="dcterms:W3CDTF">2014-03-25T21:05:08Z</dcterms:modified>
</cp:coreProperties>
</file>