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Lu\Trabajos, estudio, etc\Especializacion en Finanzas\3er trimestre\Analisis de datos\TP\Ternium\"/>
    </mc:Choice>
  </mc:AlternateContent>
  <xr:revisionPtr revIDLastSave="0" documentId="13_ncr:1_{280FB7D8-75F2-452C-A184-193B919E2CC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Volumen ventas" sheetId="17" r:id="rId1"/>
    <sheet name="Balanceadj" sheetId="14" r:id="rId2"/>
    <sheet name="EERRadj" sheetId="6" r:id="rId3"/>
    <sheet name="VentasMundoadj" sheetId="16" r:id="rId4"/>
    <sheet name="Balance" sheetId="1" r:id="rId5"/>
    <sheet name="EERR" sheetId="2" r:id="rId6"/>
    <sheet name="IPC_interanual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14" l="1"/>
  <c r="B19" i="14" l="1"/>
  <c r="C19" i="14"/>
  <c r="D19" i="14"/>
  <c r="E19" i="14"/>
  <c r="F19" i="14"/>
  <c r="B7" i="14" l="1"/>
  <c r="C7" i="14"/>
  <c r="D7" i="14"/>
  <c r="E7" i="14"/>
  <c r="F7" i="14"/>
  <c r="C7" i="16"/>
  <c r="D7" i="16"/>
  <c r="B7" i="16"/>
  <c r="C6" i="16"/>
  <c r="D6" i="16"/>
  <c r="B6" i="16"/>
  <c r="C5" i="16"/>
  <c r="D5" i="16"/>
  <c r="B5" i="16"/>
  <c r="C4" i="16"/>
  <c r="D4" i="16"/>
  <c r="B4" i="16"/>
  <c r="B33" i="14" l="1"/>
  <c r="C33" i="14"/>
  <c r="D33" i="14"/>
  <c r="E33" i="14"/>
  <c r="F33" i="14"/>
  <c r="C8" i="14"/>
  <c r="D8" i="14"/>
  <c r="E8" i="14"/>
  <c r="F8" i="14"/>
  <c r="B8" i="14"/>
  <c r="F11" i="1"/>
  <c r="E11" i="1"/>
  <c r="D11" i="1"/>
  <c r="C11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F44" i="14"/>
  <c r="F46" i="14"/>
  <c r="E44" i="14"/>
  <c r="D44" i="14"/>
  <c r="C44" i="14"/>
  <c r="C47" i="1"/>
  <c r="D47" i="1"/>
  <c r="F45" i="1"/>
  <c r="F47" i="1" s="1"/>
  <c r="E45" i="1"/>
  <c r="E47" i="1" s="1"/>
  <c r="B45" i="1"/>
  <c r="B47" i="1" s="1"/>
  <c r="C10" i="14" l="1"/>
  <c r="E46" i="14"/>
  <c r="D46" i="14"/>
  <c r="C46" i="14"/>
  <c r="B46" i="14"/>
  <c r="F45" i="14"/>
  <c r="E45" i="14"/>
  <c r="D45" i="14"/>
  <c r="C45" i="14"/>
  <c r="B45" i="14"/>
  <c r="F37" i="14"/>
  <c r="D37" i="14"/>
  <c r="B37" i="14"/>
  <c r="F39" i="14"/>
  <c r="E39" i="14"/>
  <c r="D39" i="14"/>
  <c r="C39" i="14"/>
  <c r="B39" i="14"/>
  <c r="F36" i="14"/>
  <c r="E36" i="14"/>
  <c r="E41" i="14" s="1"/>
  <c r="D36" i="14"/>
  <c r="C36" i="14"/>
  <c r="C41" i="14" s="1"/>
  <c r="B36" i="14"/>
  <c r="F38" i="14"/>
  <c r="E38" i="14"/>
  <c r="D38" i="14"/>
  <c r="B38" i="14"/>
  <c r="F40" i="14"/>
  <c r="E40" i="14"/>
  <c r="D40" i="14"/>
  <c r="C40" i="14"/>
  <c r="B40" i="14"/>
  <c r="F35" i="14"/>
  <c r="E35" i="14"/>
  <c r="D35" i="14"/>
  <c r="C35" i="14"/>
  <c r="B35" i="14"/>
  <c r="F28" i="14"/>
  <c r="E28" i="14"/>
  <c r="D28" i="14"/>
  <c r="B28" i="14"/>
  <c r="F29" i="14"/>
  <c r="E29" i="14"/>
  <c r="C29" i="14"/>
  <c r="B29" i="14"/>
  <c r="F26" i="14"/>
  <c r="E26" i="14"/>
  <c r="D26" i="14"/>
  <c r="C26" i="14"/>
  <c r="B26" i="14"/>
  <c r="F30" i="14"/>
  <c r="E30" i="14"/>
  <c r="D30" i="14"/>
  <c r="C30" i="14"/>
  <c r="B30" i="14"/>
  <c r="F27" i="14"/>
  <c r="E27" i="14"/>
  <c r="D27" i="14"/>
  <c r="C27" i="14"/>
  <c r="B27" i="14"/>
  <c r="F31" i="14"/>
  <c r="E31" i="14"/>
  <c r="D31" i="14"/>
  <c r="C31" i="14"/>
  <c r="B31" i="14"/>
  <c r="F32" i="14"/>
  <c r="E32" i="14"/>
  <c r="D32" i="14"/>
  <c r="C32" i="14"/>
  <c r="B32" i="14"/>
  <c r="F13" i="14"/>
  <c r="D13" i="14"/>
  <c r="C13" i="14"/>
  <c r="B13" i="14"/>
  <c r="F16" i="14"/>
  <c r="E16" i="14"/>
  <c r="C16" i="14"/>
  <c r="F15" i="14"/>
  <c r="E15" i="14"/>
  <c r="D15" i="14"/>
  <c r="C15" i="14"/>
  <c r="B15" i="14"/>
  <c r="E14" i="14"/>
  <c r="C14" i="14"/>
  <c r="B14" i="14"/>
  <c r="F17" i="14"/>
  <c r="E17" i="14"/>
  <c r="D17" i="14"/>
  <c r="C17" i="14"/>
  <c r="B17" i="14"/>
  <c r="F18" i="14"/>
  <c r="E18" i="14"/>
  <c r="D18" i="14"/>
  <c r="C18" i="14"/>
  <c r="B18" i="14"/>
  <c r="F21" i="14"/>
  <c r="E21" i="14"/>
  <c r="D21" i="14"/>
  <c r="C21" i="14"/>
  <c r="B21" i="14"/>
  <c r="B10" i="14"/>
  <c r="D10" i="14"/>
  <c r="E10" i="14"/>
  <c r="F10" i="14"/>
  <c r="B9" i="14"/>
  <c r="C9" i="14"/>
  <c r="D9" i="14"/>
  <c r="E9" i="14"/>
  <c r="F9" i="14"/>
  <c r="B6" i="14"/>
  <c r="C6" i="14"/>
  <c r="D6" i="14"/>
  <c r="E6" i="14"/>
  <c r="F6" i="14"/>
  <c r="B5" i="14"/>
  <c r="C5" i="14"/>
  <c r="D5" i="14"/>
  <c r="E5" i="14"/>
  <c r="F5" i="14"/>
  <c r="F16" i="6"/>
  <c r="E16" i="6"/>
  <c r="D16" i="6"/>
  <c r="C16" i="6"/>
  <c r="F14" i="6"/>
  <c r="E14" i="6"/>
  <c r="D14" i="6"/>
  <c r="C14" i="6"/>
  <c r="F12" i="6"/>
  <c r="E12" i="6"/>
  <c r="D12" i="6"/>
  <c r="C12" i="6"/>
  <c r="F11" i="6"/>
  <c r="E11" i="6"/>
  <c r="D11" i="6"/>
  <c r="C11" i="6"/>
  <c r="F10" i="6"/>
  <c r="E10" i="6"/>
  <c r="D10" i="6"/>
  <c r="C10" i="6"/>
  <c r="F8" i="6"/>
  <c r="E8" i="6"/>
  <c r="D8" i="6"/>
  <c r="C8" i="6"/>
  <c r="F7" i="6"/>
  <c r="E7" i="6"/>
  <c r="D7" i="6"/>
  <c r="C7" i="6"/>
  <c r="F6" i="6"/>
  <c r="E6" i="6"/>
  <c r="D6" i="6"/>
  <c r="C6" i="6"/>
  <c r="F4" i="6"/>
  <c r="E4" i="6"/>
  <c r="D4" i="6"/>
  <c r="C4" i="6"/>
  <c r="F3" i="6"/>
  <c r="E3" i="6"/>
  <c r="D3" i="6"/>
  <c r="C3" i="6"/>
  <c r="F17" i="2"/>
  <c r="E15" i="2"/>
  <c r="F15" i="2"/>
  <c r="F13" i="2"/>
  <c r="E13" i="2"/>
  <c r="D13" i="2"/>
  <c r="C13" i="2"/>
  <c r="B13" i="2"/>
  <c r="C9" i="2"/>
  <c r="D9" i="2"/>
  <c r="E9" i="2"/>
  <c r="F9" i="2"/>
  <c r="B9" i="2"/>
  <c r="B16" i="6"/>
  <c r="B14" i="6"/>
  <c r="B12" i="6"/>
  <c r="B11" i="6"/>
  <c r="B10" i="6"/>
  <c r="B8" i="6"/>
  <c r="B7" i="6"/>
  <c r="B6" i="6"/>
  <c r="C5" i="2"/>
  <c r="D5" i="2"/>
  <c r="E5" i="2"/>
  <c r="F5" i="2"/>
  <c r="B5" i="2"/>
  <c r="B3" i="6"/>
  <c r="F4" i="2"/>
  <c r="E4" i="2"/>
  <c r="D4" i="2"/>
  <c r="C4" i="2"/>
  <c r="B4" i="2"/>
  <c r="B4" i="6" s="1"/>
  <c r="C34" i="1"/>
  <c r="D34" i="1"/>
  <c r="E34" i="1"/>
  <c r="F34" i="1"/>
  <c r="B34" i="1"/>
  <c r="C13" i="1"/>
  <c r="C20" i="14" s="1"/>
  <c r="D13" i="1"/>
  <c r="D20" i="14" s="1"/>
  <c r="E13" i="1"/>
  <c r="E20" i="14" s="1"/>
  <c r="F13" i="1"/>
  <c r="F20" i="14" s="1"/>
  <c r="B13" i="1"/>
  <c r="B11" i="1"/>
  <c r="B41" i="14" l="1"/>
  <c r="D41" i="14"/>
  <c r="F41" i="14"/>
  <c r="B34" i="14"/>
  <c r="D34" i="14"/>
  <c r="F34" i="14"/>
  <c r="C34" i="14"/>
  <c r="E34" i="14"/>
  <c r="B22" i="14"/>
  <c r="D22" i="14"/>
  <c r="E22" i="14"/>
  <c r="C22" i="14"/>
  <c r="F22" i="14"/>
  <c r="F11" i="14"/>
  <c r="D11" i="14"/>
  <c r="B11" i="14"/>
  <c r="E11" i="14"/>
  <c r="C11" i="14"/>
  <c r="B47" i="14"/>
  <c r="D47" i="14"/>
  <c r="F47" i="14"/>
  <c r="E47" i="14"/>
  <c r="B20" i="14"/>
  <c r="C47" i="14"/>
  <c r="F42" i="14" l="1"/>
  <c r="E23" i="14"/>
  <c r="B23" i="14"/>
  <c r="C42" i="14"/>
  <c r="C48" i="14" s="1"/>
  <c r="C23" i="14"/>
  <c r="F48" i="14"/>
  <c r="F23" i="14"/>
  <c r="E42" i="14"/>
  <c r="E48" i="14" s="1"/>
  <c r="B42" i="14"/>
  <c r="B48" i="14" s="1"/>
  <c r="D42" i="14"/>
  <c r="D48" i="14" s="1"/>
  <c r="D23" i="14"/>
  <c r="B5" i="6"/>
  <c r="B9" i="6" s="1"/>
  <c r="B15" i="2"/>
  <c r="B17" i="2" s="1"/>
  <c r="B41" i="1"/>
  <c r="B22" i="1"/>
  <c r="F41" i="1"/>
  <c r="F42" i="1" s="1"/>
  <c r="E41" i="1"/>
  <c r="E42" i="1" s="1"/>
  <c r="D41" i="1"/>
  <c r="D42" i="1" s="1"/>
  <c r="C41" i="1"/>
  <c r="C42" i="1" s="1"/>
  <c r="F22" i="1"/>
  <c r="E22" i="1"/>
  <c r="D22" i="1"/>
  <c r="C22" i="1"/>
  <c r="E17" i="2"/>
  <c r="D15" i="2"/>
  <c r="D17" i="2" s="1"/>
  <c r="C15" i="2"/>
  <c r="C17" i="2" s="1"/>
  <c r="D23" i="1" l="1"/>
  <c r="F23" i="1"/>
  <c r="C23" i="1"/>
  <c r="E23" i="1"/>
  <c r="B23" i="1"/>
  <c r="B13" i="6"/>
  <c r="B15" i="6" s="1"/>
  <c r="B17" i="6" s="1"/>
  <c r="C48" i="1"/>
  <c r="E48" i="1"/>
  <c r="D48" i="1"/>
  <c r="F48" i="1"/>
  <c r="B42" i="1"/>
  <c r="B48" i="1" s="1"/>
  <c r="E5" i="6" l="1"/>
  <c r="E9" i="6" s="1"/>
  <c r="F5" i="6"/>
  <c r="F9" i="6" s="1"/>
  <c r="C5" i="6"/>
  <c r="C9" i="6" s="1"/>
  <c r="D5" i="6"/>
  <c r="D9" i="6" s="1"/>
  <c r="C13" i="6" l="1"/>
  <c r="C15" i="6" s="1"/>
  <c r="C17" i="6" s="1"/>
  <c r="E13" i="6"/>
  <c r="E15" i="6" s="1"/>
  <c r="E17" i="6" s="1"/>
  <c r="D13" i="6"/>
  <c r="D15" i="6" s="1"/>
  <c r="D17" i="6" s="1"/>
  <c r="F13" i="6"/>
  <c r="F15" i="6" s="1"/>
  <c r="F1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1" authorId="0" shapeId="0" xr:uid="{D2568DEE-C192-4AA4-BCD4-EC2699FF7D64}">
      <text>
        <r>
          <rPr>
            <sz val="9"/>
            <color indexed="81"/>
            <rFont val="Tahoma"/>
            <family val="2"/>
          </rPr>
          <t>Extraído de la Nota 6 de EEFF Consolidado (Información por segmentos, Segmentos operativos reportables)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4" authorId="0" shapeId="0" xr:uid="{2E5C8201-5812-4A72-8AF5-9927C7BB3291}">
      <text>
        <r>
          <rPr>
            <sz val="9"/>
            <color indexed="81"/>
            <rFont val="Tahoma"/>
            <family val="2"/>
          </rPr>
          <t>Extraído de la Nota 6 de EEFF Consolidado (Información por segmentos, Segmentos operativos reportables)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3831566C-6B45-4202-B06B-A1B4C4A81634}">
      <text>
        <r>
          <rPr>
            <b/>
            <sz val="9"/>
            <color indexed="81"/>
            <rFont val="Tahoma"/>
            <family val="2"/>
          </rPr>
          <t>Fuente: INDEC</t>
        </r>
        <r>
          <rPr>
            <i/>
            <sz val="9"/>
            <color indexed="81"/>
            <rFont val="Tahoma"/>
            <family val="2"/>
          </rPr>
          <t xml:space="preserve">
Índices y variaciones porcentuales mensuales e interanuales según principales aperturas de la canasta. Diciembre de 2016-septiembre de 2023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https://www.indec.gob.ar/indec/web/Nivel4-Tema-3-5-31</t>
        </r>
      </text>
    </comment>
  </commentList>
</comments>
</file>

<file path=xl/sharedStrings.xml><?xml version="1.0" encoding="utf-8"?>
<sst xmlns="http://schemas.openxmlformats.org/spreadsheetml/2006/main" count="151" uniqueCount="86">
  <si>
    <t>Rubro</t>
  </si>
  <si>
    <t>ACTIVO</t>
  </si>
  <si>
    <t>Activo no corriente</t>
  </si>
  <si>
    <t>Activo corriente</t>
  </si>
  <si>
    <t>PASIVO</t>
  </si>
  <si>
    <t>Pasivo no corriente</t>
  </si>
  <si>
    <t>Pasivo corriente</t>
  </si>
  <si>
    <t>Propiedades, planta y equipo, netos</t>
  </si>
  <si>
    <t>Activos intangibles, netos</t>
  </si>
  <si>
    <t>Activo por impuesto diferido</t>
  </si>
  <si>
    <t>Otros créditos</t>
  </si>
  <si>
    <t>Créditos por ventas, netos</t>
  </si>
  <si>
    <t>Otras inversiones</t>
  </si>
  <si>
    <t>Inventarios, netos</t>
  </si>
  <si>
    <t>Efectivo y equivalentes de efectivo</t>
  </si>
  <si>
    <t>Total de activo</t>
  </si>
  <si>
    <t>PATRIMONIO</t>
  </si>
  <si>
    <t>Interés no controlable</t>
  </si>
  <si>
    <t>Total del patrimonio</t>
  </si>
  <si>
    <t>-</t>
  </si>
  <si>
    <t>Provisiones para contingencias</t>
  </si>
  <si>
    <t>Pasivo por impuesto diferido</t>
  </si>
  <si>
    <t>Otras deudas</t>
  </si>
  <si>
    <t>Deuda por arrendamientos</t>
  </si>
  <si>
    <t>Deudas bancarias y financieras</t>
  </si>
  <si>
    <t>Deuda neta por impuesto a las ganancias</t>
  </si>
  <si>
    <t>Otras deudas fiscales</t>
  </si>
  <si>
    <t>Deudas comerciales</t>
  </si>
  <si>
    <t>Total del Pasivo</t>
  </si>
  <si>
    <t>Total del Patrimonio y del Pasivo</t>
  </si>
  <si>
    <t>Ingresos por ventas netos</t>
  </si>
  <si>
    <t>Costo de ventas</t>
  </si>
  <si>
    <t>Gastos de comercialización</t>
  </si>
  <si>
    <t>Gastos de adminisdtración</t>
  </si>
  <si>
    <t>Otros ingresos (egresos) operativos netos</t>
  </si>
  <si>
    <t>Resultado operativo</t>
  </si>
  <si>
    <t>Ingresos financieros</t>
  </si>
  <si>
    <t>Costos financieros</t>
  </si>
  <si>
    <t>Otros ingresos (egresos) financieros netos</t>
  </si>
  <si>
    <t>Ganancias antes de resultados de inversiones en compañías asociadas y del impuesto a las ganancias</t>
  </si>
  <si>
    <t>Resultado de inversiones en compañías asociadas</t>
  </si>
  <si>
    <t>Impuesto a las ganancias</t>
  </si>
  <si>
    <t>Ganancia del ejercicio</t>
  </si>
  <si>
    <t>ESTADOS DE RESULTADOS INTEGRALES CONSOLIDADOS por los ejercicios finalizados el 31 de diciembre de 2022 a 2018 (valores en millones de pesos)</t>
  </si>
  <si>
    <t>Resultado bruto</t>
  </si>
  <si>
    <t>Ganancias antes del impuesto a las ganancias</t>
  </si>
  <si>
    <t>ESTADOS DE SITUACION FINANCIERA CONSOLIDADOS al 31 de diciembre de 2022 al 2018 (valores en millones de pesos)</t>
  </si>
  <si>
    <t xml:space="preserve">Otras deudas </t>
  </si>
  <si>
    <t>Instrumentos financieros derivados</t>
  </si>
  <si>
    <t>Año</t>
  </si>
  <si>
    <t>Valor</t>
  </si>
  <si>
    <t>America del Sur y Centroamérica</t>
  </si>
  <si>
    <t>América del Norte</t>
  </si>
  <si>
    <t>Europa y otros</t>
  </si>
  <si>
    <t>Ingresos por ventas netos (en millones de pesos)</t>
  </si>
  <si>
    <t>Total de activo no corriente</t>
  </si>
  <si>
    <t>Total de activo corriente</t>
  </si>
  <si>
    <t>Total de pasivo corriente</t>
  </si>
  <si>
    <t>Total de pasivo no corriente</t>
  </si>
  <si>
    <t>Propiedades, planta y equipo</t>
  </si>
  <si>
    <t>Capital y reservas atribuibles a los accionistas de la compañía</t>
  </si>
  <si>
    <t>Gastos de intereses</t>
  </si>
  <si>
    <t>Depreciaciones y amortizaciones</t>
  </si>
  <si>
    <t>Inversiones en compañías asociadas</t>
  </si>
  <si>
    <t>Dividendos pagados</t>
  </si>
  <si>
    <t>Otros créditos operativos</t>
  </si>
  <si>
    <t>Sueldos y contribuciones sociales a pagar</t>
  </si>
  <si>
    <t>Créditos por ventas, netos (corriente)</t>
  </si>
  <si>
    <t>Otras inversiones (corriente)</t>
  </si>
  <si>
    <t>Otros créditos (corriente)</t>
  </si>
  <si>
    <t>Otras inversiones (no corriente)</t>
  </si>
  <si>
    <t>Otros créditos (no corriente)</t>
  </si>
  <si>
    <t>Créditos por ventas, netos (no corriente)</t>
  </si>
  <si>
    <t>Otras deudas (corriente)</t>
  </si>
  <si>
    <t>Otras deudas (no corriente)</t>
  </si>
  <si>
    <t>Deudas bancarias y financieras (no corriente)</t>
  </si>
  <si>
    <t>Deudas bancarias y financieras (corriente)</t>
  </si>
  <si>
    <t>Deuda por arrendamientos (corriente)</t>
  </si>
  <si>
    <t>Deuda por arrendamientos (no corriente)</t>
  </si>
  <si>
    <t>Ganancias antes de resultados de inversiones en cías asociadas y de impuestos</t>
  </si>
  <si>
    <t>Resultado de inversiones en cías asociadas</t>
  </si>
  <si>
    <t>Ganancias antes de impuestos</t>
  </si>
  <si>
    <t>Total de pasivo</t>
  </si>
  <si>
    <t>Total de patrimonio</t>
  </si>
  <si>
    <t>Total de patrimonio y de pasivo</t>
  </si>
  <si>
    <t>Volumen de ventas (mill tn)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</si>
</sst>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000"/>
    <numFmt numFmtId="165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i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 indent="2"/>
    </xf>
    <xf numFmtId="0" fontId="0" fillId="0" borderId="0" xfId="0" applyAlignment="1">
      <alignment horizontal="left" wrapText="1" indent="2"/>
    </xf>
    <xf numFmtId="41" fontId="0" fillId="0" borderId="0" xfId="0" applyNumberFormat="1"/>
    <xf numFmtId="41" fontId="0" fillId="0" borderId="0" xfId="0" quotePrefix="1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wrapText="1"/>
    </xf>
    <xf numFmtId="41" fontId="0" fillId="2" borderId="0" xfId="0" applyNumberFormat="1" applyFill="1"/>
    <xf numFmtId="41" fontId="0" fillId="0" borderId="0" xfId="0" applyNumberFormat="1" applyAlignment="1">
      <alignment wrapText="1"/>
    </xf>
    <xf numFmtId="0" fontId="0" fillId="2" borderId="0" xfId="0" applyFill="1" applyAlignment="1">
      <alignment horizontal="left" indent="2"/>
    </xf>
    <xf numFmtId="0" fontId="1" fillId="2" borderId="0" xfId="0" applyFont="1" applyFill="1"/>
    <xf numFmtId="41" fontId="1" fillId="2" borderId="0" xfId="0" applyNumberFormat="1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16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5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EF48-8369-4F6D-9CB4-07CFE2EA1E14}">
  <dimension ref="A1:B6"/>
  <sheetViews>
    <sheetView workbookViewId="0">
      <selection activeCell="H9" sqref="H9"/>
    </sheetView>
  </sheetViews>
  <sheetFormatPr baseColWidth="10" defaultRowHeight="14.4" x14ac:dyDescent="0.3"/>
  <sheetData>
    <row r="1" spans="1:2" x14ac:dyDescent="0.3">
      <c r="A1" t="s">
        <v>49</v>
      </c>
      <c r="B1" t="s">
        <v>85</v>
      </c>
    </row>
    <row r="2" spans="1:2" x14ac:dyDescent="0.3">
      <c r="A2">
        <v>2022</v>
      </c>
      <c r="B2" s="23">
        <v>2.375</v>
      </c>
    </row>
    <row r="3" spans="1:2" x14ac:dyDescent="0.3">
      <c r="A3">
        <v>2021</v>
      </c>
      <c r="B3" s="23">
        <v>2.5459999999999998</v>
      </c>
    </row>
    <row r="4" spans="1:2" x14ac:dyDescent="0.3">
      <c r="A4">
        <v>2020</v>
      </c>
      <c r="B4" s="23">
        <v>2.069</v>
      </c>
    </row>
    <row r="5" spans="1:2" x14ac:dyDescent="0.3">
      <c r="A5">
        <v>2019</v>
      </c>
      <c r="B5" s="23">
        <v>2.129</v>
      </c>
    </row>
    <row r="6" spans="1:2" x14ac:dyDescent="0.3">
      <c r="A6">
        <v>2018</v>
      </c>
      <c r="B6" s="23">
        <v>2.3540000000000001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7A79B-0683-48F5-91D6-8FE01E99193C}">
  <dimension ref="A1:F48"/>
  <sheetViews>
    <sheetView tabSelected="1" zoomScale="85" zoomScaleNormal="85" workbookViewId="0">
      <selection activeCell="A16" sqref="A16"/>
    </sheetView>
  </sheetViews>
  <sheetFormatPr baseColWidth="10" defaultColWidth="9.109375" defaultRowHeight="14.4" x14ac:dyDescent="0.3"/>
  <cols>
    <col min="1" max="1" width="45" customWidth="1"/>
    <col min="2" max="4" width="13" bestFit="1" customWidth="1"/>
    <col min="5" max="6" width="16.88671875" bestFit="1" customWidth="1"/>
  </cols>
  <sheetData>
    <row r="1" spans="1:6" x14ac:dyDescent="0.3">
      <c r="A1" t="s">
        <v>46</v>
      </c>
    </row>
    <row r="2" spans="1:6" x14ac:dyDescent="0.3">
      <c r="A2" t="s">
        <v>0</v>
      </c>
      <c r="B2">
        <v>2022</v>
      </c>
      <c r="C2">
        <v>2021</v>
      </c>
      <c r="D2">
        <v>2020</v>
      </c>
      <c r="E2">
        <v>2019</v>
      </c>
      <c r="F2">
        <v>2018</v>
      </c>
    </row>
    <row r="3" spans="1:6" x14ac:dyDescent="0.3">
      <c r="A3" t="s">
        <v>1</v>
      </c>
    </row>
    <row r="4" spans="1:6" x14ac:dyDescent="0.3">
      <c r="A4" s="3" t="s">
        <v>3</v>
      </c>
      <c r="B4" s="6"/>
      <c r="C4" s="6"/>
      <c r="D4" s="6"/>
      <c r="E4" s="6"/>
      <c r="F4" s="6"/>
    </row>
    <row r="5" spans="1:6" x14ac:dyDescent="0.3">
      <c r="A5" s="4" t="s">
        <v>14</v>
      </c>
      <c r="B5" s="6">
        <f>Balance!B10</f>
        <v>24411</v>
      </c>
      <c r="C5" s="6">
        <f>Balance!C10*(1+IPC_interanual!$B$2)</f>
        <v>30254.047999999999</v>
      </c>
      <c r="D5" s="6">
        <f>Balance!D10*(1+IPC_interanual!$B$2)*(1+IPC_interanual!$B$3)</f>
        <v>44078.717119999994</v>
      </c>
      <c r="E5" s="6">
        <f>Balance!E10*(1+IPC_interanual!$B$2)*(1+IPC_interanual!$B$3)*(1+IPC_interanual!$B$4)</f>
        <v>18916.010233297919</v>
      </c>
      <c r="F5" s="6">
        <f>Balance!F10*(1+IPC_interanual!$B$2)*(1+IPC_interanual!$B$3)*(1+IPC_interanual!$B$4)*(1+IPC_interanual!$B$5)</f>
        <v>19615.264866743906</v>
      </c>
    </row>
    <row r="6" spans="1:6" x14ac:dyDescent="0.3">
      <c r="A6" s="4" t="s">
        <v>68</v>
      </c>
      <c r="B6" s="6">
        <f>Balance!B9</f>
        <v>206387</v>
      </c>
      <c r="C6" s="6">
        <f>Balance!C9*(1+IPC_interanual!$B$2)</f>
        <v>150944.25599999999</v>
      </c>
      <c r="D6" s="6">
        <f>Balance!D9*(1+IPC_interanual!$B$2)*(1+IPC_interanual!$B$3)</f>
        <v>63755.290944</v>
      </c>
      <c r="E6" s="6">
        <f>Balance!E9*(1+IPC_interanual!$B$2)*(1+IPC_interanual!$B$3)*(1+IPC_interanual!$B$4)</f>
        <v>2274.2655725681279</v>
      </c>
      <c r="F6" s="6">
        <f>Balance!F9*(1+IPC_interanual!$B$2)*(1+IPC_interanual!$B$3)*(1+IPC_interanual!$B$4)*(1+IPC_interanual!$B$5)</f>
        <v>8780.8470435017734</v>
      </c>
    </row>
    <row r="7" spans="1:6" x14ac:dyDescent="0.3">
      <c r="A7" s="4" t="s">
        <v>69</v>
      </c>
      <c r="B7" s="6">
        <f>Balance!B5</f>
        <v>10281</v>
      </c>
      <c r="C7" s="6">
        <f>Balance!C5*(1+IPC_interanual!$B$2)</f>
        <v>12112.16</v>
      </c>
      <c r="D7" s="6">
        <f>Balance!D5*(1+IPC_interanual!$B$2)*(1+IPC_interanual!$B$3)</f>
        <v>4267.4936320000006</v>
      </c>
      <c r="E7" s="6">
        <f>Balance!E5*(1+IPC_interanual!$B$2)*(1+IPC_interanual!$B$3)*(1+IPC_interanual!$B$4)</f>
        <v>2560.1592718079996</v>
      </c>
      <c r="F7" s="6">
        <f>Balance!F5*(1+IPC_interanual!$B$2)*(1+IPC_interanual!$B$3)*(1+IPC_interanual!$B$4)*(1+IPC_interanual!$B$5)</f>
        <v>3066.1434434315515</v>
      </c>
    </row>
    <row r="8" spans="1:6" x14ac:dyDescent="0.3">
      <c r="A8" s="4" t="s">
        <v>65</v>
      </c>
      <c r="B8" s="6">
        <f>Balance!B6</f>
        <v>1689</v>
      </c>
      <c r="C8" s="6">
        <f>Balance!C6*(1+IPC_interanual!$B$2)</f>
        <v>1830.9759999999999</v>
      </c>
      <c r="D8" s="6">
        <f>Balance!D6*(1+IPC_interanual!$B$2)*(1+IPC_interanual!$B$3)</f>
        <v>2080.5509120000002</v>
      </c>
      <c r="E8" s="6">
        <f>Balance!E6*(1+IPC_interanual!$B$2)*(1+IPC_interanual!$B$3)*(1+IPC_interanual!$B$4)</f>
        <v>1546.4709453968642</v>
      </c>
      <c r="F8" s="6">
        <f>Balance!F6*(1+IPC_interanual!$B$2)*(1+IPC_interanual!$B$3)*(1+IPC_interanual!$B$4)*(1+IPC_interanual!$B$5)</f>
        <v>3158.7215847927123</v>
      </c>
    </row>
    <row r="9" spans="1:6" x14ac:dyDescent="0.3">
      <c r="A9" s="4" t="s">
        <v>67</v>
      </c>
      <c r="B9" s="6">
        <f>Balance!B8</f>
        <v>19514</v>
      </c>
      <c r="C9" s="6">
        <f>Balance!C8*(1+IPC_interanual!$B$2)</f>
        <v>19812.8</v>
      </c>
      <c r="D9" s="6">
        <f>Balance!D8*(1+IPC_interanual!$B$2)*(1+IPC_interanual!$B$3)</f>
        <v>15323.375679999999</v>
      </c>
      <c r="E9" s="6">
        <f>Balance!E8*(1+IPC_interanual!$B$2)*(1+IPC_interanual!$B$3)*(1+IPC_interanual!$B$4)</f>
        <v>23098.628831118334</v>
      </c>
      <c r="F9" s="6">
        <f>Balance!F8*(1+IPC_interanual!$B$2)*(1+IPC_interanual!$B$3)*(1+IPC_interanual!$B$4)*(1+IPC_interanual!$B$5)</f>
        <v>38118.052905860146</v>
      </c>
    </row>
    <row r="10" spans="1:6" x14ac:dyDescent="0.3">
      <c r="A10" s="4" t="s">
        <v>13</v>
      </c>
      <c r="B10" s="6">
        <f>Balance!B7</f>
        <v>122688</v>
      </c>
      <c r="C10" s="6">
        <f>Balance!C7*(1+IPC_interanual!$B$2)</f>
        <v>150485.53599999999</v>
      </c>
      <c r="D10" s="6">
        <f>Balance!D7*(1+IPC_interanual!$B$2)*(1+IPC_interanual!$B$3)</f>
        <v>120391.196736</v>
      </c>
      <c r="E10" s="6">
        <f>Balance!E7*(1+IPC_interanual!$B$2)*(1+IPC_interanual!$B$3)*(1+IPC_interanual!$B$4)</f>
        <v>109999.2088082753</v>
      </c>
      <c r="F10" s="6">
        <f>Balance!F7*(1+IPC_interanual!$B$2)*(1+IPC_interanual!$B$3)*(1+IPC_interanual!$B$4)*(1+IPC_interanual!$B$5)</f>
        <v>240222.47986918129</v>
      </c>
    </row>
    <row r="11" spans="1:6" x14ac:dyDescent="0.3">
      <c r="A11" s="14" t="s">
        <v>56</v>
      </c>
      <c r="B11" s="12">
        <f>SUM(B5:B10)</f>
        <v>384970</v>
      </c>
      <c r="C11" s="12">
        <f t="shared" ref="C11:F11" si="0">SUM(C5:C10)</f>
        <v>365439.77599999995</v>
      </c>
      <c r="D11" s="12">
        <f t="shared" si="0"/>
        <v>249896.62502400001</v>
      </c>
      <c r="E11" s="12">
        <f t="shared" si="0"/>
        <v>158394.74366246455</v>
      </c>
      <c r="F11" s="12">
        <f t="shared" si="0"/>
        <v>312961.50971351139</v>
      </c>
    </row>
    <row r="12" spans="1:6" x14ac:dyDescent="0.3">
      <c r="A12" s="1" t="s">
        <v>2</v>
      </c>
    </row>
    <row r="13" spans="1:6" x14ac:dyDescent="0.3">
      <c r="A13" s="4" t="s">
        <v>70</v>
      </c>
      <c r="B13" s="6">
        <f>Balance!B21</f>
        <v>10695</v>
      </c>
      <c r="C13" s="6">
        <f>Balance!C21*(1+IPC_interanual!$B$2)</f>
        <v>12369.824000000001</v>
      </c>
      <c r="D13" s="6">
        <f>Balance!D21*(1+IPC_interanual!$B$2)*(1+IPC_interanual!$B$3)</f>
        <v>653.12748799999997</v>
      </c>
      <c r="E13" s="6"/>
      <c r="F13" s="6">
        <f>Balance!F21*(1+IPC_interanual!$B$2)*(1+IPC_interanual!$B$3)*(1+IPC_interanual!$B$4)*(1+IPC_interanual!$B$5)</f>
        <v>1405.166275462904</v>
      </c>
    </row>
    <row r="14" spans="1:6" x14ac:dyDescent="0.3">
      <c r="A14" s="4" t="s">
        <v>9</v>
      </c>
      <c r="B14" s="6">
        <f>Balance!B18</f>
        <v>5164</v>
      </c>
      <c r="C14" s="6">
        <f>Balance!C18*(1+IPC_interanual!$B$2)</f>
        <v>2404.864</v>
      </c>
      <c r="D14" s="6"/>
      <c r="E14" s="6">
        <f>Balance!E18*(1+IPC_interanual!$B$2)*(1+IPC_interanual!$B$3)*(1+IPC_interanual!$B$4)</f>
        <v>2.413524762432</v>
      </c>
      <c r="F14" s="6"/>
    </row>
    <row r="15" spans="1:6" x14ac:dyDescent="0.3">
      <c r="A15" s="4" t="s">
        <v>71</v>
      </c>
      <c r="B15" s="6">
        <f>Balance!B19</f>
        <v>1849</v>
      </c>
      <c r="C15" s="6">
        <f>Balance!C19*(1+IPC_interanual!$B$2)</f>
        <v>757.37599999999998</v>
      </c>
      <c r="D15" s="6">
        <f>Balance!D19*(1+IPC_interanual!$B$2)*(1+IPC_interanual!$B$3)</f>
        <v>304.39878399999998</v>
      </c>
      <c r="E15" s="6">
        <f>Balance!E19*(1+IPC_interanual!$B$2)*(1+IPC_interanual!$B$3)*(1+IPC_interanual!$B$4)</f>
        <v>256.62624378739201</v>
      </c>
      <c r="F15" s="6">
        <f>Balance!F19*(1+IPC_interanual!$B$2)*(1+IPC_interanual!$B$3)*(1+IPC_interanual!$B$4)*(1+IPC_interanual!$B$5)</f>
        <v>652.19779636359954</v>
      </c>
    </row>
    <row r="16" spans="1:6" x14ac:dyDescent="0.3">
      <c r="A16" s="4" t="s">
        <v>72</v>
      </c>
      <c r="B16" s="6"/>
      <c r="C16" s="6">
        <f>Balance!C20*(1+IPC_interanual!$B$2)</f>
        <v>44.896000000000001</v>
      </c>
      <c r="D16" s="6"/>
      <c r="E16" s="6">
        <f>Balance!E20*(1+IPC_interanual!$B$2)*(1+IPC_interanual!$B$3)*(1+IPC_interanual!$B$4)</f>
        <v>212.81026714790397</v>
      </c>
      <c r="F16" s="6">
        <f>Balance!F20*(1+IPC_interanual!$B$2)*(1+IPC_interanual!$B$3)*(1+IPC_interanual!$B$4)*(1+IPC_interanual!$B$5)</f>
        <v>1674.1870349778983</v>
      </c>
    </row>
    <row r="17" spans="1:6" x14ac:dyDescent="0.3">
      <c r="A17" s="4" t="s">
        <v>63</v>
      </c>
      <c r="B17" s="6">
        <f>Balance!B17</f>
        <v>378680</v>
      </c>
      <c r="C17" s="6">
        <f>Balance!C17*(1+IPC_interanual!$B$2)</f>
        <v>410146.43199999997</v>
      </c>
      <c r="D17" s="6">
        <f>Balance!D17*(1+IPC_interanual!$B$2)*(1+IPC_interanual!$B$3)</f>
        <v>336842.37478399999</v>
      </c>
      <c r="E17" s="6">
        <f>Balance!E17*(1+IPC_interanual!$B$2)*(1+IPC_interanual!$B$3)*(1+IPC_interanual!$B$4)</f>
        <v>310040.40020830266</v>
      </c>
      <c r="F17" s="6">
        <f>Balance!F17*(1+IPC_interanual!$B$2)*(1+IPC_interanual!$B$3)*(1+IPC_interanual!$B$4)*(1+IPC_interanual!$B$5)</f>
        <v>429834.94761862862</v>
      </c>
    </row>
    <row r="18" spans="1:6" x14ac:dyDescent="0.3">
      <c r="A18" s="4" t="s">
        <v>8</v>
      </c>
      <c r="B18" s="6">
        <f>Balance!B16</f>
        <v>6046</v>
      </c>
      <c r="C18" s="6">
        <f>Balance!C16*(1+IPC_interanual!$B$2)</f>
        <v>4249.5039999999999</v>
      </c>
      <c r="D18" s="6">
        <f>Balance!D16*(1+IPC_interanual!$B$2)*(1+IPC_interanual!$B$3)</f>
        <v>4654.6415999999999</v>
      </c>
      <c r="E18" s="6">
        <f>Balance!E16*(1+IPC_interanual!$B$2)*(1+IPC_interanual!$B$3)*(1+IPC_interanual!$B$4)</f>
        <v>4521.5900263595513</v>
      </c>
      <c r="F18" s="6">
        <f>Balance!F16*(1+IPC_interanual!$B$2)*(1+IPC_interanual!$B$3)*(1+IPC_interanual!$B$4)*(1+IPC_interanual!$B$5)</f>
        <v>5046.3328059783234</v>
      </c>
    </row>
    <row r="19" spans="1:6" x14ac:dyDescent="0.3">
      <c r="A19" s="4" t="s">
        <v>7</v>
      </c>
      <c r="B19" s="6">
        <f>Balance!B15</f>
        <v>144016</v>
      </c>
      <c r="C19" s="6">
        <f>Balance!C15*(1+IPC_interanual!$B$2)</f>
        <v>166622.72</v>
      </c>
      <c r="D19" s="6">
        <f>Balance!D15*(1+IPC_interanual!$B$2)*(1+IPC_interanual!$B$3)</f>
        <v>221682.10860800001</v>
      </c>
      <c r="E19" s="6">
        <f>Balance!E15*(1+IPC_interanual!$B$2)*(1+IPC_interanual!$B$3)*(1+IPC_interanual!$B$4)</f>
        <v>231306.23292135724</v>
      </c>
      <c r="F19" s="6">
        <f>Balance!F15*(1+IPC_interanual!$B$2)*(1+IPC_interanual!$B$3)*(1+IPC_interanual!$B$4)*(1+IPC_interanual!$B$5)</f>
        <v>366974.4138726886</v>
      </c>
    </row>
    <row r="20" spans="1:6" x14ac:dyDescent="0.3">
      <c r="A20" s="4" t="s">
        <v>59</v>
      </c>
      <c r="B20" s="6">
        <f>Balance!B13</f>
        <v>128108</v>
      </c>
      <c r="C20" s="6">
        <f>Balance!C13*(1+IPC_interanual!$B$2)</f>
        <v>144887.19999999998</v>
      </c>
      <c r="D20" s="6">
        <f>Balance!D13*(1+IPC_interanual!$B$2)*(1+IPC_interanual!$B$3)</f>
        <v>196617.97183999998</v>
      </c>
      <c r="E20" s="6">
        <f>Balance!E13*(1+IPC_interanual!$B$2)*(1+IPC_interanual!$B$3)*(1+IPC_interanual!$B$4)</f>
        <v>203413.97138113325</v>
      </c>
      <c r="F20" s="6">
        <f>Balance!F13*(1+IPC_interanual!$B$2)*(1+IPC_interanual!$B$3)*(1+IPC_interanual!$B$4)*(1+IPC_interanual!$B$5)</f>
        <v>326817.63007897139</v>
      </c>
    </row>
    <row r="21" spans="1:6" x14ac:dyDescent="0.3">
      <c r="A21" s="4" t="s">
        <v>62</v>
      </c>
      <c r="B21" s="6">
        <f>Balance!B14</f>
        <v>-15908</v>
      </c>
      <c r="C21" s="6">
        <f>Balance!C14*(1+IPC_interanual!$B$2)</f>
        <v>-21735.52</v>
      </c>
      <c r="D21" s="6">
        <f>Balance!D14*(1+IPC_interanual!$B$2)*(1+IPC_interanual!$B$3)</f>
        <v>-25064.136768</v>
      </c>
      <c r="E21" s="6">
        <f>Balance!E14*(1+IPC_interanual!$B$2)*(1+IPC_interanual!$B$3)*(1+IPC_interanual!$B$4)</f>
        <v>-27892.261540223997</v>
      </c>
      <c r="F21" s="6">
        <f>Balance!F14*(1+IPC_interanual!$B$2)*(1+IPC_interanual!$B$3)*(1+IPC_interanual!$B$4)*(1+IPC_interanual!$B$5)</f>
        <v>-40156.783793717186</v>
      </c>
    </row>
    <row r="22" spans="1:6" x14ac:dyDescent="0.3">
      <c r="A22" s="14" t="s">
        <v>55</v>
      </c>
      <c r="B22" s="12">
        <f>SUM(B13:B19)</f>
        <v>546450</v>
      </c>
      <c r="C22" s="12">
        <f t="shared" ref="C22:F22" si="1">SUM(C13:C19)</f>
        <v>596595.61600000004</v>
      </c>
      <c r="D22" s="12">
        <f t="shared" si="1"/>
        <v>564136.65126399999</v>
      </c>
      <c r="E22" s="12">
        <f t="shared" si="1"/>
        <v>546340.07319171715</v>
      </c>
      <c r="F22" s="12">
        <f t="shared" si="1"/>
        <v>805587.24540409993</v>
      </c>
    </row>
    <row r="23" spans="1:6" x14ac:dyDescent="0.3">
      <c r="A23" s="15" t="s">
        <v>15</v>
      </c>
      <c r="B23" s="16">
        <f>+B22+B11</f>
        <v>931420</v>
      </c>
      <c r="C23" s="16">
        <f>+C22+C11</f>
        <v>962035.39199999999</v>
      </c>
      <c r="D23" s="16">
        <f>+D22+D11</f>
        <v>814033.27628799994</v>
      </c>
      <c r="E23" s="16">
        <f>+E22+E11</f>
        <v>704734.8168541817</v>
      </c>
      <c r="F23" s="16">
        <f>+F22+F11</f>
        <v>1118548.7551176113</v>
      </c>
    </row>
    <row r="24" spans="1:6" x14ac:dyDescent="0.3">
      <c r="A24" t="s">
        <v>4</v>
      </c>
      <c r="B24" s="6"/>
      <c r="C24" s="6"/>
      <c r="D24" s="6"/>
      <c r="E24" s="6"/>
      <c r="F24" s="6"/>
    </row>
    <row r="25" spans="1:6" x14ac:dyDescent="0.3">
      <c r="A25" t="s">
        <v>6</v>
      </c>
      <c r="B25" s="6"/>
      <c r="C25" s="6"/>
      <c r="D25" s="6"/>
      <c r="E25" s="6"/>
      <c r="F25" s="6"/>
    </row>
    <row r="26" spans="1:6" x14ac:dyDescent="0.3">
      <c r="A26" s="4" t="s">
        <v>73</v>
      </c>
      <c r="B26" s="6">
        <f>Balance!B31</f>
        <v>436</v>
      </c>
      <c r="C26" s="6">
        <f>Balance!C31*(1+IPC_interanual!$B$2)</f>
        <v>296.70400000000001</v>
      </c>
      <c r="D26" s="6">
        <f>Balance!D31*(1+IPC_interanual!$B$2)*(1+IPC_interanual!$B$3)</f>
        <v>254.15820799999997</v>
      </c>
      <c r="E26" s="6">
        <f>Balance!E31*(1+IPC_interanual!$B$2)*(1+IPC_interanual!$B$3)*(1+IPC_interanual!$B$4)</f>
        <v>257.6289067839362</v>
      </c>
      <c r="F26" s="6">
        <f>Balance!F31*(1+IPC_interanual!$B$2)*(1+IPC_interanual!$B$3)*(1+IPC_interanual!$B$4)*(1+IPC_interanual!$B$5)</f>
        <v>793.99784126427437</v>
      </c>
    </row>
    <row r="27" spans="1:6" x14ac:dyDescent="0.3">
      <c r="A27" s="4" t="s">
        <v>25</v>
      </c>
      <c r="B27" s="6">
        <f>Balance!B28</f>
        <v>10538</v>
      </c>
      <c r="C27" s="6">
        <f>Balance!C28*(1+IPC_interanual!$B$2)</f>
        <v>25424.799999999999</v>
      </c>
      <c r="D27" s="6">
        <f>Balance!D28*(1+IPC_interanual!$B$2)*(1+IPC_interanual!$B$3)</f>
        <v>11974.989056</v>
      </c>
      <c r="E27" s="6">
        <f>Balance!E28*(1+IPC_interanual!$B$2)*(1+IPC_interanual!$B$3)*(1+IPC_interanual!$B$4)</f>
        <v>2787.9619267658882</v>
      </c>
      <c r="F27" s="6">
        <f>Balance!F28*(1+IPC_interanual!$B$2)*(1+IPC_interanual!$B$3)*(1+IPC_interanual!$B$4)*(1+IPC_interanual!$B$5)</f>
        <v>18124.664685334476</v>
      </c>
    </row>
    <row r="28" spans="1:6" x14ac:dyDescent="0.3">
      <c r="A28" s="4" t="s">
        <v>76</v>
      </c>
      <c r="B28" s="6">
        <f>Balance!B33</f>
        <v>1</v>
      </c>
      <c r="C28" s="6"/>
      <c r="D28" s="6">
        <f>Balance!D33*(1+IPC_interanual!$B$2)*(1+IPC_interanual!$B$3)</f>
        <v>2.9553280000000002</v>
      </c>
      <c r="E28" s="6">
        <f>Balance!E33*(1+IPC_interanual!$B$2)*(1+IPC_interanual!$B$3)*(1+IPC_interanual!$B$4)</f>
        <v>6286.6415050030082</v>
      </c>
      <c r="F28" s="6">
        <f>Balance!F33*(1+IPC_interanual!$B$2)*(1+IPC_interanual!$B$3)*(1+IPC_interanual!$B$4)*(1+IPC_interanual!$B$5)</f>
        <v>55585.811507369472</v>
      </c>
    </row>
    <row r="29" spans="1:6" x14ac:dyDescent="0.3">
      <c r="A29" s="4" t="s">
        <v>48</v>
      </c>
      <c r="B29" s="6" t="str">
        <f>Balance!B32</f>
        <v>-</v>
      </c>
      <c r="C29" s="6">
        <f>Balance!C32*(1+IPC_interanual!$B$2)</f>
        <v>345.50400000000002</v>
      </c>
      <c r="D29" s="6"/>
      <c r="E29" s="6">
        <f>Balance!E32*(1+IPC_interanual!$B$2)*(1+IPC_interanual!$B$3)*(1+IPC_interanual!$B$4)</f>
        <v>0</v>
      </c>
      <c r="F29" s="6">
        <f>Balance!F32*(1+IPC_interanual!$B$2)*(1+IPC_interanual!$B$3)*(1+IPC_interanual!$B$4)*(1+IPC_interanual!$B$5)</f>
        <v>0</v>
      </c>
    </row>
    <row r="30" spans="1:6" x14ac:dyDescent="0.3">
      <c r="A30" s="4" t="s">
        <v>26</v>
      </c>
      <c r="B30" s="6">
        <f>Balance!B29</f>
        <v>10707</v>
      </c>
      <c r="C30" s="6">
        <f>Balance!C29*(1+IPC_interanual!$B$2)</f>
        <v>6232.7359999999999</v>
      </c>
      <c r="D30" s="6">
        <f>Balance!D29*(1+IPC_interanual!$B$2)*(1+IPC_interanual!$B$3)</f>
        <v>8913.2692480000005</v>
      </c>
      <c r="E30" s="6">
        <f>Balance!E29*(1+IPC_interanual!$B$2)*(1+IPC_interanual!$B$3)*(1+IPC_interanual!$B$4)</f>
        <v>4827.3943141157761</v>
      </c>
      <c r="F30" s="6">
        <f>Balance!F29*(1+IPC_interanual!$B$2)*(1+IPC_interanual!$B$3)*(1+IPC_interanual!$B$4)*(1+IPC_interanual!$B$5)</f>
        <v>6268.0818958893915</v>
      </c>
    </row>
    <row r="31" spans="1:6" x14ac:dyDescent="0.3">
      <c r="A31" s="4" t="s">
        <v>77</v>
      </c>
      <c r="B31" s="6">
        <f>Balance!B27</f>
        <v>1376</v>
      </c>
      <c r="C31" s="6">
        <f>Balance!C27*(1+IPC_interanual!$B$2)</f>
        <v>1108.7359999999999</v>
      </c>
      <c r="D31" s="6">
        <f>Balance!D27*(1+IPC_interanual!$B$2)*(1+IPC_interanual!$B$3)</f>
        <v>1270.7910400000001</v>
      </c>
      <c r="E31" s="6">
        <f>Balance!E27*(1+IPC_interanual!$B$2)*(1+IPC_interanual!$B$3)*(1+IPC_interanual!$B$4)</f>
        <v>1361.4380100385918</v>
      </c>
      <c r="F31" s="6">
        <f>Balance!F27*(1+IPC_interanual!$B$2)*(1+IPC_interanual!$B$3)*(1+IPC_interanual!$B$4)*(1+IPC_interanual!$B$5)</f>
        <v>2820.8580275290501</v>
      </c>
    </row>
    <row r="32" spans="1:6" x14ac:dyDescent="0.3">
      <c r="A32" s="4" t="s">
        <v>27</v>
      </c>
      <c r="B32" s="6">
        <f>Balance!B26</f>
        <v>44462</v>
      </c>
      <c r="C32" s="6">
        <f>Balance!C26*(1+IPC_interanual!$B$2)</f>
        <v>47661.983999999997</v>
      </c>
      <c r="D32" s="6">
        <f>Balance!D26*(1+IPC_interanual!$B$2)*(1+IPC_interanual!$B$3)</f>
        <v>53550.543359999996</v>
      </c>
      <c r="E32" s="6">
        <f>Balance!E26*(1+IPC_interanual!$B$2)*(1+IPC_interanual!$B$3)*(1+IPC_interanual!$B$4)</f>
        <v>29280.129429803907</v>
      </c>
      <c r="F32" s="6">
        <f>Balance!F26*(1+IPC_interanual!$B$2)*(1+IPC_interanual!$B$3)*(1+IPC_interanual!$B$4)*(1+IPC_interanual!$B$5)</f>
        <v>61010.291905417645</v>
      </c>
    </row>
    <row r="33" spans="1:6" x14ac:dyDescent="0.3">
      <c r="A33" s="4" t="s">
        <v>66</v>
      </c>
      <c r="B33" s="6">
        <f>Balance!B30</f>
        <v>8665</v>
      </c>
      <c r="C33" s="6">
        <f>Balance!C30*(1+IPC_interanual!$B$2)</f>
        <v>11296.224</v>
      </c>
      <c r="D33" s="6">
        <f>Balance!D30*(1+IPC_interanual!$B$2)*(1+IPC_interanual!$B$3)</f>
        <v>5821.9961599999997</v>
      </c>
      <c r="E33" s="6">
        <f>Balance!E30*(1+IPC_interanual!$B$2)*(1+IPC_interanual!$B$3)*(1+IPC_interanual!$B$4)</f>
        <v>4050.2829346560002</v>
      </c>
      <c r="F33" s="6">
        <f>Balance!F30*(1+IPC_interanual!$B$2)*(1+IPC_interanual!$B$3)*(1+IPC_interanual!$B$4)*(1+IPC_interanual!$B$5)</f>
        <v>7689.5968966692462</v>
      </c>
    </row>
    <row r="34" spans="1:6" x14ac:dyDescent="0.3">
      <c r="A34" s="14" t="s">
        <v>57</v>
      </c>
      <c r="B34" s="12">
        <f>SUM(B26:B33)</f>
        <v>76185</v>
      </c>
      <c r="C34" s="12">
        <f t="shared" ref="C34:F34" si="2">SUM(C26:C33)</f>
        <v>92366.688000000009</v>
      </c>
      <c r="D34" s="12">
        <f t="shared" si="2"/>
        <v>81788.702399999995</v>
      </c>
      <c r="E34" s="12">
        <f t="shared" si="2"/>
        <v>48851.477027167108</v>
      </c>
      <c r="F34" s="12">
        <f t="shared" si="2"/>
        <v>152293.30275947356</v>
      </c>
    </row>
    <row r="35" spans="1:6" x14ac:dyDescent="0.3">
      <c r="A35" t="s">
        <v>5</v>
      </c>
      <c r="B35" s="6">
        <f>Balance!B35</f>
        <v>0</v>
      </c>
      <c r="C35" s="6">
        <f>Balance!C35*(1+IPC_interanual!$B$2)</f>
        <v>0</v>
      </c>
      <c r="D35" s="6">
        <f>Balance!D35*(1+IPC_interanual!$B$2)*(1+IPC_interanual!$B$3)</f>
        <v>0</v>
      </c>
      <c r="E35" s="6">
        <f>Balance!E35*(1+IPC_interanual!$B$2)*(1+IPC_interanual!$B$3)*(1+IPC_interanual!$B$4)</f>
        <v>0</v>
      </c>
      <c r="F35" s="6">
        <f>Balance!F35*(1+IPC_interanual!$B$2)*(1+IPC_interanual!$B$3)*(1+IPC_interanual!$B$4)*(1+IPC_interanual!$B$5)</f>
        <v>0</v>
      </c>
    </row>
    <row r="36" spans="1:6" x14ac:dyDescent="0.3">
      <c r="A36" s="4" t="s">
        <v>74</v>
      </c>
      <c r="B36" s="6">
        <f>Balance!B38</f>
        <v>2910</v>
      </c>
      <c r="C36" s="6">
        <f>Balance!C38*(1+IPC_interanual!$B$2)</f>
        <v>2924.096</v>
      </c>
      <c r="D36" s="6">
        <f>Balance!D38*(1+IPC_interanual!$B$2)*(1+IPC_interanual!$B$3)</f>
        <v>3023.3005440000002</v>
      </c>
      <c r="E36" s="6">
        <f>Balance!E38*(1+IPC_interanual!$B$2)*(1+IPC_interanual!$B$3)*(1+IPC_interanual!$B$4)</f>
        <v>3069.769675217472</v>
      </c>
      <c r="F36" s="6">
        <f>Balance!F38*(1+IPC_interanual!$B$2)*(1+IPC_interanual!$B$3)*(1+IPC_interanual!$B$4)*(1+IPC_interanual!$B$5)</f>
        <v>4540.4857931043662</v>
      </c>
    </row>
    <row r="37" spans="1:6" x14ac:dyDescent="0.3">
      <c r="A37" s="4" t="s">
        <v>75</v>
      </c>
      <c r="B37" s="6" t="str">
        <f>Balance!B40</f>
        <v>-</v>
      </c>
      <c r="C37" s="6"/>
      <c r="D37" s="6">
        <f>Balance!D40*(1+IPC_interanual!$B$2)*(1+IPC_interanual!$B$3)</f>
        <v>0</v>
      </c>
      <c r="E37" s="6"/>
      <c r="F37" s="6">
        <f>Balance!F40*(1+IPC_interanual!$B$2)*(1+IPC_interanual!$B$3)*(1+IPC_interanual!$B$4)*(1+IPC_interanual!$B$5)</f>
        <v>7016.7359597086097</v>
      </c>
    </row>
    <row r="38" spans="1:6" x14ac:dyDescent="0.3">
      <c r="A38" s="4" t="s">
        <v>21</v>
      </c>
      <c r="B38" s="6" t="str">
        <f>Balance!B37</f>
        <v>-</v>
      </c>
      <c r="C38" s="6"/>
      <c r="D38" s="6">
        <f>Balance!D37*(1+IPC_interanual!$B$2)*(1+IPC_interanual!$B$3)</f>
        <v>5050.6555520000002</v>
      </c>
      <c r="E38" s="6">
        <f>Balance!E37*(1+IPC_interanual!$B$2)*(1+IPC_interanual!$B$3)*(1+IPC_interanual!$B$4)</f>
        <v>10273.68929826432</v>
      </c>
      <c r="F38" s="6">
        <f>Balance!F37*(1+IPC_interanual!$B$2)*(1+IPC_interanual!$B$3)*(1+IPC_interanual!$B$4)*(1+IPC_interanual!$B$5)</f>
        <v>25026.062751165071</v>
      </c>
    </row>
    <row r="39" spans="1:6" x14ac:dyDescent="0.3">
      <c r="A39" s="4" t="s">
        <v>78</v>
      </c>
      <c r="B39" s="6">
        <f>Balance!B39</f>
        <v>10642</v>
      </c>
      <c r="C39" s="6">
        <f>Balance!C39*(1+IPC_interanual!$B$2)</f>
        <v>12077.023999999999</v>
      </c>
      <c r="D39" s="6">
        <f>Balance!D39*(1+IPC_interanual!$B$2)*(1+IPC_interanual!$B$3)</f>
        <v>16319.321216</v>
      </c>
      <c r="E39" s="6">
        <f>Balance!E39*(1+IPC_interanual!$B$2)*(1+IPC_interanual!$B$3)*(1+IPC_interanual!$B$4)</f>
        <v>17356.805864154434</v>
      </c>
      <c r="F39" s="6">
        <f>Balance!F39*(1+IPC_interanual!$B$2)*(1+IPC_interanual!$B$3)*(1+IPC_interanual!$B$4)*(1+IPC_interanual!$B$5)</f>
        <v>23113.401259238068</v>
      </c>
    </row>
    <row r="40" spans="1:6" x14ac:dyDescent="0.3">
      <c r="A40" s="4" t="s">
        <v>20</v>
      </c>
      <c r="B40" s="6">
        <f>Balance!B36</f>
        <v>726</v>
      </c>
      <c r="C40" s="6">
        <f>Balance!C36*(1+IPC_interanual!$B$2)</f>
        <v>1036.5119999999999</v>
      </c>
      <c r="D40" s="6">
        <f>Balance!D36*(1+IPC_interanual!$B$2)*(1+IPC_interanual!$B$3)</f>
        <v>703.368064</v>
      </c>
      <c r="E40" s="6">
        <f>Balance!E36*(1+IPC_interanual!$B$2)*(1+IPC_interanual!$B$3)*(1+IPC_interanual!$B$4)</f>
        <v>784.90678702579191</v>
      </c>
      <c r="F40" s="6">
        <f>Balance!F36*(1+IPC_interanual!$B$2)*(1+IPC_interanual!$B$3)*(1+IPC_interanual!$B$4)*(1+IPC_interanual!$B$5)</f>
        <v>1094.0860265390984</v>
      </c>
    </row>
    <row r="41" spans="1:6" x14ac:dyDescent="0.3">
      <c r="A41" s="14" t="s">
        <v>58</v>
      </c>
      <c r="B41" s="12">
        <f>SUM(B36:B40)</f>
        <v>14278</v>
      </c>
      <c r="C41" s="12">
        <f t="shared" ref="C41:F41" si="3">SUM(C36:C40)</f>
        <v>16037.632</v>
      </c>
      <c r="D41" s="12">
        <f t="shared" si="3"/>
        <v>25096.645375999997</v>
      </c>
      <c r="E41" s="12">
        <f t="shared" si="3"/>
        <v>31485.17162466202</v>
      </c>
      <c r="F41" s="12">
        <f t="shared" si="3"/>
        <v>60790.771789755221</v>
      </c>
    </row>
    <row r="42" spans="1:6" x14ac:dyDescent="0.3">
      <c r="A42" s="15" t="s">
        <v>82</v>
      </c>
      <c r="B42" s="16">
        <f>+B41+B34</f>
        <v>90463</v>
      </c>
      <c r="C42" s="16">
        <f>+C41+C34</f>
        <v>108404.32</v>
      </c>
      <c r="D42" s="16">
        <f>+D41+D34</f>
        <v>106885.347776</v>
      </c>
      <c r="E42" s="16">
        <f>+E41+E34</f>
        <v>80336.648651829135</v>
      </c>
      <c r="F42" s="16">
        <f>+F41+F34</f>
        <v>213084.07454922877</v>
      </c>
    </row>
    <row r="43" spans="1:6" x14ac:dyDescent="0.3">
      <c r="A43" s="2" t="s">
        <v>16</v>
      </c>
      <c r="B43" s="13"/>
      <c r="C43" s="6"/>
      <c r="D43" s="6"/>
      <c r="E43" s="6"/>
      <c r="F43" s="6"/>
    </row>
    <row r="44" spans="1:6" x14ac:dyDescent="0.3">
      <c r="A44" s="5" t="s">
        <v>64</v>
      </c>
      <c r="B44" s="6">
        <f>Balance!B44</f>
        <v>39341</v>
      </c>
      <c r="C44" s="6">
        <f>Balance!C44*(1+IPC_interanual!$B$2)</f>
        <v>0</v>
      </c>
      <c r="D44" s="6">
        <f>Balance!D44*(1+IPC_interanual!$B$2)*(1+IPC_interanual!$B$3)</f>
        <v>0</v>
      </c>
      <c r="E44" s="6">
        <f>Balance!E44*(1+IPC_interanual!$B$2)*(1+IPC_interanual!$B$3)*(1+IPC_interanual!$B$4)</f>
        <v>17342.503054847999</v>
      </c>
      <c r="F44" s="6">
        <f>Balance!F44*(1+IPC_interanual!$B$2)*(1+IPC_interanual!$B$3)*(1+IPC_interanual!$B$4)*(1+IPC_interanual!$B$5)</f>
        <v>18833.149846215932</v>
      </c>
    </row>
    <row r="45" spans="1:6" ht="28.8" x14ac:dyDescent="0.3">
      <c r="A45" s="5" t="s">
        <v>60</v>
      </c>
      <c r="B45" s="6">
        <f>Balance!B45</f>
        <v>801614</v>
      </c>
      <c r="C45" s="6">
        <f>Balance!C45*(1+IPC_interanual!$B$2)</f>
        <v>853629.12</v>
      </c>
      <c r="D45" s="6">
        <f>Balance!D45*(1+IPC_interanual!$B$2)*(1+IPC_interanual!$B$3)</f>
        <v>707144.973184</v>
      </c>
      <c r="E45" s="6">
        <f>Balance!E45*(1+IPC_interanual!$B$2)*(1+IPC_interanual!$B$3)*(1+IPC_interanual!$B$4)</f>
        <v>607053.89364410762</v>
      </c>
      <c r="F45" s="6">
        <f>Balance!F45*(1+IPC_interanual!$B$2)*(1+IPC_interanual!$B$3)*(1+IPC_interanual!$B$4)*(1+IPC_interanual!$B$5)</f>
        <v>886628.94328491285</v>
      </c>
    </row>
    <row r="46" spans="1:6" x14ac:dyDescent="0.3">
      <c r="A46" s="4" t="s">
        <v>17</v>
      </c>
      <c r="B46" s="6">
        <f>Balance!B46</f>
        <v>2</v>
      </c>
      <c r="C46" s="6">
        <f>Balance!C46*(1+IPC_interanual!$B$2)</f>
        <v>1.952</v>
      </c>
      <c r="D46" s="6">
        <f>Balance!D46*(1+IPC_interanual!$B$2)*(1+IPC_interanual!$B$3)</f>
        <v>2.9553280000000002</v>
      </c>
      <c r="E46" s="6">
        <f>Balance!E46*(1+IPC_interanual!$B$2)*(1+IPC_interanual!$B$3)*(1+IPC_interanual!$B$4)</f>
        <v>1.7715033970559999</v>
      </c>
      <c r="F46" s="6">
        <f>Balance!F46*(1+IPC_interanual!$B$2)*(1+IPC_interanual!$B$3)*(1+IPC_interanual!$B$4)*(1+IPC_interanual!$B$5)</f>
        <v>2.5874372536467836</v>
      </c>
    </row>
    <row r="47" spans="1:6" x14ac:dyDescent="0.3">
      <c r="A47" s="18" t="s">
        <v>83</v>
      </c>
      <c r="B47" s="16">
        <f>SUM(B44:B46)</f>
        <v>840957</v>
      </c>
      <c r="C47" s="16">
        <f t="shared" ref="C47:F47" si="4">SUM(C44:C46)</f>
        <v>853631.07200000004</v>
      </c>
      <c r="D47" s="16">
        <f t="shared" si="4"/>
        <v>707147.92851200001</v>
      </c>
      <c r="E47" s="16">
        <f t="shared" si="4"/>
        <v>624398.16820235271</v>
      </c>
      <c r="F47" s="16">
        <f t="shared" si="4"/>
        <v>905464.68056838249</v>
      </c>
    </row>
    <row r="48" spans="1:6" x14ac:dyDescent="0.3">
      <c r="A48" s="17" t="s">
        <v>84</v>
      </c>
      <c r="B48" s="16">
        <f>+B42+B47</f>
        <v>931420</v>
      </c>
      <c r="C48" s="16">
        <f>+C42+C47</f>
        <v>962035.39199999999</v>
      </c>
      <c r="D48" s="16">
        <f>+D42+D47</f>
        <v>814033.27628800005</v>
      </c>
      <c r="E48" s="16">
        <f>+E42+E47</f>
        <v>704734.81685418182</v>
      </c>
      <c r="F48" s="16">
        <f>+F42+F47</f>
        <v>1118548.7551176113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29E3-5BB1-49E9-B8C7-E110098CC4DC}">
  <dimension ref="A1:F20"/>
  <sheetViews>
    <sheetView workbookViewId="0">
      <selection activeCell="A16" sqref="A16"/>
    </sheetView>
  </sheetViews>
  <sheetFormatPr baseColWidth="10" defaultRowHeight="14.4" x14ac:dyDescent="0.3"/>
  <cols>
    <col min="1" max="1" width="45.44140625" customWidth="1"/>
    <col min="2" max="4" width="13" bestFit="1" customWidth="1"/>
    <col min="5" max="6" width="12.5546875" bestFit="1" customWidth="1"/>
  </cols>
  <sheetData>
    <row r="1" spans="1:6" x14ac:dyDescent="0.3">
      <c r="A1" t="s">
        <v>43</v>
      </c>
    </row>
    <row r="2" spans="1:6" x14ac:dyDescent="0.3">
      <c r="A2" t="s">
        <v>0</v>
      </c>
      <c r="B2">
        <v>2022</v>
      </c>
      <c r="C2">
        <v>2021</v>
      </c>
      <c r="D2">
        <v>2020</v>
      </c>
      <c r="E2">
        <v>2019</v>
      </c>
      <c r="F2">
        <v>2018</v>
      </c>
    </row>
    <row r="3" spans="1:6" x14ac:dyDescent="0.3">
      <c r="A3" t="s">
        <v>30</v>
      </c>
      <c r="B3" s="6">
        <f>+EERR!B3</f>
        <v>500751</v>
      </c>
      <c r="C3" s="6">
        <f>IFERROR(+EERR!C3*(1+IPC_interanual!$B$2),"-")</f>
        <v>639354.17599999998</v>
      </c>
      <c r="D3" s="6">
        <f>IFERROR(+EERR!D3*(1+IPC_interanual!$B$2)*(1+IPC_interanual!$B$3),"-")</f>
        <v>389600.89024000004</v>
      </c>
      <c r="E3" s="6">
        <f>IFERROR(+EERR!E3*(1+IPC_interanual!$B$2)*(1+IPC_interanual!$B$3)*(1+IPC_interanual!$B$4),"-")</f>
        <v>424663.46274239535</v>
      </c>
      <c r="F3" s="6">
        <f>IFERROR(+EERR!F3*(1+IPC_interanual!$B$2)*(1+IPC_interanual!$B$3)*(1+IPC_interanual!$B$4)*(1+IPC_interanual!$B$5),"-")</f>
        <v>688188.20628131507</v>
      </c>
    </row>
    <row r="4" spans="1:6" x14ac:dyDescent="0.3">
      <c r="A4" t="s">
        <v>31</v>
      </c>
      <c r="B4" s="6">
        <f>+EERR!B4</f>
        <v>-340763</v>
      </c>
      <c r="C4" s="6">
        <f>IFERROR(+EERR!C4*(1+IPC_interanual!$B$2),"-")</f>
        <v>-416511.90399999998</v>
      </c>
      <c r="D4" s="6">
        <f>IFERROR(+EERR!D4*(1+IPC_interanual!$B$2)*(1+IPC_interanual!$B$3),"-")</f>
        <v>-289418.22636800003</v>
      </c>
      <c r="E4" s="6">
        <f>IFERROR(+EERR!E4*(1+IPC_interanual!$B$2)*(1+IPC_interanual!$B$3)*(1+IPC_interanual!$B$4),"-")</f>
        <v>-345418.71805689752</v>
      </c>
      <c r="F4" s="6">
        <f>IFERROR(+EERR!F4*(1+IPC_interanual!$B$2)*(1+IPC_interanual!$B$3)*(1+IPC_interanual!$B$4)*(1+IPC_interanual!$B$5),"-")</f>
        <v>-523556.01515683031</v>
      </c>
    </row>
    <row r="5" spans="1:6" x14ac:dyDescent="0.3">
      <c r="A5" s="9" t="s">
        <v>44</v>
      </c>
      <c r="B5" s="12">
        <f>+B3+B4</f>
        <v>159988</v>
      </c>
      <c r="C5" s="12">
        <f>+C3+C4</f>
        <v>222842.272</v>
      </c>
      <c r="D5" s="12">
        <f t="shared" ref="D5:F5" si="0">+D3+D4</f>
        <v>100182.663872</v>
      </c>
      <c r="E5" s="12">
        <f t="shared" si="0"/>
        <v>79244.744685497833</v>
      </c>
      <c r="F5" s="12">
        <f t="shared" si="0"/>
        <v>164632.19112448476</v>
      </c>
    </row>
    <row r="6" spans="1:6" x14ac:dyDescent="0.3">
      <c r="A6" t="s">
        <v>32</v>
      </c>
      <c r="B6" s="6">
        <f>+EERR!B6</f>
        <v>-21133</v>
      </c>
      <c r="C6" s="6">
        <f>IFERROR(+EERR!C6*(1+IPC_interanual!$B$2),"-")</f>
        <v>-25891.327999999998</v>
      </c>
      <c r="D6" s="6">
        <f>IFERROR(+EERR!D6*(1+IPC_interanual!$B$2)*(1+IPC_interanual!$B$3),"-")</f>
        <v>-18547.638527999999</v>
      </c>
      <c r="E6" s="6">
        <f>IFERROR(+EERR!E6*(1+IPC_interanual!$B$2)*(1+IPC_interanual!$B$3)*(1+IPC_interanual!$B$4),"-")</f>
        <v>-23724.41339690208</v>
      </c>
      <c r="F6" s="6">
        <f>IFERROR(+EERR!F6*(1+IPC_interanual!$B$2)*(1+IPC_interanual!$B$3)*(1+IPC_interanual!$B$4)*(1+IPC_interanual!$B$5),"-")</f>
        <v>-36893.667902119247</v>
      </c>
    </row>
    <row r="7" spans="1:6" x14ac:dyDescent="0.3">
      <c r="A7" t="s">
        <v>33</v>
      </c>
      <c r="B7" s="6">
        <f>+EERR!B7</f>
        <v>-20632</v>
      </c>
      <c r="C7" s="6">
        <f>IFERROR(+EERR!C7*(1+IPC_interanual!$B$2),"-")</f>
        <v>-23238.560000000001</v>
      </c>
      <c r="D7" s="6">
        <f>IFERROR(+EERR!D7*(1+IPC_interanual!$B$2)*(1+IPC_interanual!$B$3),"-")</f>
        <v>-20285.371392000001</v>
      </c>
      <c r="E7" s="6">
        <f>IFERROR(+EERR!E7*(1+IPC_interanual!$B$2)*(1+IPC_interanual!$B$3)*(1+IPC_interanual!$B$4),"-")</f>
        <v>-23825.115636989758</v>
      </c>
      <c r="F7" s="6">
        <f>IFERROR(+EERR!F7*(1+IPC_interanual!$B$2)*(1+IPC_interanual!$B$3)*(1+IPC_interanual!$B$4)*(1+IPC_interanual!$B$5),"-")</f>
        <v>-36741.18483174275</v>
      </c>
    </row>
    <row r="8" spans="1:6" x14ac:dyDescent="0.3">
      <c r="A8" t="s">
        <v>34</v>
      </c>
      <c r="B8" s="6">
        <f>+EERR!B8</f>
        <v>478</v>
      </c>
      <c r="C8" s="6">
        <f>IFERROR(+EERR!C8*(1+IPC_interanual!$B$2),"-")</f>
        <v>-23.423999999999999</v>
      </c>
      <c r="D8" s="6">
        <f>IFERROR(+EERR!D8*(1+IPC_interanual!$B$2)*(1+IPC_interanual!$B$3),"-")</f>
        <v>-1164.399232</v>
      </c>
      <c r="E8" s="6">
        <f>IFERROR(+EERR!E8*(1+IPC_interanual!$B$2)*(1+IPC_interanual!$B$3)*(1+IPC_interanual!$B$4),"-")</f>
        <v>-561.58242924614399</v>
      </c>
      <c r="F8" s="6">
        <f>IFERROR(+EERR!F8*(1+IPC_interanual!$B$2)*(1+IPC_interanual!$B$3)*(1+IPC_interanual!$B$4)*(1+IPC_interanual!$B$5),"-")</f>
        <v>-1614.742633436271</v>
      </c>
    </row>
    <row r="9" spans="1:6" x14ac:dyDescent="0.3">
      <c r="A9" s="9" t="s">
        <v>35</v>
      </c>
      <c r="B9" s="12">
        <f>+SUM(B5:B8)</f>
        <v>118701</v>
      </c>
      <c r="C9" s="12">
        <f>+SUM(C5:C8)</f>
        <v>173688.95999999999</v>
      </c>
      <c r="D9" s="12">
        <f>+SUM(D5:D8)</f>
        <v>60185.254720000004</v>
      </c>
      <c r="E9" s="12">
        <f>+SUM(E5:E8)</f>
        <v>31133.633222359855</v>
      </c>
      <c r="F9" s="12">
        <f>+SUM(F5:F8)</f>
        <v>89382.595757186486</v>
      </c>
    </row>
    <row r="10" spans="1:6" x14ac:dyDescent="0.3">
      <c r="A10" t="s">
        <v>36</v>
      </c>
      <c r="B10" s="6">
        <f>+EERR!B10</f>
        <v>3906</v>
      </c>
      <c r="C10" s="6">
        <f>IFERROR(+EERR!C10*(1+IPC_interanual!$B$2),"-")</f>
        <v>9670.2080000000005</v>
      </c>
      <c r="D10" s="6">
        <f>IFERROR(+EERR!D10*(1+IPC_interanual!$B$2)*(1+IPC_interanual!$B$3),"-")</f>
        <v>5588.5252479999999</v>
      </c>
      <c r="E10" s="6">
        <f>IFERROR(+EERR!E10*(1+IPC_interanual!$B$2)*(1+IPC_interanual!$B$3)*(1+IPC_interanual!$B$4),"-")</f>
        <v>1608.3546714483841</v>
      </c>
      <c r="F10" s="6">
        <f>IFERROR(+EERR!F10*(1+IPC_interanual!$B$2)*(1+IPC_interanual!$B$3)*(1+IPC_interanual!$B$4)*(1+IPC_interanual!$B$5),"-")</f>
        <v>1946.3284740845277</v>
      </c>
    </row>
    <row r="11" spans="1:6" x14ac:dyDescent="0.3">
      <c r="A11" t="s">
        <v>37</v>
      </c>
      <c r="B11" s="6">
        <f>+EERR!B11</f>
        <v>-1460</v>
      </c>
      <c r="C11" s="6">
        <f>IFERROR(+EERR!C11*(1+IPC_interanual!$B$2),"-")</f>
        <v>-1044.32</v>
      </c>
      <c r="D11" s="6">
        <f>IFERROR(+EERR!D11*(1+IPC_interanual!$B$2)*(1+IPC_interanual!$B$3),"-")</f>
        <v>-1838.2140160000001</v>
      </c>
      <c r="E11" s="6">
        <f>IFERROR(+EERR!E11*(1+IPC_interanual!$B$2)*(1+IPC_interanual!$B$3)*(1+IPC_interanual!$B$4),"-")</f>
        <v>-4040.4861641917441</v>
      </c>
      <c r="F11" s="6">
        <f>IFERROR(+EERR!F11*(1+IPC_interanual!$B$2)*(1+IPC_interanual!$B$3)*(1+IPC_interanual!$B$4)*(1+IPC_interanual!$B$5),"-")</f>
        <v>-17431.140607776801</v>
      </c>
    </row>
    <row r="12" spans="1:6" x14ac:dyDescent="0.3">
      <c r="A12" t="s">
        <v>38</v>
      </c>
      <c r="B12" s="6">
        <f>+EERR!B12</f>
        <v>3199</v>
      </c>
      <c r="C12" s="6">
        <f>IFERROR(+EERR!C12*(1+IPC_interanual!$B$2),"-")</f>
        <v>5797.44</v>
      </c>
      <c r="D12" s="6">
        <f>IFERROR(+EERR!D12*(1+IPC_interanual!$B$2)*(1+IPC_interanual!$B$3),"-")</f>
        <v>-4028.1120639999999</v>
      </c>
      <c r="E12" s="6">
        <f>IFERROR(+EERR!E12*(1+IPC_interanual!$B$2)*(1+IPC_interanual!$B$3)*(1+IPC_interanual!$B$4),"-")</f>
        <v>1759.5546660892801</v>
      </c>
      <c r="F12" s="6">
        <f>IFERROR(+EERR!F12*(1+IPC_interanual!$B$2)*(1+IPC_interanual!$B$3)*(1+IPC_interanual!$B$4)*(1+IPC_interanual!$B$5),"-")</f>
        <v>-29064.664491498261</v>
      </c>
    </row>
    <row r="13" spans="1:6" ht="28.8" x14ac:dyDescent="0.3">
      <c r="A13" s="11" t="s">
        <v>79</v>
      </c>
      <c r="B13" s="12">
        <f>SUM(B9:B12)</f>
        <v>124346</v>
      </c>
      <c r="C13" s="12">
        <f>SUM(C9:C12)</f>
        <v>188112.288</v>
      </c>
      <c r="D13" s="12">
        <f>SUM(D9:D12)</f>
        <v>59907.453888000004</v>
      </c>
      <c r="E13" s="12">
        <f>SUM(E9:E12)</f>
        <v>30461.056395705775</v>
      </c>
      <c r="F13" s="12">
        <f>SUM(F9:F12)</f>
        <v>44833.119131995947</v>
      </c>
    </row>
    <row r="14" spans="1:6" x14ac:dyDescent="0.3">
      <c r="A14" t="s">
        <v>80</v>
      </c>
      <c r="B14" s="6">
        <f>+EERR!B14</f>
        <v>-2187</v>
      </c>
      <c r="C14" s="6">
        <f>IFERROR(+EERR!C14*(1+IPC_interanual!$B$2),"-")</f>
        <v>131383.264</v>
      </c>
      <c r="D14" s="6">
        <f>IFERROR(+EERR!D14*(1+IPC_interanual!$B$2)*(1+IPC_interanual!$B$3),"-")</f>
        <v>18305.301631999999</v>
      </c>
      <c r="E14" s="6">
        <f>IFERROR(+EERR!E14*(1+IPC_interanual!$B$2)*(1+IPC_interanual!$B$3)*(1+IPC_interanual!$B$4),"-")</f>
        <v>24216.18987349555</v>
      </c>
      <c r="F14" s="6">
        <f>IFERROR(+EERR!F14*(1+IPC_interanual!$B$2)*(1+IPC_interanual!$B$3)*(1+IPC_interanual!$B$4)*(1+IPC_interanual!$B$5),"-")</f>
        <v>80363.710545921305</v>
      </c>
    </row>
    <row r="15" spans="1:6" x14ac:dyDescent="0.3">
      <c r="A15" s="9" t="s">
        <v>81</v>
      </c>
      <c r="B15" s="12">
        <f>B13+B14</f>
        <v>122159</v>
      </c>
      <c r="C15" s="12">
        <f>C13+C14</f>
        <v>319495.55200000003</v>
      </c>
      <c r="D15" s="12">
        <f>D13+D14</f>
        <v>78212.755520000006</v>
      </c>
      <c r="E15" s="12">
        <f>E13+E14</f>
        <v>54677.246269201321</v>
      </c>
      <c r="F15" s="12">
        <f>F13+F14</f>
        <v>125196.82967791725</v>
      </c>
    </row>
    <row r="16" spans="1:6" x14ac:dyDescent="0.3">
      <c r="A16" t="s">
        <v>41</v>
      </c>
      <c r="B16" s="6">
        <f>+EERR!B16</f>
        <v>-38849</v>
      </c>
      <c r="C16" s="6">
        <f>IFERROR(+EERR!C16*(1+IPC_interanual!$B$2),"-")</f>
        <v>-55989.216</v>
      </c>
      <c r="D16" s="6">
        <f>IFERROR(+EERR!D16*(1+IPC_interanual!$B$2)*(1+IPC_interanual!$B$3),"-")</f>
        <v>-22457.537472</v>
      </c>
      <c r="E16" s="6">
        <f>IFERROR(+EERR!E16*(1+IPC_interanual!$B$2)*(1+IPC_interanual!$B$3)*(1+IPC_interanual!$B$4),"-")</f>
        <v>-10699.143382576511</v>
      </c>
      <c r="F16" s="6">
        <f>IFERROR(+EERR!F16*(1+IPC_interanual!$B$2)*(1+IPC_interanual!$B$3)*(1+IPC_interanual!$B$4)*(1+IPC_interanual!$B$5),"-")</f>
        <v>-1524.4065337234692</v>
      </c>
    </row>
    <row r="17" spans="1:6" x14ac:dyDescent="0.3">
      <c r="A17" s="10" t="s">
        <v>42</v>
      </c>
      <c r="B17" s="12">
        <f>+B15+B16</f>
        <v>83310</v>
      </c>
      <c r="C17" s="12">
        <f>+C15+C16</f>
        <v>263506.33600000001</v>
      </c>
      <c r="D17" s="12">
        <f t="shared" ref="D17:F17" si="1">+D15+D16</f>
        <v>55755.21804800001</v>
      </c>
      <c r="E17" s="12">
        <f t="shared" si="1"/>
        <v>43978.102886624809</v>
      </c>
      <c r="F17" s="12">
        <f t="shared" si="1"/>
        <v>123672.42314419379</v>
      </c>
    </row>
    <row r="19" spans="1:6" x14ac:dyDescent="0.3">
      <c r="B19" s="6"/>
    </row>
    <row r="20" spans="1:6" x14ac:dyDescent="0.3">
      <c r="C2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4BE43-54D0-4025-9639-1D0447EEDB7F}">
  <dimension ref="A1:D7"/>
  <sheetViews>
    <sheetView workbookViewId="0">
      <selection activeCell="A13" sqref="A13"/>
    </sheetView>
  </sheetViews>
  <sheetFormatPr baseColWidth="10" defaultRowHeight="14.4" x14ac:dyDescent="0.3"/>
  <cols>
    <col min="1" max="1" width="23.88671875" bestFit="1" customWidth="1"/>
    <col min="2" max="2" width="30.109375" bestFit="1" customWidth="1"/>
    <col min="3" max="3" width="17.33203125" bestFit="1" customWidth="1"/>
    <col min="4" max="4" width="13.5546875" bestFit="1" customWidth="1"/>
  </cols>
  <sheetData>
    <row r="1" spans="1:4" x14ac:dyDescent="0.3">
      <c r="A1" t="s">
        <v>54</v>
      </c>
    </row>
    <row r="2" spans="1:4" x14ac:dyDescent="0.3">
      <c r="A2" t="s">
        <v>49</v>
      </c>
      <c r="B2" t="s">
        <v>51</v>
      </c>
      <c r="C2" t="s">
        <v>52</v>
      </c>
      <c r="D2" t="s">
        <v>53</v>
      </c>
    </row>
    <row r="3" spans="1:4" x14ac:dyDescent="0.3">
      <c r="A3">
        <v>2022</v>
      </c>
      <c r="B3" s="8">
        <v>495845</v>
      </c>
      <c r="C3" s="8">
        <v>4395</v>
      </c>
      <c r="D3" s="8">
        <v>511</v>
      </c>
    </row>
    <row r="4" spans="1:4" x14ac:dyDescent="0.3">
      <c r="A4">
        <v>2021</v>
      </c>
      <c r="B4" s="8" t="e">
        <f>+#REF!*(1+IPC_interanual!$B$2)</f>
        <v>#REF!</v>
      </c>
      <c r="C4" s="8" t="e">
        <f>+#REF!*(1+IPC_interanual!$B$2)</f>
        <v>#REF!</v>
      </c>
      <c r="D4" s="8" t="e">
        <f>+#REF!*(1+IPC_interanual!$B$2)</f>
        <v>#REF!</v>
      </c>
    </row>
    <row r="5" spans="1:4" x14ac:dyDescent="0.3">
      <c r="A5">
        <v>2020</v>
      </c>
      <c r="B5" s="8" t="e">
        <f>+#REF!*(1+IPC_interanual!$B$2)*(1+IPC_interanual!$B$3)</f>
        <v>#REF!</v>
      </c>
      <c r="C5" s="8" t="e">
        <f>+#REF!*(1+IPC_interanual!$B$2)*(1+IPC_interanual!$B$3)</f>
        <v>#REF!</v>
      </c>
      <c r="D5" s="8" t="e">
        <f>+#REF!*(1+IPC_interanual!$B$2)*(1+IPC_interanual!$B$3)</f>
        <v>#REF!</v>
      </c>
    </row>
    <row r="6" spans="1:4" x14ac:dyDescent="0.3">
      <c r="A6">
        <v>2019</v>
      </c>
      <c r="B6" s="8" t="e">
        <f>+#REF!*(1+IPC_interanual!$B$2)*(1+IPC_interanual!$B$3)*(1+IPC_interanual!$B$4)</f>
        <v>#REF!</v>
      </c>
      <c r="C6" s="8" t="e">
        <f>+#REF!*(1+IPC_interanual!$B$2)*(1+IPC_interanual!$B$3)*(1+IPC_interanual!$B$4)</f>
        <v>#REF!</v>
      </c>
      <c r="D6" s="8" t="e">
        <f>+#REF!*(1+IPC_interanual!$B$2)*(1+IPC_interanual!$B$3)*(1+IPC_interanual!$B$4)</f>
        <v>#REF!</v>
      </c>
    </row>
    <row r="7" spans="1:4" x14ac:dyDescent="0.3">
      <c r="A7">
        <v>2018</v>
      </c>
      <c r="B7" s="8" t="e">
        <f>+#REF!*(1+IPC_interanual!$B$2)*(1+IPC_interanual!$B$3)*(1+IPC_interanual!$B$4)*(1+IPC_interanual!$B$5)</f>
        <v>#REF!</v>
      </c>
      <c r="C7" s="8" t="e">
        <f>+#REF!*(1+IPC_interanual!$B$2)*(1+IPC_interanual!$B$3)*(1+IPC_interanual!$B$4)*(1+IPC_interanual!$B$5)</f>
        <v>#REF!</v>
      </c>
      <c r="D7" s="8" t="e">
        <f>+#REF!*(1+IPC_interanual!$B$2)*(1+IPC_interanual!$B$3)*(1+IPC_interanual!$B$4)*(1+IPC_interanual!$B$5)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A7" zoomScaleNormal="100" workbookViewId="0">
      <selection activeCell="B14" sqref="B14"/>
    </sheetView>
  </sheetViews>
  <sheetFormatPr baseColWidth="10" defaultColWidth="9.109375" defaultRowHeight="14.4" x14ac:dyDescent="0.3"/>
  <cols>
    <col min="1" max="1" width="45" customWidth="1"/>
    <col min="2" max="4" width="13" bestFit="1" customWidth="1"/>
    <col min="5" max="6" width="16.88671875" bestFit="1" customWidth="1"/>
  </cols>
  <sheetData>
    <row r="1" spans="1:9" x14ac:dyDescent="0.3">
      <c r="A1" t="s">
        <v>46</v>
      </c>
    </row>
    <row r="2" spans="1:9" x14ac:dyDescent="0.3">
      <c r="A2" t="s">
        <v>0</v>
      </c>
      <c r="B2">
        <v>2022</v>
      </c>
      <c r="C2">
        <v>2021</v>
      </c>
      <c r="D2">
        <v>2020</v>
      </c>
      <c r="E2">
        <v>2019</v>
      </c>
      <c r="F2">
        <v>2018</v>
      </c>
    </row>
    <row r="3" spans="1:9" x14ac:dyDescent="0.3">
      <c r="A3" t="s">
        <v>1</v>
      </c>
    </row>
    <row r="4" spans="1:9" x14ac:dyDescent="0.3">
      <c r="A4" s="3" t="s">
        <v>3</v>
      </c>
      <c r="B4" s="6"/>
      <c r="C4" s="6"/>
      <c r="D4" s="6"/>
      <c r="E4" s="6"/>
      <c r="F4" s="6"/>
    </row>
    <row r="5" spans="1:9" x14ac:dyDescent="0.3">
      <c r="A5" s="4" t="s">
        <v>10</v>
      </c>
      <c r="B5" s="6">
        <v>10281</v>
      </c>
      <c r="C5">
        <v>6205</v>
      </c>
      <c r="D5">
        <v>1444</v>
      </c>
      <c r="E5">
        <v>646</v>
      </c>
      <c r="F5">
        <v>506</v>
      </c>
    </row>
    <row r="6" spans="1:9" x14ac:dyDescent="0.3">
      <c r="A6" s="4" t="s">
        <v>65</v>
      </c>
      <c r="B6" s="6">
        <v>1689</v>
      </c>
      <c r="C6" s="6">
        <v>938</v>
      </c>
      <c r="D6" s="6">
        <v>704</v>
      </c>
      <c r="E6" s="6">
        <v>390.21800000000007</v>
      </c>
      <c r="F6" s="6">
        <v>521.27800000000002</v>
      </c>
      <c r="G6" s="6"/>
    </row>
    <row r="7" spans="1:9" x14ac:dyDescent="0.3">
      <c r="A7" s="4" t="s">
        <v>13</v>
      </c>
      <c r="B7" s="6">
        <v>122688</v>
      </c>
      <c r="C7" s="6">
        <v>77093</v>
      </c>
      <c r="D7" s="6">
        <v>40737</v>
      </c>
      <c r="E7" s="6">
        <v>27755.885999999999</v>
      </c>
      <c r="F7" s="6">
        <v>39643.472999999998</v>
      </c>
      <c r="G7" s="6"/>
      <c r="H7" s="6"/>
    </row>
    <row r="8" spans="1:9" x14ac:dyDescent="0.3">
      <c r="A8" s="4" t="s">
        <v>11</v>
      </c>
      <c r="B8" s="6">
        <v>19514</v>
      </c>
      <c r="C8" s="6">
        <v>10150</v>
      </c>
      <c r="D8" s="6">
        <v>5185</v>
      </c>
      <c r="E8" s="6">
        <v>5828.4319999999998</v>
      </c>
      <c r="F8" s="6">
        <v>6290.5519999999997</v>
      </c>
      <c r="G8" s="6"/>
    </row>
    <row r="9" spans="1:9" x14ac:dyDescent="0.3">
      <c r="A9" s="4" t="s">
        <v>12</v>
      </c>
      <c r="B9" s="6">
        <v>206387</v>
      </c>
      <c r="C9" s="6">
        <v>77328</v>
      </c>
      <c r="D9" s="6">
        <v>21573</v>
      </c>
      <c r="E9" s="6">
        <v>573.86099999999999</v>
      </c>
      <c r="F9" s="6">
        <v>1449.087</v>
      </c>
      <c r="G9" s="6"/>
    </row>
    <row r="10" spans="1:9" x14ac:dyDescent="0.3">
      <c r="A10" s="4" t="s">
        <v>14</v>
      </c>
      <c r="B10" s="6">
        <v>24411</v>
      </c>
      <c r="C10" s="6">
        <v>15499</v>
      </c>
      <c r="D10" s="6">
        <v>14915</v>
      </c>
      <c r="E10" s="6">
        <v>4773.04</v>
      </c>
      <c r="F10" s="6">
        <v>3237.0709999999999</v>
      </c>
      <c r="G10" s="6"/>
    </row>
    <row r="11" spans="1:9" x14ac:dyDescent="0.3">
      <c r="A11" s="14" t="s">
        <v>56</v>
      </c>
      <c r="B11" s="12">
        <f>SUM(B5:B10)</f>
        <v>384970</v>
      </c>
      <c r="C11" s="12">
        <f>SUM(C5:C10)</f>
        <v>187213</v>
      </c>
      <c r="D11" s="12">
        <f>SUM(D5:D10)</f>
        <v>84558</v>
      </c>
      <c r="E11" s="12">
        <f>SUM(E5:E10)</f>
        <v>39967.436999999998</v>
      </c>
      <c r="F11" s="12">
        <f>SUM(F5:F10)</f>
        <v>51647.460999999996</v>
      </c>
    </row>
    <row r="12" spans="1:9" x14ac:dyDescent="0.3">
      <c r="A12" s="1" t="s">
        <v>2</v>
      </c>
    </row>
    <row r="13" spans="1:9" x14ac:dyDescent="0.3">
      <c r="A13" s="4" t="s">
        <v>59</v>
      </c>
      <c r="B13" s="6">
        <f>+B14+B15</f>
        <v>128108</v>
      </c>
      <c r="C13" s="6">
        <f t="shared" ref="C13:F13" si="0">+C14+C15</f>
        <v>74225</v>
      </c>
      <c r="D13" s="6">
        <f t="shared" si="0"/>
        <v>66530</v>
      </c>
      <c r="E13" s="6">
        <f t="shared" si="0"/>
        <v>51327.050999999999</v>
      </c>
      <c r="F13" s="6">
        <f t="shared" si="0"/>
        <v>53934.110999999997</v>
      </c>
      <c r="G13" s="6"/>
    </row>
    <row r="14" spans="1:9" x14ac:dyDescent="0.3">
      <c r="A14" s="4" t="s">
        <v>62</v>
      </c>
      <c r="B14" s="6">
        <v>-15908</v>
      </c>
      <c r="C14" s="6">
        <v>-11135</v>
      </c>
      <c r="D14" s="6">
        <v>-8481</v>
      </c>
      <c r="E14" s="6">
        <v>-7038</v>
      </c>
      <c r="F14" s="6">
        <v>-6627</v>
      </c>
      <c r="G14" s="6"/>
    </row>
    <row r="15" spans="1:9" x14ac:dyDescent="0.3">
      <c r="A15" s="4" t="s">
        <v>7</v>
      </c>
      <c r="B15" s="6">
        <v>144016</v>
      </c>
      <c r="C15" s="6">
        <v>85360</v>
      </c>
      <c r="D15" s="6">
        <v>75011</v>
      </c>
      <c r="E15" s="6">
        <v>58365.050999999999</v>
      </c>
      <c r="F15" s="6">
        <v>60561.110999999997</v>
      </c>
      <c r="G15" s="6"/>
      <c r="I15" s="6"/>
    </row>
    <row r="16" spans="1:9" x14ac:dyDescent="0.3">
      <c r="A16" s="4" t="s">
        <v>8</v>
      </c>
      <c r="B16" s="6">
        <v>6046</v>
      </c>
      <c r="C16" s="6">
        <v>2177</v>
      </c>
      <c r="D16" s="6">
        <v>1575</v>
      </c>
      <c r="E16" s="6">
        <v>1140.924</v>
      </c>
      <c r="F16" s="6">
        <v>832.78700000000003</v>
      </c>
      <c r="G16" s="6"/>
    </row>
    <row r="17" spans="1:8" x14ac:dyDescent="0.3">
      <c r="A17" s="4" t="s">
        <v>63</v>
      </c>
      <c r="B17" s="6">
        <v>378680</v>
      </c>
      <c r="C17" s="6">
        <v>210116</v>
      </c>
      <c r="D17" s="6">
        <v>113978</v>
      </c>
      <c r="E17" s="6">
        <v>78231.89</v>
      </c>
      <c r="F17" s="6">
        <v>70934.869000000006</v>
      </c>
      <c r="G17" s="6"/>
    </row>
    <row r="18" spans="1:8" x14ac:dyDescent="0.3">
      <c r="A18" s="4" t="s">
        <v>9</v>
      </c>
      <c r="B18" s="6">
        <v>5164</v>
      </c>
      <c r="C18" s="6">
        <v>1232</v>
      </c>
      <c r="D18" s="6" t="s">
        <v>19</v>
      </c>
      <c r="E18" s="6">
        <v>0.60899999999999999</v>
      </c>
      <c r="F18" s="7" t="s">
        <v>19</v>
      </c>
      <c r="G18" s="6"/>
    </row>
    <row r="19" spans="1:8" x14ac:dyDescent="0.3">
      <c r="A19" s="4" t="s">
        <v>10</v>
      </c>
      <c r="B19" s="6">
        <v>1849</v>
      </c>
      <c r="C19" s="6">
        <v>388</v>
      </c>
      <c r="D19" s="6">
        <v>103</v>
      </c>
      <c r="E19" s="6">
        <v>64.754000000000005</v>
      </c>
      <c r="F19" s="6">
        <v>107.631</v>
      </c>
      <c r="G19" s="6"/>
    </row>
    <row r="20" spans="1:8" x14ac:dyDescent="0.3">
      <c r="A20" s="4" t="s">
        <v>11</v>
      </c>
      <c r="B20" s="6" t="s">
        <v>19</v>
      </c>
      <c r="C20" s="6">
        <v>23</v>
      </c>
      <c r="D20" s="6" t="s">
        <v>19</v>
      </c>
      <c r="E20" s="6">
        <v>53.698</v>
      </c>
      <c r="F20" s="6">
        <v>276.28800000000001</v>
      </c>
      <c r="G20" s="6"/>
    </row>
    <row r="21" spans="1:8" x14ac:dyDescent="0.3">
      <c r="A21" s="4" t="s">
        <v>12</v>
      </c>
      <c r="B21" s="6">
        <v>10695</v>
      </c>
      <c r="C21" s="6">
        <v>6337</v>
      </c>
      <c r="D21" s="6">
        <v>221</v>
      </c>
      <c r="E21" s="6">
        <v>0</v>
      </c>
      <c r="F21" s="6">
        <v>231.892</v>
      </c>
      <c r="G21" s="6"/>
    </row>
    <row r="22" spans="1:8" x14ac:dyDescent="0.3">
      <c r="A22" s="14" t="s">
        <v>55</v>
      </c>
      <c r="B22" s="12">
        <f>SUM(B15:B21)</f>
        <v>546450</v>
      </c>
      <c r="C22" s="12">
        <f>SUM(C15:C21)</f>
        <v>305633</v>
      </c>
      <c r="D22" s="12">
        <f>SUM(D15:D21)</f>
        <v>190888</v>
      </c>
      <c r="E22" s="12">
        <f>SUM(E15:E21)</f>
        <v>137856.92599999998</v>
      </c>
      <c r="F22" s="12">
        <f>SUM(F15:F21)</f>
        <v>132944.57799999998</v>
      </c>
    </row>
    <row r="23" spans="1:8" x14ac:dyDescent="0.3">
      <c r="A23" s="15" t="s">
        <v>15</v>
      </c>
      <c r="B23" s="16">
        <f>+B22+B11</f>
        <v>931420</v>
      </c>
      <c r="C23" s="16">
        <f>+C22+C11</f>
        <v>492846</v>
      </c>
      <c r="D23" s="16">
        <f>+D22+D11</f>
        <v>275446</v>
      </c>
      <c r="E23" s="16">
        <f>+E22+E11</f>
        <v>177824.36299999998</v>
      </c>
      <c r="F23" s="16">
        <f>+F22+F11</f>
        <v>184592.03899999999</v>
      </c>
    </row>
    <row r="24" spans="1:8" x14ac:dyDescent="0.3">
      <c r="A24" t="s">
        <v>4</v>
      </c>
      <c r="B24" s="6"/>
      <c r="C24" s="6"/>
      <c r="D24" s="6"/>
      <c r="E24" s="6"/>
      <c r="F24" s="6"/>
    </row>
    <row r="25" spans="1:8" x14ac:dyDescent="0.3">
      <c r="A25" t="s">
        <v>6</v>
      </c>
      <c r="B25" s="6"/>
      <c r="C25" s="6"/>
      <c r="D25" s="6"/>
      <c r="E25" s="6"/>
      <c r="F25" s="6"/>
    </row>
    <row r="26" spans="1:8" x14ac:dyDescent="0.3">
      <c r="A26" s="4" t="s">
        <v>27</v>
      </c>
      <c r="B26" s="6">
        <v>44462</v>
      </c>
      <c r="C26" s="6">
        <v>24417</v>
      </c>
      <c r="D26" s="6">
        <v>18120</v>
      </c>
      <c r="E26" s="6">
        <v>7388.1980000000003</v>
      </c>
      <c r="F26" s="6">
        <v>10068.415999999999</v>
      </c>
    </row>
    <row r="27" spans="1:8" x14ac:dyDescent="0.3">
      <c r="A27" s="4" t="s">
        <v>23</v>
      </c>
      <c r="B27" s="6">
        <v>1376</v>
      </c>
      <c r="C27" s="6">
        <v>568</v>
      </c>
      <c r="D27" s="6">
        <v>430</v>
      </c>
      <c r="E27" s="6">
        <v>343.529</v>
      </c>
      <c r="F27" s="6">
        <v>465.52100000000002</v>
      </c>
      <c r="H27" s="6"/>
    </row>
    <row r="28" spans="1:8" x14ac:dyDescent="0.3">
      <c r="A28" s="4" t="s">
        <v>25</v>
      </c>
      <c r="B28" s="6">
        <v>10538</v>
      </c>
      <c r="C28" s="6">
        <v>13025</v>
      </c>
      <c r="D28" s="6">
        <v>4052</v>
      </c>
      <c r="E28" s="6">
        <v>703.48099999999999</v>
      </c>
      <c r="F28" s="6">
        <v>2991.08</v>
      </c>
    </row>
    <row r="29" spans="1:8" x14ac:dyDescent="0.3">
      <c r="A29" s="4" t="s">
        <v>26</v>
      </c>
      <c r="B29" s="6">
        <v>10707</v>
      </c>
      <c r="C29" s="6">
        <v>3193</v>
      </c>
      <c r="D29" s="6">
        <v>3016</v>
      </c>
      <c r="E29" s="6">
        <v>1218.087</v>
      </c>
      <c r="F29" s="6">
        <v>1034.4100000000001</v>
      </c>
    </row>
    <row r="30" spans="1:8" x14ac:dyDescent="0.3">
      <c r="A30" s="4" t="s">
        <v>66</v>
      </c>
      <c r="B30" s="6">
        <v>8665</v>
      </c>
      <c r="C30" s="6">
        <v>5787</v>
      </c>
      <c r="D30" s="6">
        <v>1970</v>
      </c>
      <c r="E30" s="6">
        <v>1022</v>
      </c>
      <c r="F30" s="6">
        <v>1269</v>
      </c>
    </row>
    <row r="31" spans="1:8" x14ac:dyDescent="0.3">
      <c r="A31" s="4" t="s">
        <v>47</v>
      </c>
      <c r="B31" s="6">
        <v>436</v>
      </c>
      <c r="C31" s="6">
        <v>152</v>
      </c>
      <c r="D31" s="6">
        <v>86</v>
      </c>
      <c r="E31" s="6">
        <v>65.007000000000062</v>
      </c>
      <c r="F31" s="6">
        <v>131.03199999999993</v>
      </c>
    </row>
    <row r="32" spans="1:8" x14ac:dyDescent="0.3">
      <c r="A32" s="4" t="s">
        <v>48</v>
      </c>
      <c r="B32" s="6" t="s">
        <v>19</v>
      </c>
      <c r="C32" s="6">
        <v>177</v>
      </c>
      <c r="D32" s="6" t="s">
        <v>19</v>
      </c>
      <c r="E32" s="6"/>
      <c r="F32" s="6"/>
    </row>
    <row r="33" spans="1:8" x14ac:dyDescent="0.3">
      <c r="A33" s="4" t="s">
        <v>24</v>
      </c>
      <c r="B33" s="6">
        <v>1</v>
      </c>
      <c r="C33" s="7" t="s">
        <v>19</v>
      </c>
      <c r="D33" s="6">
        <v>1</v>
      </c>
      <c r="E33" s="6">
        <v>1586.296</v>
      </c>
      <c r="F33" s="6">
        <v>9173.2240000000002</v>
      </c>
    </row>
    <row r="34" spans="1:8" x14ac:dyDescent="0.3">
      <c r="A34" s="14" t="s">
        <v>57</v>
      </c>
      <c r="B34" s="12">
        <f>SUM(B26:B33)</f>
        <v>76185</v>
      </c>
      <c r="C34" s="12">
        <f>SUM(C26:C33)</f>
        <v>47319</v>
      </c>
      <c r="D34" s="12">
        <f>SUM(D26:D33)</f>
        <v>27675</v>
      </c>
      <c r="E34" s="12">
        <f>SUM(E26:E33)</f>
        <v>12326.598</v>
      </c>
      <c r="F34" s="12">
        <f>SUM(F26:F33)</f>
        <v>25132.682999999997</v>
      </c>
    </row>
    <row r="35" spans="1:8" x14ac:dyDescent="0.3">
      <c r="A35" t="s">
        <v>5</v>
      </c>
      <c r="B35" s="6"/>
      <c r="C35" s="6"/>
      <c r="D35" s="6"/>
      <c r="E35" s="6"/>
      <c r="F35" s="6"/>
      <c r="H35" s="6"/>
    </row>
    <row r="36" spans="1:8" x14ac:dyDescent="0.3">
      <c r="A36" s="4" t="s">
        <v>20</v>
      </c>
      <c r="B36" s="6">
        <v>726</v>
      </c>
      <c r="C36" s="6">
        <v>531</v>
      </c>
      <c r="D36" s="6">
        <v>238</v>
      </c>
      <c r="E36" s="6">
        <v>198.054</v>
      </c>
      <c r="F36" s="6">
        <v>180.55500000000001</v>
      </c>
      <c r="G36" s="6"/>
    </row>
    <row r="37" spans="1:8" x14ac:dyDescent="0.3">
      <c r="A37" s="4" t="s">
        <v>21</v>
      </c>
      <c r="B37" s="6" t="s">
        <v>19</v>
      </c>
      <c r="C37" s="7" t="s">
        <v>19</v>
      </c>
      <c r="D37" s="6">
        <v>1709</v>
      </c>
      <c r="E37" s="6">
        <v>2592.34</v>
      </c>
      <c r="F37" s="6">
        <v>4130.0050000000001</v>
      </c>
    </row>
    <row r="38" spans="1:8" x14ac:dyDescent="0.3">
      <c r="A38" s="4" t="s">
        <v>22</v>
      </c>
      <c r="B38" s="6">
        <v>2910</v>
      </c>
      <c r="C38" s="6">
        <v>1498</v>
      </c>
      <c r="D38" s="6">
        <v>1023</v>
      </c>
      <c r="E38" s="6">
        <v>774.58900000000006</v>
      </c>
      <c r="F38" s="6">
        <v>749.30799999999999</v>
      </c>
    </row>
    <row r="39" spans="1:8" x14ac:dyDescent="0.3">
      <c r="A39" s="4" t="s">
        <v>23</v>
      </c>
      <c r="B39" s="6">
        <v>10642</v>
      </c>
      <c r="C39" s="6">
        <v>6187</v>
      </c>
      <c r="D39" s="6">
        <v>5522</v>
      </c>
      <c r="E39" s="6">
        <v>4379.6090000000004</v>
      </c>
      <c r="F39" s="6">
        <v>3814.3620000000001</v>
      </c>
    </row>
    <row r="40" spans="1:8" x14ac:dyDescent="0.3">
      <c r="A40" s="4" t="s">
        <v>24</v>
      </c>
      <c r="B40" s="6" t="s">
        <v>19</v>
      </c>
      <c r="C40" s="6" t="s">
        <v>19</v>
      </c>
      <c r="D40" s="6"/>
      <c r="E40" s="6" t="s">
        <v>19</v>
      </c>
      <c r="F40" s="6">
        <v>1157.9590000000001</v>
      </c>
    </row>
    <row r="41" spans="1:8" x14ac:dyDescent="0.3">
      <c r="A41" s="14" t="s">
        <v>58</v>
      </c>
      <c r="B41" s="12">
        <f>SUM(B36:B40)</f>
        <v>14278</v>
      </c>
      <c r="C41" s="12">
        <f>SUM(C36:C40)</f>
        <v>8216</v>
      </c>
      <c r="D41" s="12">
        <f>SUM(D36:D40)</f>
        <v>8492</v>
      </c>
      <c r="E41" s="12">
        <f>SUM(E36:E40)</f>
        <v>7944.5920000000006</v>
      </c>
      <c r="F41" s="12">
        <f>SUM(F36:F40)</f>
        <v>10032.189</v>
      </c>
    </row>
    <row r="42" spans="1:8" x14ac:dyDescent="0.3">
      <c r="A42" s="15" t="s">
        <v>28</v>
      </c>
      <c r="B42" s="16">
        <f>+B41+B34</f>
        <v>90463</v>
      </c>
      <c r="C42" s="16">
        <f>+C41+C34</f>
        <v>55535</v>
      </c>
      <c r="D42" s="16">
        <f>+D41+D34</f>
        <v>36167</v>
      </c>
      <c r="E42" s="16">
        <f>+E41+E34</f>
        <v>20271.190000000002</v>
      </c>
      <c r="F42" s="16">
        <f>+F41+F34</f>
        <v>35164.871999999996</v>
      </c>
    </row>
    <row r="43" spans="1:8" x14ac:dyDescent="0.3">
      <c r="A43" s="2" t="s">
        <v>16</v>
      </c>
      <c r="B43" s="13"/>
      <c r="C43" s="6"/>
      <c r="D43" s="6"/>
      <c r="E43" s="6"/>
      <c r="F43" s="6"/>
    </row>
    <row r="44" spans="1:8" x14ac:dyDescent="0.3">
      <c r="A44" s="5" t="s">
        <v>64</v>
      </c>
      <c r="B44" s="13">
        <v>39341</v>
      </c>
      <c r="C44" s="6"/>
      <c r="D44" s="6"/>
      <c r="E44" s="6">
        <v>4376</v>
      </c>
      <c r="F44" s="6">
        <v>3108</v>
      </c>
    </row>
    <row r="45" spans="1:8" ht="28.8" x14ac:dyDescent="0.3">
      <c r="A45" s="5" t="s">
        <v>60</v>
      </c>
      <c r="B45" s="6">
        <f>840955-B44</f>
        <v>801614</v>
      </c>
      <c r="C45" s="6">
        <v>437310</v>
      </c>
      <c r="D45" s="6">
        <v>239278</v>
      </c>
      <c r="E45" s="6">
        <f>157552.726-E44</f>
        <v>153176.726</v>
      </c>
      <c r="F45" s="6">
        <f>149426.74-F44</f>
        <v>146318.74</v>
      </c>
    </row>
    <row r="46" spans="1:8" x14ac:dyDescent="0.3">
      <c r="A46" s="4" t="s">
        <v>17</v>
      </c>
      <c r="B46" s="6">
        <v>2</v>
      </c>
      <c r="C46" s="6">
        <v>1</v>
      </c>
      <c r="D46" s="6">
        <v>1</v>
      </c>
      <c r="E46" s="6">
        <v>0.44700000000000001</v>
      </c>
      <c r="F46" s="6">
        <v>0.42699999999999999</v>
      </c>
    </row>
    <row r="47" spans="1:8" x14ac:dyDescent="0.3">
      <c r="A47" s="18" t="s">
        <v>18</v>
      </c>
      <c r="B47" s="16">
        <f>SUM(B44:B46)</f>
        <v>840957</v>
      </c>
      <c r="C47" s="16">
        <f>SUM(C44:C46)</f>
        <v>437311</v>
      </c>
      <c r="D47" s="16">
        <f>SUM(D44:D46)</f>
        <v>239279</v>
      </c>
      <c r="E47" s="16">
        <f>SUM(E44:E46)</f>
        <v>157553.17299999998</v>
      </c>
      <c r="F47" s="16">
        <f>SUM(F44:F46)</f>
        <v>149427.16699999999</v>
      </c>
    </row>
    <row r="48" spans="1:8" x14ac:dyDescent="0.3">
      <c r="A48" s="17" t="s">
        <v>29</v>
      </c>
      <c r="B48" s="16">
        <f>+B42+B47</f>
        <v>931420</v>
      </c>
      <c r="C48" s="16">
        <f>+C42+C47</f>
        <v>492846</v>
      </c>
      <c r="D48" s="16">
        <f>+D42+D47</f>
        <v>275446</v>
      </c>
      <c r="E48" s="16">
        <f>+E42+E47</f>
        <v>177824.36299999998</v>
      </c>
      <c r="F48" s="16">
        <f>+F42+F47</f>
        <v>184592.03899999999</v>
      </c>
    </row>
  </sheetData>
  <pageMargins left="0.7" right="0.7" top="0.75" bottom="0.75" header="0.3" footer="0.3"/>
  <pageSetup orientation="portrait" horizontalDpi="0" verticalDpi="0" r:id="rId1"/>
  <ignoredErrors>
    <ignoredError sqref="C22 E22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72AA6-1E6D-4C26-B9B8-1BAB1CF6AE21}">
  <dimension ref="A1:I21"/>
  <sheetViews>
    <sheetView workbookViewId="0">
      <selection activeCell="A21" sqref="A21"/>
    </sheetView>
  </sheetViews>
  <sheetFormatPr baseColWidth="10" defaultRowHeight="14.4" x14ac:dyDescent="0.3"/>
  <cols>
    <col min="1" max="1" width="45.44140625" customWidth="1"/>
    <col min="2" max="4" width="13" bestFit="1" customWidth="1"/>
    <col min="5" max="6" width="12.5546875" bestFit="1" customWidth="1"/>
  </cols>
  <sheetData>
    <row r="1" spans="1:9" x14ac:dyDescent="0.3">
      <c r="A1" t="s">
        <v>43</v>
      </c>
    </row>
    <row r="2" spans="1:9" x14ac:dyDescent="0.3">
      <c r="A2" t="s">
        <v>0</v>
      </c>
      <c r="B2">
        <v>2022</v>
      </c>
      <c r="C2">
        <v>2021</v>
      </c>
      <c r="D2">
        <v>2020</v>
      </c>
      <c r="E2">
        <v>2019</v>
      </c>
      <c r="F2">
        <v>2018</v>
      </c>
    </row>
    <row r="3" spans="1:9" x14ac:dyDescent="0.3">
      <c r="A3" t="s">
        <v>30</v>
      </c>
      <c r="B3" s="6">
        <v>500751</v>
      </c>
      <c r="C3" s="6">
        <v>327538</v>
      </c>
      <c r="D3" s="6">
        <v>131830</v>
      </c>
      <c r="E3" s="8">
        <v>107154.504</v>
      </c>
      <c r="F3" s="8">
        <v>113570.431</v>
      </c>
      <c r="H3" s="6">
        <f>+B3-C3</f>
        <v>173213</v>
      </c>
    </row>
    <row r="4" spans="1:9" x14ac:dyDescent="0.3">
      <c r="A4" t="s">
        <v>31</v>
      </c>
      <c r="B4" s="6">
        <f>-340763</f>
        <v>-340763</v>
      </c>
      <c r="C4" s="6">
        <f>-213377</f>
        <v>-213377</v>
      </c>
      <c r="D4" s="6">
        <f>-97931</f>
        <v>-97931</v>
      </c>
      <c r="E4" s="8">
        <f>-87158.832</f>
        <v>-87158.831999999995</v>
      </c>
      <c r="F4" s="8">
        <f>-86401.484</f>
        <v>-86401.483999999997</v>
      </c>
      <c r="H4" s="6">
        <f t="shared" ref="H4:H17" si="0">+B4-C4</f>
        <v>-127386</v>
      </c>
    </row>
    <row r="5" spans="1:9" x14ac:dyDescent="0.3">
      <c r="A5" s="9" t="s">
        <v>44</v>
      </c>
      <c r="B5" s="12">
        <f>+B3+B4</f>
        <v>159988</v>
      </c>
      <c r="C5" s="12">
        <f t="shared" ref="C5:F5" si="1">+C3+C4</f>
        <v>114161</v>
      </c>
      <c r="D5" s="12">
        <f t="shared" si="1"/>
        <v>33899</v>
      </c>
      <c r="E5" s="12">
        <f t="shared" si="1"/>
        <v>19995.672000000006</v>
      </c>
      <c r="F5" s="12">
        <f t="shared" si="1"/>
        <v>27168.947</v>
      </c>
      <c r="H5" s="6">
        <f t="shared" si="0"/>
        <v>45827</v>
      </c>
    </row>
    <row r="6" spans="1:9" x14ac:dyDescent="0.3">
      <c r="A6" t="s">
        <v>32</v>
      </c>
      <c r="B6" s="6">
        <v>-21133</v>
      </c>
      <c r="C6" s="6">
        <v>-13264</v>
      </c>
      <c r="D6" s="6">
        <v>-6276</v>
      </c>
      <c r="E6" s="8">
        <v>-5986.335</v>
      </c>
      <c r="F6" s="8">
        <v>-6088.4939999999997</v>
      </c>
      <c r="H6" s="6">
        <f t="shared" si="0"/>
        <v>-7869</v>
      </c>
    </row>
    <row r="7" spans="1:9" x14ac:dyDescent="0.3">
      <c r="A7" t="s">
        <v>33</v>
      </c>
      <c r="B7" s="6">
        <v>-20632</v>
      </c>
      <c r="C7" s="6">
        <v>-11905</v>
      </c>
      <c r="D7" s="6">
        <v>-6864</v>
      </c>
      <c r="E7" s="8">
        <v>-6011.7449999999999</v>
      </c>
      <c r="F7" s="8">
        <v>-6063.33</v>
      </c>
      <c r="H7" s="6">
        <f t="shared" si="0"/>
        <v>-8727</v>
      </c>
    </row>
    <row r="8" spans="1:9" x14ac:dyDescent="0.3">
      <c r="A8" t="s">
        <v>34</v>
      </c>
      <c r="B8" s="6">
        <v>478</v>
      </c>
      <c r="C8" s="6">
        <v>-12</v>
      </c>
      <c r="D8" s="6">
        <v>-394</v>
      </c>
      <c r="E8" s="8">
        <v>-141.703</v>
      </c>
      <c r="F8" s="8">
        <v>-266.47800000000001</v>
      </c>
      <c r="H8" s="6">
        <f t="shared" si="0"/>
        <v>490</v>
      </c>
    </row>
    <row r="9" spans="1:9" x14ac:dyDescent="0.3">
      <c r="A9" s="9" t="s">
        <v>35</v>
      </c>
      <c r="B9" s="12">
        <f>+SUM(B5:B8)</f>
        <v>118701</v>
      </c>
      <c r="C9" s="12">
        <f t="shared" ref="C9:F9" si="2">+SUM(C5:C8)</f>
        <v>88980</v>
      </c>
      <c r="D9" s="12">
        <f t="shared" si="2"/>
        <v>20365</v>
      </c>
      <c r="E9" s="12">
        <f t="shared" si="2"/>
        <v>7855.8890000000065</v>
      </c>
      <c r="F9" s="12">
        <f t="shared" si="2"/>
        <v>14750.645000000002</v>
      </c>
      <c r="H9" s="6">
        <f t="shared" si="0"/>
        <v>29721</v>
      </c>
    </row>
    <row r="10" spans="1:9" x14ac:dyDescent="0.3">
      <c r="A10" t="s">
        <v>36</v>
      </c>
      <c r="B10" s="6">
        <v>3906</v>
      </c>
      <c r="C10" s="6">
        <v>4954</v>
      </c>
      <c r="D10" s="6">
        <v>1891</v>
      </c>
      <c r="E10" s="8">
        <v>405.83300000000003</v>
      </c>
      <c r="F10" s="8">
        <v>321.19900000000001</v>
      </c>
      <c r="H10" s="6">
        <f t="shared" si="0"/>
        <v>-1048</v>
      </c>
    </row>
    <row r="11" spans="1:9" x14ac:dyDescent="0.3">
      <c r="A11" t="s">
        <v>61</v>
      </c>
      <c r="B11" s="6">
        <v>-1460</v>
      </c>
      <c r="C11" s="6">
        <v>-535</v>
      </c>
      <c r="D11" s="6">
        <v>-622</v>
      </c>
      <c r="E11" s="8">
        <v>-1019.528</v>
      </c>
      <c r="F11" s="8">
        <v>-2876.6289999999999</v>
      </c>
      <c r="H11" s="6">
        <f t="shared" si="0"/>
        <v>-925</v>
      </c>
    </row>
    <row r="12" spans="1:9" x14ac:dyDescent="0.3">
      <c r="A12" t="s">
        <v>38</v>
      </c>
      <c r="B12" s="6">
        <v>3199</v>
      </c>
      <c r="C12" s="6">
        <v>2970</v>
      </c>
      <c r="D12" s="6">
        <v>-1363</v>
      </c>
      <c r="E12" s="8">
        <v>443.98500000000001</v>
      </c>
      <c r="F12" s="8">
        <v>-4796.4880000000003</v>
      </c>
      <c r="H12" s="6">
        <f t="shared" si="0"/>
        <v>229</v>
      </c>
      <c r="I12" s="20"/>
    </row>
    <row r="13" spans="1:9" ht="28.8" x14ac:dyDescent="0.3">
      <c r="A13" s="11" t="s">
        <v>39</v>
      </c>
      <c r="B13" s="12">
        <f>SUM(B9:B12)</f>
        <v>124346</v>
      </c>
      <c r="C13" s="12">
        <f>SUM(C9:C12)</f>
        <v>96369</v>
      </c>
      <c r="D13" s="12">
        <f>SUM(D9:D12)</f>
        <v>20271</v>
      </c>
      <c r="E13" s="10">
        <f>SUM(E9:E12)</f>
        <v>7686.1790000000065</v>
      </c>
      <c r="F13" s="10">
        <f>SUM(F9:F12)</f>
        <v>7398.7270000000035</v>
      </c>
      <c r="H13" s="6">
        <f t="shared" si="0"/>
        <v>27977</v>
      </c>
    </row>
    <row r="14" spans="1:9" x14ac:dyDescent="0.3">
      <c r="A14" t="s">
        <v>40</v>
      </c>
      <c r="B14" s="6">
        <v>-2187</v>
      </c>
      <c r="C14" s="6">
        <v>67307</v>
      </c>
      <c r="D14" s="6">
        <v>6194</v>
      </c>
      <c r="E14" s="8">
        <v>6110.424</v>
      </c>
      <c r="F14" s="8">
        <v>13262.275</v>
      </c>
      <c r="H14" s="6">
        <f t="shared" si="0"/>
        <v>-69494</v>
      </c>
    </row>
    <row r="15" spans="1:9" x14ac:dyDescent="0.3">
      <c r="A15" s="9" t="s">
        <v>45</v>
      </c>
      <c r="B15" s="12">
        <f>B13+B14</f>
        <v>122159</v>
      </c>
      <c r="C15" s="12">
        <f>C13+C14</f>
        <v>163676</v>
      </c>
      <c r="D15" s="12">
        <f>D13+D14</f>
        <v>26465</v>
      </c>
      <c r="E15" s="10">
        <f>E13+E14</f>
        <v>13796.603000000006</v>
      </c>
      <c r="F15" s="10">
        <f>F13+F14</f>
        <v>20661.002000000004</v>
      </c>
      <c r="H15" s="6">
        <f t="shared" si="0"/>
        <v>-41517</v>
      </c>
    </row>
    <row r="16" spans="1:9" x14ac:dyDescent="0.3">
      <c r="A16" t="s">
        <v>41</v>
      </c>
      <c r="B16" s="6">
        <v>-38849</v>
      </c>
      <c r="C16" s="6">
        <v>-28683</v>
      </c>
      <c r="D16" s="6">
        <v>-7599</v>
      </c>
      <c r="E16" s="8">
        <v>-2699.694</v>
      </c>
      <c r="F16" s="8">
        <v>-251.57</v>
      </c>
      <c r="H16" s="6">
        <f t="shared" si="0"/>
        <v>-10166</v>
      </c>
    </row>
    <row r="17" spans="1:8" x14ac:dyDescent="0.3">
      <c r="A17" s="10" t="s">
        <v>42</v>
      </c>
      <c r="B17" s="12">
        <f>+B15+B16</f>
        <v>83310</v>
      </c>
      <c r="C17" s="12">
        <f>+C15+C16</f>
        <v>134993</v>
      </c>
      <c r="D17" s="12">
        <f t="shared" ref="D17:E17" si="3">+D15+D16</f>
        <v>18866</v>
      </c>
      <c r="E17" s="10">
        <f t="shared" si="3"/>
        <v>11096.909000000007</v>
      </c>
      <c r="F17" s="10">
        <f>+F15+F16</f>
        <v>20409.432000000004</v>
      </c>
      <c r="H17" s="6">
        <f t="shared" si="0"/>
        <v>-51683</v>
      </c>
    </row>
    <row r="21" spans="1:8" x14ac:dyDescent="0.3">
      <c r="B21" s="6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30E0-2D9C-4F75-9A6D-7CE6C6DBE36F}">
  <dimension ref="A1:B6"/>
  <sheetViews>
    <sheetView workbookViewId="0">
      <selection activeCell="G15" sqref="G15"/>
    </sheetView>
  </sheetViews>
  <sheetFormatPr baseColWidth="10" defaultRowHeight="14.4" x14ac:dyDescent="0.3"/>
  <sheetData>
    <row r="1" spans="1:2" x14ac:dyDescent="0.3">
      <c r="A1" t="s">
        <v>49</v>
      </c>
      <c r="B1" t="s">
        <v>50</v>
      </c>
    </row>
    <row r="2" spans="1:2" x14ac:dyDescent="0.3">
      <c r="A2">
        <v>2022</v>
      </c>
      <c r="B2" s="21">
        <v>0.95199999999999996</v>
      </c>
    </row>
    <row r="3" spans="1:2" x14ac:dyDescent="0.3">
      <c r="A3">
        <v>2021</v>
      </c>
      <c r="B3" s="21">
        <v>0.51400000000000001</v>
      </c>
    </row>
    <row r="4" spans="1:2" x14ac:dyDescent="0.3">
      <c r="A4">
        <v>2020</v>
      </c>
      <c r="B4" s="21">
        <v>0.34100000000000003</v>
      </c>
    </row>
    <row r="5" spans="1:2" x14ac:dyDescent="0.3">
      <c r="A5">
        <v>2019</v>
      </c>
      <c r="B5" s="21">
        <v>0.52900000000000003</v>
      </c>
    </row>
    <row r="6" spans="1:2" x14ac:dyDescent="0.3">
      <c r="B6" s="1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Volumen ventas</vt:lpstr>
      <vt:lpstr>Balanceadj</vt:lpstr>
      <vt:lpstr>EERRadj</vt:lpstr>
      <vt:lpstr>VentasMundoadj</vt:lpstr>
      <vt:lpstr>Balance</vt:lpstr>
      <vt:lpstr>EERR</vt:lpstr>
      <vt:lpstr>IPC_interanual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Lucas</cp:lastModifiedBy>
  <cp:lastPrinted>2023-11-08T17:25:21Z</cp:lastPrinted>
  <dcterms:created xsi:type="dcterms:W3CDTF">2015-06-05T18:17:20Z</dcterms:created>
  <dcterms:modified xsi:type="dcterms:W3CDTF">2023-12-01T19:03:18Z</dcterms:modified>
</cp:coreProperties>
</file>