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us e Lucas\Downloads\"/>
    </mc:Choice>
  </mc:AlternateContent>
  <bookViews>
    <workbookView xWindow="360" yWindow="48" windowWidth="14352" windowHeight="4176"/>
  </bookViews>
  <sheets>
    <sheet name="JAN_2016" sheetId="1" r:id="rId1"/>
    <sheet name="JAN_2017" sheetId="2" r:id="rId2"/>
    <sheet name="EM_PR_LC" sheetId="3" r:id="rId3"/>
  </sheets>
  <calcPr calcId="152511"/>
</workbook>
</file>

<file path=xl/calcChain.xml><?xml version="1.0" encoding="utf-8"?>
<calcChain xmlns="http://schemas.openxmlformats.org/spreadsheetml/2006/main">
  <c r="M2" i="1" l="1"/>
  <c r="I3" i="1"/>
  <c r="I4" i="1"/>
  <c r="I5" i="1"/>
  <c r="I6" i="1"/>
  <c r="I7" i="1"/>
  <c r="I8" i="1"/>
  <c r="I9" i="1"/>
  <c r="I10" i="1"/>
  <c r="J10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J34" i="1" s="1"/>
  <c r="I35" i="1"/>
  <c r="I36" i="1"/>
  <c r="I37" i="1"/>
  <c r="I38" i="1"/>
  <c r="J38" i="1" s="1"/>
  <c r="I39" i="1"/>
  <c r="I40" i="1"/>
  <c r="I41" i="1"/>
  <c r="I42" i="1"/>
  <c r="J42" i="1" s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J178" i="1" s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" i="1"/>
  <c r="L2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N14" i="1"/>
  <c r="N15" i="1"/>
  <c r="N16" i="1"/>
  <c r="N17" i="1"/>
  <c r="N18" i="1"/>
  <c r="N19" i="1"/>
  <c r="N20" i="1"/>
  <c r="N7" i="1"/>
  <c r="N8" i="1"/>
  <c r="N9" i="1"/>
  <c r="N10" i="1"/>
  <c r="N11" i="1"/>
  <c r="N12" i="1"/>
  <c r="N3" i="1"/>
  <c r="N4" i="1"/>
  <c r="N5" i="1"/>
  <c r="N6" i="1"/>
  <c r="N2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11" i="1"/>
  <c r="M12" i="1"/>
  <c r="M13" i="1"/>
  <c r="M14" i="1"/>
  <c r="M15" i="1"/>
  <c r="M16" i="1"/>
  <c r="M17" i="1"/>
  <c r="M18" i="1"/>
  <c r="M3" i="1"/>
  <c r="M4" i="1"/>
  <c r="M5" i="1"/>
  <c r="M6" i="1"/>
  <c r="M7" i="1"/>
  <c r="M8" i="1"/>
  <c r="M9" i="1"/>
  <c r="M1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3" i="1"/>
  <c r="L4" i="1"/>
  <c r="L5" i="1"/>
  <c r="L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3" i="1"/>
  <c r="K4" i="1"/>
  <c r="K5" i="1"/>
  <c r="K6" i="1"/>
  <c r="K7" i="1"/>
  <c r="K2" i="1"/>
  <c r="J207" i="1" l="1"/>
  <c r="J199" i="1"/>
  <c r="J187" i="1"/>
  <c r="J175" i="1"/>
  <c r="J163" i="1"/>
  <c r="J151" i="1"/>
  <c r="J139" i="1"/>
  <c r="J123" i="1"/>
  <c r="J91" i="1"/>
  <c r="J206" i="1"/>
  <c r="J202" i="1"/>
  <c r="J198" i="1"/>
  <c r="J194" i="1"/>
  <c r="J190" i="1"/>
  <c r="J186" i="1"/>
  <c r="J182" i="1"/>
  <c r="J174" i="1"/>
  <c r="J166" i="1"/>
  <c r="J158" i="1"/>
  <c r="J150" i="1"/>
  <c r="J138" i="1"/>
  <c r="J130" i="1"/>
  <c r="J122" i="1"/>
  <c r="J114" i="1"/>
  <c r="J106" i="1"/>
  <c r="J98" i="1"/>
  <c r="J86" i="1"/>
  <c r="J78" i="1"/>
  <c r="J70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195" i="1"/>
  <c r="J183" i="1"/>
  <c r="J171" i="1"/>
  <c r="J159" i="1"/>
  <c r="J147" i="1"/>
  <c r="J135" i="1"/>
  <c r="J127" i="1"/>
  <c r="J115" i="1"/>
  <c r="J87" i="1"/>
  <c r="J170" i="1"/>
  <c r="J162" i="1"/>
  <c r="J154" i="1"/>
  <c r="J146" i="1"/>
  <c r="J142" i="1"/>
  <c r="J134" i="1"/>
  <c r="J126" i="1"/>
  <c r="J118" i="1"/>
  <c r="J110" i="1"/>
  <c r="J102" i="1"/>
  <c r="J94" i="1"/>
  <c r="J90" i="1"/>
  <c r="J82" i="1"/>
  <c r="J74" i="1"/>
  <c r="J46" i="1"/>
  <c r="J30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203" i="1"/>
  <c r="J191" i="1"/>
  <c r="J179" i="1"/>
  <c r="J167" i="1"/>
  <c r="J155" i="1"/>
  <c r="J143" i="1"/>
  <c r="J131" i="1"/>
  <c r="J119" i="1"/>
  <c r="J111" i="1"/>
  <c r="J107" i="1"/>
  <c r="J103" i="1"/>
  <c r="J99" i="1"/>
  <c r="J95" i="1"/>
  <c r="J83" i="1"/>
  <c r="J79" i="1"/>
  <c r="J75" i="1"/>
  <c r="J71" i="1"/>
  <c r="J67" i="1"/>
  <c r="J66" i="1"/>
  <c r="J58" i="1"/>
  <c r="J50" i="1"/>
  <c r="J18" i="1"/>
  <c r="J65" i="1"/>
  <c r="J61" i="1"/>
  <c r="J57" i="1"/>
  <c r="J53" i="1"/>
  <c r="J49" i="1"/>
  <c r="J62" i="1"/>
  <c r="J64" i="1"/>
  <c r="J60" i="1"/>
  <c r="J56" i="1"/>
  <c r="J52" i="1"/>
  <c r="J48" i="1"/>
  <c r="J54" i="1"/>
  <c r="J14" i="1"/>
  <c r="J63" i="1"/>
  <c r="J59" i="1"/>
  <c r="J55" i="1"/>
  <c r="J51" i="1"/>
  <c r="J47" i="1"/>
  <c r="J43" i="1"/>
  <c r="J39" i="1"/>
  <c r="J35" i="1"/>
  <c r="J31" i="1"/>
  <c r="J11" i="1"/>
  <c r="J7" i="1"/>
  <c r="J45" i="1"/>
  <c r="J41" i="1"/>
  <c r="J37" i="1"/>
  <c r="J33" i="1"/>
  <c r="J29" i="1"/>
  <c r="J26" i="1"/>
  <c r="J22" i="1"/>
  <c r="J6" i="1"/>
  <c r="J44" i="1"/>
  <c r="J40" i="1"/>
  <c r="J36" i="1"/>
  <c r="J32" i="1"/>
  <c r="J28" i="1"/>
  <c r="J12" i="1"/>
  <c r="J8" i="1"/>
  <c r="J27" i="1"/>
  <c r="J19" i="1"/>
  <c r="J3" i="1"/>
  <c r="J24" i="1"/>
  <c r="J20" i="1"/>
  <c r="J16" i="1"/>
  <c r="J4" i="1"/>
  <c r="J23" i="1"/>
  <c r="J15" i="1"/>
  <c r="J25" i="1"/>
  <c r="J21" i="1"/>
  <c r="J17" i="1"/>
  <c r="J13" i="1"/>
  <c r="J9" i="1"/>
  <c r="J5" i="1"/>
  <c r="J2" i="1"/>
  <c r="E27" i="3"/>
  <c r="E265" i="3"/>
  <c r="E32" i="3"/>
  <c r="E20" i="3"/>
  <c r="E499" i="3"/>
  <c r="E272" i="3"/>
  <c r="E247" i="3"/>
  <c r="E240" i="3"/>
  <c r="E171" i="3"/>
  <c r="E55" i="3"/>
  <c r="E75" i="3"/>
  <c r="E78" i="3"/>
  <c r="E209" i="3"/>
  <c r="E136" i="3"/>
  <c r="E332" i="3"/>
  <c r="E303" i="3" l="1"/>
  <c r="E117" i="3"/>
  <c r="L389" i="3" l="1"/>
  <c r="O389" i="3" s="1"/>
  <c r="L431" i="3"/>
  <c r="O431" i="3" s="1"/>
  <c r="L434" i="3"/>
  <c r="O434" i="3" s="1"/>
  <c r="L365" i="3"/>
  <c r="L422" i="3"/>
  <c r="O422" i="3" s="1"/>
  <c r="L577" i="3"/>
  <c r="O577" i="3" s="1"/>
  <c r="L392" i="3"/>
  <c r="O392" i="3" s="1"/>
  <c r="L100" i="3"/>
  <c r="L341" i="3"/>
  <c r="O341" i="3" s="1"/>
  <c r="L516" i="3"/>
  <c r="O516" i="3" s="1"/>
  <c r="L316" i="3"/>
  <c r="O316" i="3" s="1"/>
  <c r="L55" i="3"/>
  <c r="O55" i="3" s="1"/>
  <c r="L209" i="3"/>
  <c r="O209" i="3" s="1"/>
  <c r="L153" i="3"/>
  <c r="O153" i="3" s="1"/>
  <c r="L255" i="3"/>
  <c r="O255" i="3" s="1"/>
  <c r="L323" i="3"/>
  <c r="O323" i="3" s="1"/>
  <c r="L152" i="3"/>
  <c r="O152" i="3" s="1"/>
  <c r="L98" i="3"/>
  <c r="O98" i="3" s="1"/>
  <c r="L75" i="3"/>
  <c r="O75" i="3" s="1"/>
  <c r="L59" i="3"/>
  <c r="O59" i="3" s="1"/>
  <c r="L10" i="3"/>
  <c r="O10" i="3" s="1"/>
  <c r="L32" i="3"/>
  <c r="L156" i="3"/>
  <c r="L515" i="3"/>
  <c r="O515" i="3" s="1"/>
  <c r="L344" i="3"/>
  <c r="O344" i="3" s="1"/>
  <c r="L351" i="3"/>
  <c r="O351" i="3" s="1"/>
  <c r="L122" i="3"/>
  <c r="L278" i="3"/>
  <c r="O278" i="3" s="1"/>
  <c r="L378" i="3"/>
  <c r="O378" i="3" s="1"/>
  <c r="L78" i="3"/>
  <c r="O78" i="3" s="1"/>
  <c r="L253" i="3"/>
  <c r="O253" i="3" s="1"/>
  <c r="L88" i="3"/>
  <c r="O88" i="3" s="1"/>
  <c r="L488" i="3"/>
  <c r="O488" i="3" s="1"/>
  <c r="L250" i="3"/>
  <c r="O250" i="3" s="1"/>
  <c r="L283" i="3"/>
  <c r="O283" i="3" s="1"/>
  <c r="L580" i="3"/>
  <c r="O580" i="3" s="1"/>
  <c r="L191" i="3"/>
  <c r="O191" i="3" s="1"/>
  <c r="L477" i="3"/>
  <c r="O477" i="3" s="1"/>
  <c r="L81" i="3"/>
  <c r="O81" i="3" s="1"/>
  <c r="L501" i="3"/>
  <c r="O501" i="3" s="1"/>
  <c r="L518" i="3"/>
  <c r="O518" i="3" s="1"/>
  <c r="L566" i="3"/>
  <c r="O566" i="3" s="1"/>
  <c r="L243" i="3"/>
  <c r="O243" i="3" s="1"/>
  <c r="L416" i="3"/>
  <c r="O416" i="3" s="1"/>
  <c r="L525" i="3"/>
  <c r="O525" i="3" s="1"/>
  <c r="L324" i="3"/>
  <c r="O324" i="3" s="1"/>
  <c r="L30" i="3"/>
  <c r="L33" i="3"/>
  <c r="L533" i="3"/>
  <c r="O533" i="3" s="1"/>
  <c r="L558" i="3"/>
  <c r="O558" i="3" s="1"/>
  <c r="L207" i="3"/>
  <c r="L391" i="3"/>
  <c r="O391" i="3" s="1"/>
  <c r="L383" i="3"/>
  <c r="O383" i="3" s="1"/>
  <c r="L511" i="3"/>
  <c r="O511" i="3" s="1"/>
  <c r="L41" i="3"/>
  <c r="O41" i="3" s="1"/>
  <c r="L203" i="3"/>
  <c r="O203" i="3" s="1"/>
  <c r="L363" i="3"/>
  <c r="O363" i="3" s="1"/>
  <c r="L540" i="3"/>
  <c r="O540" i="3" s="1"/>
  <c r="L346" i="3"/>
  <c r="L362" i="3"/>
  <c r="O362" i="3" s="1"/>
  <c r="L212" i="3"/>
  <c r="L315" i="3"/>
  <c r="O315" i="3" s="1"/>
  <c r="L374" i="3"/>
  <c r="O374" i="3" s="1"/>
  <c r="L183" i="3"/>
  <c r="O183" i="3" s="1"/>
  <c r="L424" i="3"/>
  <c r="O424" i="3" s="1"/>
  <c r="L186" i="3"/>
  <c r="O186" i="3" s="1"/>
  <c r="L432" i="3"/>
  <c r="O432" i="3" s="1"/>
  <c r="L227" i="3"/>
  <c r="O227" i="3" s="1"/>
  <c r="L437" i="3"/>
  <c r="O437" i="3" s="1"/>
  <c r="L265" i="3"/>
  <c r="O265" i="3" s="1"/>
  <c r="L557" i="3"/>
  <c r="O557" i="3" s="1"/>
  <c r="L509" i="3"/>
  <c r="O509" i="3" s="1"/>
  <c r="L472" i="3"/>
  <c r="O472" i="3" s="1"/>
  <c r="L400" i="3"/>
  <c r="L120" i="3"/>
  <c r="L219" i="3"/>
  <c r="O219" i="3" s="1"/>
  <c r="L575" i="3"/>
  <c r="O575" i="3" s="1"/>
  <c r="L512" i="3"/>
  <c r="O512" i="3" s="1"/>
  <c r="L573" i="3"/>
  <c r="O573" i="3" s="1"/>
  <c r="L232" i="3"/>
  <c r="L548" i="3"/>
  <c r="O548" i="3" s="1"/>
  <c r="L74" i="3"/>
  <c r="O74" i="3" s="1"/>
  <c r="L273" i="3"/>
  <c r="O273" i="3" s="1"/>
  <c r="L182" i="3"/>
  <c r="O182" i="3" s="1"/>
  <c r="L493" i="3"/>
  <c r="O493" i="3" s="1"/>
  <c r="L309" i="3"/>
  <c r="O309" i="3" s="1"/>
  <c r="L173" i="3"/>
  <c r="O173" i="3" s="1"/>
  <c r="L418" i="3"/>
  <c r="O418" i="3" s="1"/>
  <c r="L401" i="3"/>
  <c r="O401" i="3" s="1"/>
  <c r="L241" i="3"/>
  <c r="O241" i="3" s="1"/>
  <c r="L438" i="3"/>
  <c r="O438" i="3" s="1"/>
  <c r="L453" i="3"/>
  <c r="O453" i="3" s="1"/>
  <c r="L554" i="3"/>
  <c r="O554" i="3" s="1"/>
  <c r="L420" i="3"/>
  <c r="O420" i="3" s="1"/>
  <c r="L513" i="3"/>
  <c r="O513" i="3" s="1"/>
  <c r="L535" i="3"/>
  <c r="O535" i="3" s="1"/>
  <c r="L125" i="3"/>
  <c r="O125" i="3" s="1"/>
  <c r="L366" i="3"/>
  <c r="O366" i="3" s="1"/>
  <c r="L576" i="3"/>
  <c r="O576" i="3" s="1"/>
  <c r="L312" i="3"/>
  <c r="O312" i="3" s="1"/>
  <c r="L503" i="3"/>
  <c r="O503" i="3" s="1"/>
  <c r="L206" i="3"/>
  <c r="O206" i="3" s="1"/>
  <c r="L321" i="3"/>
  <c r="L258" i="3"/>
  <c r="L16" i="3"/>
  <c r="L267" i="3"/>
  <c r="L73" i="3"/>
  <c r="L347" i="3"/>
  <c r="O347" i="3" s="1"/>
  <c r="L338" i="3"/>
  <c r="O338" i="3" s="1"/>
  <c r="L165" i="3"/>
  <c r="O165" i="3" s="1"/>
  <c r="L359" i="3"/>
  <c r="O359" i="3" s="1"/>
  <c r="L537" i="3"/>
  <c r="O537" i="3" s="1"/>
  <c r="L485" i="3"/>
  <c r="O485" i="3" s="1"/>
  <c r="L411" i="3"/>
  <c r="L274" i="3"/>
  <c r="O274" i="3" s="1"/>
  <c r="L13" i="3"/>
  <c r="L198" i="3"/>
  <c r="O198" i="3" s="1"/>
  <c r="L461" i="3"/>
  <c r="O461" i="3" s="1"/>
  <c r="L571" i="3"/>
  <c r="O571" i="3" s="1"/>
  <c r="L561" i="3"/>
  <c r="O561" i="3" s="1"/>
  <c r="L482" i="3"/>
  <c r="O482" i="3" s="1"/>
  <c r="L465" i="3"/>
  <c r="O465" i="3" s="1"/>
  <c r="L471" i="3"/>
  <c r="O471" i="3" s="1"/>
  <c r="L522" i="3"/>
  <c r="O522" i="3" s="1"/>
  <c r="L371" i="3"/>
  <c r="O371" i="3" s="1"/>
  <c r="L54" i="3"/>
  <c r="O54" i="3" s="1"/>
  <c r="L158" i="3"/>
  <c r="O158" i="3" s="1"/>
  <c r="L502" i="3"/>
  <c r="O502" i="3" s="1"/>
  <c r="L387" i="3"/>
  <c r="O387" i="3" s="1"/>
  <c r="L58" i="3"/>
  <c r="O58" i="3" s="1"/>
  <c r="L449" i="3"/>
  <c r="O449" i="3" s="1"/>
  <c r="L279" i="3"/>
  <c r="L123" i="3"/>
  <c r="L386" i="3"/>
  <c r="O386" i="3" s="1"/>
  <c r="L406" i="3"/>
  <c r="O406" i="3" s="1"/>
  <c r="L523" i="3"/>
  <c r="O523" i="3" s="1"/>
  <c r="L404" i="3"/>
  <c r="O404" i="3" s="1"/>
  <c r="L57" i="3"/>
  <c r="L397" i="3"/>
  <c r="O397" i="3" s="1"/>
  <c r="L450" i="3"/>
  <c r="O450" i="3" s="1"/>
  <c r="L499" i="3"/>
  <c r="O499" i="3" s="1"/>
  <c r="L67" i="3"/>
  <c r="O67" i="3" s="1"/>
  <c r="L208" i="3"/>
  <c r="L458" i="3"/>
  <c r="O458" i="3" s="1"/>
  <c r="L102" i="3"/>
  <c r="L505" i="3"/>
  <c r="L419" i="3"/>
  <c r="O419" i="3" s="1"/>
  <c r="L284" i="3"/>
  <c r="O284" i="3" s="1"/>
  <c r="L473" i="3"/>
  <c r="O473" i="3" s="1"/>
  <c r="L138" i="3"/>
  <c r="L555" i="3"/>
  <c r="O555" i="3" s="1"/>
  <c r="L394" i="3"/>
  <c r="O394" i="3" s="1"/>
  <c r="L319" i="3"/>
  <c r="O319" i="3" s="1"/>
  <c r="L251" i="3"/>
  <c r="O251" i="3" s="1"/>
  <c r="L296" i="3"/>
  <c r="L398" i="3"/>
  <c r="O398" i="3" s="1"/>
  <c r="L184" i="3"/>
  <c r="O184" i="3" s="1"/>
  <c r="L107" i="3"/>
  <c r="O107" i="3" s="1"/>
  <c r="L52" i="3"/>
  <c r="L27" i="3"/>
  <c r="O27" i="3" s="1"/>
  <c r="L249" i="3"/>
  <c r="L415" i="3"/>
  <c r="O415" i="3" s="1"/>
  <c r="L295" i="3"/>
  <c r="O295" i="3" s="1"/>
  <c r="L214" i="3"/>
  <c r="O214" i="3" s="1"/>
  <c r="L567" i="3"/>
  <c r="O567" i="3" s="1"/>
  <c r="L21" i="3"/>
  <c r="L154" i="3"/>
  <c r="O154" i="3" s="1"/>
  <c r="L117" i="3"/>
  <c r="O117" i="3" s="1"/>
  <c r="L229" i="3"/>
  <c r="O229" i="3" s="1"/>
  <c r="L259" i="3"/>
  <c r="O259" i="3" s="1"/>
  <c r="L202" i="3"/>
  <c r="O202" i="3" s="1"/>
  <c r="L268" i="3"/>
  <c r="O268" i="3" s="1"/>
  <c r="L298" i="3"/>
  <c r="O298" i="3" s="1"/>
  <c r="L164" i="3"/>
  <c r="O164" i="3" s="1"/>
  <c r="L288" i="3"/>
  <c r="O288" i="3" s="1"/>
  <c r="L195" i="3"/>
  <c r="O195" i="3" s="1"/>
  <c r="L254" i="3"/>
  <c r="O254" i="3" s="1"/>
  <c r="L308" i="3"/>
  <c r="O308" i="3" s="1"/>
  <c r="L547" i="3"/>
  <c r="O547" i="3" s="1"/>
  <c r="L84" i="3"/>
  <c r="O84" i="3" s="1"/>
  <c r="L155" i="3"/>
  <c r="O155" i="3" s="1"/>
  <c r="L56" i="3"/>
  <c r="O56" i="3" s="1"/>
  <c r="L42" i="3"/>
  <c r="L63" i="3"/>
  <c r="O63" i="3" s="1"/>
  <c r="L111" i="3"/>
  <c r="O111" i="3" s="1"/>
  <c r="L128" i="3"/>
  <c r="L113" i="3"/>
  <c r="L133" i="3"/>
  <c r="L285" i="3"/>
  <c r="O285" i="3" s="1"/>
  <c r="L408" i="3"/>
  <c r="O408" i="3" s="1"/>
  <c r="L246" i="3"/>
  <c r="L134" i="3"/>
  <c r="O134" i="3" s="1"/>
  <c r="L64" i="3"/>
  <c r="O64" i="3" s="1"/>
  <c r="L71" i="3"/>
  <c r="L130" i="3"/>
  <c r="L468" i="3"/>
  <c r="L109" i="3"/>
  <c r="L118" i="3"/>
  <c r="L339" i="3"/>
  <c r="L163" i="3"/>
  <c r="O163" i="3" s="1"/>
  <c r="L369" i="3"/>
  <c r="O369" i="3" s="1"/>
  <c r="L570" i="3"/>
  <c r="O570" i="3" s="1"/>
  <c r="L405" i="3"/>
  <c r="O405" i="3" s="1"/>
  <c r="L282" i="3"/>
  <c r="O282" i="3" s="1"/>
  <c r="L126" i="3"/>
  <c r="L204" i="3"/>
  <c r="O204" i="3" s="1"/>
  <c r="L92" i="3"/>
  <c r="O92" i="3" s="1"/>
  <c r="L474" i="3"/>
  <c r="O474" i="3" s="1"/>
  <c r="L478" i="3"/>
  <c r="O478" i="3" s="1"/>
  <c r="L508" i="3"/>
  <c r="O508" i="3" s="1"/>
  <c r="L559" i="3"/>
  <c r="O559" i="3" s="1"/>
  <c r="L355" i="3"/>
  <c r="O355" i="3" s="1"/>
  <c r="L454" i="3"/>
  <c r="O454" i="3" s="1"/>
  <c r="L205" i="3"/>
  <c r="O205" i="3" s="1"/>
  <c r="L552" i="3"/>
  <c r="O552" i="3" s="1"/>
  <c r="L292" i="3"/>
  <c r="O292" i="3" s="1"/>
  <c r="L93" i="3"/>
  <c r="O93" i="3" s="1"/>
  <c r="L498" i="3"/>
  <c r="O498" i="3" s="1"/>
  <c r="L407" i="3"/>
  <c r="L364" i="3"/>
  <c r="O364" i="3" s="1"/>
  <c r="L382" i="3"/>
  <c r="O382" i="3" s="1"/>
  <c r="L328" i="3"/>
  <c r="O328" i="3" s="1"/>
  <c r="L247" i="3"/>
  <c r="O247" i="3" s="1"/>
  <c r="L281" i="3"/>
  <c r="O281" i="3" s="1"/>
  <c r="L110" i="3"/>
  <c r="O110" i="3" s="1"/>
  <c r="L330" i="3"/>
  <c r="O330" i="3" s="1"/>
  <c r="L368" i="3"/>
  <c r="O368" i="3" s="1"/>
  <c r="L97" i="3"/>
  <c r="L69" i="3"/>
  <c r="L299" i="3"/>
  <c r="O299" i="3" s="1"/>
  <c r="L221" i="3"/>
  <c r="O221" i="3" s="1"/>
  <c r="L19" i="3"/>
  <c r="L106" i="3"/>
  <c r="L413" i="3"/>
  <c r="O413" i="3" s="1"/>
  <c r="L441" i="3"/>
  <c r="L443" i="3"/>
  <c r="O443" i="3" s="1"/>
  <c r="L169" i="3"/>
  <c r="O169" i="3" s="1"/>
  <c r="L248" i="3"/>
  <c r="L124" i="3"/>
  <c r="O124" i="3" s="1"/>
  <c r="L68" i="3"/>
  <c r="O68" i="3" s="1"/>
  <c r="L222" i="3"/>
  <c r="O222" i="3" s="1"/>
  <c r="L348" i="3"/>
  <c r="O348" i="3" s="1"/>
  <c r="L7" i="3"/>
  <c r="O7" i="3" s="1"/>
  <c r="L527" i="3"/>
  <c r="O527" i="3" s="1"/>
  <c r="L538" i="3"/>
  <c r="O538" i="3" s="1"/>
  <c r="L546" i="3"/>
  <c r="O546" i="3" s="1"/>
  <c r="L495" i="3"/>
  <c r="O495" i="3" s="1"/>
  <c r="L188" i="3"/>
  <c r="L103" i="3"/>
  <c r="L464" i="3"/>
  <c r="O464" i="3" s="1"/>
  <c r="L332" i="3"/>
  <c r="O332" i="3" s="1"/>
  <c r="L331" i="3"/>
  <c r="O331" i="3" s="1"/>
  <c r="L457" i="3"/>
  <c r="O457" i="3" s="1"/>
  <c r="L396" i="3"/>
  <c r="O396" i="3" s="1"/>
  <c r="L147" i="3"/>
  <c r="O147" i="3" s="1"/>
  <c r="L489" i="3"/>
  <c r="O489" i="3" s="1"/>
  <c r="L403" i="3"/>
  <c r="O403" i="3" s="1"/>
  <c r="L135" i="3"/>
  <c r="O135" i="3" s="1"/>
  <c r="L297" i="3"/>
  <c r="O297" i="3" s="1"/>
  <c r="L70" i="3"/>
  <c r="O70" i="3" s="1"/>
  <c r="L11" i="3"/>
  <c r="O11" i="3" s="1"/>
  <c r="L18" i="3"/>
  <c r="O18" i="3" s="1"/>
  <c r="L519" i="3"/>
  <c r="O519" i="3" s="1"/>
  <c r="L245" i="3"/>
  <c r="O245" i="3" s="1"/>
  <c r="L426" i="3"/>
  <c r="O426" i="3" s="1"/>
  <c r="L190" i="3"/>
  <c r="O190" i="3" s="1"/>
  <c r="L112" i="3"/>
  <c r="O112" i="3" s="1"/>
  <c r="L445" i="3"/>
  <c r="O445" i="3" s="1"/>
  <c r="L146" i="3"/>
  <c r="O146" i="3" s="1"/>
  <c r="L211" i="3"/>
  <c r="O211" i="3" s="1"/>
  <c r="L470" i="3"/>
  <c r="O470" i="3" s="1"/>
  <c r="L311" i="3"/>
  <c r="O311" i="3" s="1"/>
  <c r="L237" i="3"/>
  <c r="L492" i="3"/>
  <c r="O492" i="3" s="1"/>
  <c r="L452" i="3"/>
  <c r="O452" i="3" s="1"/>
  <c r="L551" i="3"/>
  <c r="O551" i="3" s="1"/>
  <c r="L385" i="3"/>
  <c r="O385" i="3" s="1"/>
  <c r="L579" i="3"/>
  <c r="O579" i="3" s="1"/>
  <c r="L305" i="3"/>
  <c r="O305" i="3" s="1"/>
  <c r="L137" i="3"/>
  <c r="O137" i="3" s="1"/>
  <c r="L520" i="3"/>
  <c r="O520" i="3" s="1"/>
  <c r="L507" i="3"/>
  <c r="O507" i="3" s="1"/>
  <c r="L353" i="3"/>
  <c r="O353" i="3" s="1"/>
  <c r="L294" i="3"/>
  <c r="O294" i="3" s="1"/>
  <c r="L467" i="3"/>
  <c r="O467" i="3" s="1"/>
  <c r="L484" i="3"/>
  <c r="O484" i="3" s="1"/>
  <c r="L44" i="3"/>
  <c r="L356" i="3"/>
  <c r="O356" i="3" s="1"/>
  <c r="L244" i="3"/>
  <c r="O244" i="3" s="1"/>
  <c r="L395" i="3"/>
  <c r="O395" i="3" s="1"/>
  <c r="L161" i="3"/>
  <c r="O161" i="3" s="1"/>
  <c r="L166" i="3"/>
  <c r="L435" i="3"/>
  <c r="L263" i="3"/>
  <c r="O263" i="3" s="1"/>
  <c r="L275" i="3"/>
  <c r="O275" i="3" s="1"/>
  <c r="L196" i="3"/>
  <c r="O196" i="3" s="1"/>
  <c r="L132" i="3"/>
  <c r="L481" i="3"/>
  <c r="O481" i="3" s="1"/>
  <c r="L429" i="3"/>
  <c r="O429" i="3" s="1"/>
  <c r="L22" i="3"/>
  <c r="L90" i="3"/>
  <c r="L51" i="3"/>
  <c r="L131" i="3"/>
  <c r="L447" i="3"/>
  <c r="L568" i="3"/>
  <c r="O568" i="3" s="1"/>
  <c r="L421" i="3"/>
  <c r="O421" i="3" s="1"/>
  <c r="L430" i="3"/>
  <c r="O430" i="3" s="1"/>
  <c r="L310" i="3"/>
  <c r="L544" i="3"/>
  <c r="O544" i="3" s="1"/>
  <c r="L541" i="3"/>
  <c r="O541" i="3" s="1"/>
  <c r="L388" i="3"/>
  <c r="O388" i="3" s="1"/>
  <c r="L524" i="3"/>
  <c r="O524" i="3" s="1"/>
  <c r="L178" i="3"/>
  <c r="O178" i="3" s="1"/>
  <c r="L479" i="3"/>
  <c r="O479" i="3" s="1"/>
  <c r="L480" i="3"/>
  <c r="O480" i="3" s="1"/>
  <c r="L460" i="3"/>
  <c r="O460" i="3" s="1"/>
  <c r="L108" i="3"/>
  <c r="O108" i="3" s="1"/>
  <c r="L242" i="3"/>
  <c r="O242" i="3" s="1"/>
  <c r="L176" i="3"/>
  <c r="O176" i="3" s="1"/>
  <c r="L185" i="3"/>
  <c r="O185" i="3" s="1"/>
  <c r="L179" i="3"/>
  <c r="O179" i="3" s="1"/>
  <c r="L289" i="3"/>
  <c r="O289" i="3" s="1"/>
  <c r="L12" i="3"/>
  <c r="L96" i="3"/>
  <c r="O96" i="3" s="1"/>
  <c r="L213" i="3"/>
  <c r="L425" i="3"/>
  <c r="O425" i="3" s="1"/>
  <c r="L60" i="3"/>
  <c r="L504" i="3"/>
  <c r="L262" i="3"/>
  <c r="O262" i="3" s="1"/>
  <c r="L26" i="3"/>
  <c r="O26" i="3" s="1"/>
  <c r="L149" i="3"/>
  <c r="O149" i="3" s="1"/>
  <c r="L352" i="3"/>
  <c r="O352" i="3" s="1"/>
  <c r="L223" i="3"/>
  <c r="O223" i="3" s="1"/>
  <c r="L276" i="3"/>
  <c r="O276" i="3" s="1"/>
  <c r="L402" i="3"/>
  <c r="O402" i="3" s="1"/>
  <c r="L376" i="3"/>
  <c r="O376" i="3" s="1"/>
  <c r="L322" i="3"/>
  <c r="O322" i="3" s="1"/>
  <c r="L517" i="3"/>
  <c r="O517" i="3" s="1"/>
  <c r="L446" i="3"/>
  <c r="O446" i="3" s="1"/>
  <c r="L272" i="3"/>
  <c r="O272" i="3" s="1"/>
  <c r="L360" i="3"/>
  <c r="O360" i="3" s="1"/>
  <c r="L487" i="3"/>
  <c r="O487" i="3" s="1"/>
  <c r="L140" i="3"/>
  <c r="O140" i="3" s="1"/>
  <c r="L304" i="3"/>
  <c r="O304" i="3" s="1"/>
  <c r="L231" i="3"/>
  <c r="O231" i="3" s="1"/>
  <c r="L476" i="3"/>
  <c r="O476" i="3" s="1"/>
  <c r="L220" i="3"/>
  <c r="L216" i="3"/>
  <c r="L326" i="3"/>
  <c r="O326" i="3" s="1"/>
  <c r="L582" i="3"/>
  <c r="O582" i="3" s="1"/>
  <c r="L29" i="3"/>
  <c r="L66" i="3"/>
  <c r="L101" i="3"/>
  <c r="O101" i="3" s="1"/>
  <c r="L87" i="3"/>
  <c r="O87" i="3" s="1"/>
  <c r="L500" i="3"/>
  <c r="O500" i="3" s="1"/>
  <c r="L384" i="3"/>
  <c r="O384" i="3" s="1"/>
  <c r="L563" i="3"/>
  <c r="O563" i="3" s="1"/>
  <c r="L313" i="3"/>
  <c r="O313" i="3" s="1"/>
  <c r="L235" i="3"/>
  <c r="O235" i="3" s="1"/>
  <c r="L80" i="3"/>
  <c r="O80" i="3" s="1"/>
  <c r="L79" i="3"/>
  <c r="O79" i="3" s="1"/>
  <c r="L526" i="3"/>
  <c r="O526" i="3" s="1"/>
  <c r="L440" i="3"/>
  <c r="O440" i="3" s="1"/>
  <c r="L20" i="3"/>
  <c r="L6" i="3"/>
  <c r="O6" i="3" s="1"/>
  <c r="L77" i="3"/>
  <c r="L556" i="3"/>
  <c r="O556" i="3" s="1"/>
  <c r="L266" i="3"/>
  <c r="O266" i="3" s="1"/>
  <c r="L530" i="3"/>
  <c r="O530" i="3" s="1"/>
  <c r="L317" i="3"/>
  <c r="O317" i="3" s="1"/>
  <c r="L82" i="3"/>
  <c r="O82" i="3" s="1"/>
  <c r="L230" i="3"/>
  <c r="L553" i="3"/>
  <c r="O553" i="3" s="1"/>
  <c r="L264" i="3"/>
  <c r="O264" i="3" s="1"/>
  <c r="L469" i="3"/>
  <c r="O469" i="3" s="1"/>
  <c r="L333" i="3"/>
  <c r="O333" i="3" s="1"/>
  <c r="L127" i="3"/>
  <c r="O127" i="3" s="1"/>
  <c r="L240" i="3"/>
  <c r="O240" i="3" s="1"/>
  <c r="L306" i="3"/>
  <c r="O306" i="3" s="1"/>
  <c r="L574" i="3"/>
  <c r="O574" i="3" s="1"/>
  <c r="L379" i="3"/>
  <c r="O379" i="3" s="1"/>
  <c r="L225" i="3"/>
  <c r="L144" i="3"/>
  <c r="L175" i="3"/>
  <c r="O175" i="3" s="1"/>
  <c r="L160" i="3"/>
  <c r="L34" i="3"/>
  <c r="L48" i="3"/>
  <c r="L239" i="3"/>
  <c r="O239" i="3" s="1"/>
  <c r="L145" i="3"/>
  <c r="O145" i="3" s="1"/>
  <c r="L194" i="3"/>
  <c r="O194" i="3" s="1"/>
  <c r="L354" i="3"/>
  <c r="O354" i="3" s="1"/>
  <c r="L286" i="3"/>
  <c r="L463" i="3"/>
  <c r="O463" i="3" s="1"/>
  <c r="L532" i="3"/>
  <c r="O532" i="3" s="1"/>
  <c r="L49" i="3"/>
  <c r="O49" i="3" s="1"/>
  <c r="L564" i="3"/>
  <c r="O564" i="3" s="1"/>
  <c r="L562" i="3"/>
  <c r="O562" i="3" s="1"/>
  <c r="L462" i="3"/>
  <c r="O462" i="3" s="1"/>
  <c r="L565" i="3"/>
  <c r="O565" i="3" s="1"/>
  <c r="L486" i="3"/>
  <c r="O486" i="3" s="1"/>
  <c r="L448" i="3"/>
  <c r="O448" i="3" s="1"/>
  <c r="L24" i="3"/>
  <c r="O24" i="3" s="1"/>
  <c r="L337" i="3"/>
  <c r="O337" i="3" s="1"/>
  <c r="L256" i="3"/>
  <c r="O256" i="3" s="1"/>
  <c r="L168" i="3"/>
  <c r="O168" i="3" s="1"/>
  <c r="L261" i="3"/>
  <c r="O261" i="3" s="1"/>
  <c r="L115" i="3"/>
  <c r="O115" i="3" s="1"/>
  <c r="L560" i="3"/>
  <c r="O560" i="3" s="1"/>
  <c r="L350" i="3"/>
  <c r="O350" i="3" s="1"/>
  <c r="L159" i="3"/>
  <c r="O159" i="3" s="1"/>
  <c r="L536" i="3"/>
  <c r="O536" i="3" s="1"/>
  <c r="L543" i="3"/>
  <c r="O543" i="3" s="1"/>
  <c r="L336" i="3"/>
  <c r="O336" i="3" s="1"/>
  <c r="L142" i="3"/>
  <c r="O142" i="3" s="1"/>
  <c r="L433" i="3"/>
  <c r="O433" i="3" s="1"/>
  <c r="L76" i="3"/>
  <c r="L121" i="3"/>
  <c r="L15" i="3"/>
  <c r="L114" i="3"/>
  <c r="L320" i="3"/>
  <c r="O320" i="3" s="1"/>
  <c r="L343" i="3"/>
  <c r="O343" i="3" s="1"/>
  <c r="L50" i="3"/>
  <c r="L189" i="3"/>
  <c r="O189" i="3" s="1"/>
  <c r="L269" i="3"/>
  <c r="O269" i="3" s="1"/>
  <c r="L226" i="3"/>
  <c r="O226" i="3" s="1"/>
  <c r="L72" i="3"/>
  <c r="L542" i="3"/>
  <c r="L89" i="3"/>
  <c r="O89" i="3" s="1"/>
  <c r="L399" i="3"/>
  <c r="O399" i="3" s="1"/>
  <c r="L307" i="3"/>
  <c r="L197" i="3"/>
  <c r="O197" i="3" s="1"/>
  <c r="L252" i="3"/>
  <c r="L490" i="3"/>
  <c r="O490" i="3" s="1"/>
  <c r="L342" i="3"/>
  <c r="O342" i="3" s="1"/>
  <c r="L442" i="3"/>
  <c r="O442" i="3" s="1"/>
  <c r="L539" i="3"/>
  <c r="O539" i="3" s="1"/>
  <c r="L428" i="3"/>
  <c r="O428" i="3" s="1"/>
  <c r="L293" i="3"/>
  <c r="L483" i="3"/>
  <c r="O483" i="3" s="1"/>
  <c r="L150" i="3"/>
  <c r="O150" i="3" s="1"/>
  <c r="L410" i="3"/>
  <c r="O410" i="3" s="1"/>
  <c r="L506" i="3"/>
  <c r="O506" i="3" s="1"/>
  <c r="L545" i="3"/>
  <c r="O545" i="3" s="1"/>
  <c r="L439" i="3"/>
  <c r="O439" i="3" s="1"/>
  <c r="L381" i="3"/>
  <c r="O381" i="3" s="1"/>
  <c r="L510" i="3"/>
  <c r="O510" i="3" s="1"/>
  <c r="L393" i="3"/>
  <c r="O393" i="3" s="1"/>
  <c r="L578" i="3"/>
  <c r="O578" i="3" s="1"/>
  <c r="L200" i="3"/>
  <c r="O200" i="3" s="1"/>
  <c r="L367" i="3"/>
  <c r="O367" i="3" s="1"/>
  <c r="L193" i="3"/>
  <c r="O193" i="3" s="1"/>
  <c r="L234" i="3"/>
  <c r="O234" i="3" s="1"/>
  <c r="L414" i="3"/>
  <c r="O414" i="3" s="1"/>
  <c r="L423" i="3"/>
  <c r="O423" i="3" s="1"/>
  <c r="L62" i="3"/>
  <c r="O62" i="3" s="1"/>
  <c r="L238" i="3"/>
  <c r="O238" i="3" s="1"/>
  <c r="L409" i="3"/>
  <c r="O409" i="3" s="1"/>
  <c r="L444" i="3"/>
  <c r="O444" i="3" s="1"/>
  <c r="L277" i="3"/>
  <c r="O277" i="3" s="1"/>
  <c r="L494" i="3"/>
  <c r="O494" i="3" s="1"/>
  <c r="L357" i="3"/>
  <c r="O357" i="3" s="1"/>
  <c r="L390" i="3"/>
  <c r="O390" i="3" s="1"/>
  <c r="L105" i="3"/>
  <c r="L417" i="3"/>
  <c r="O417" i="3" s="1"/>
  <c r="L318" i="3"/>
  <c r="O318" i="3" s="1"/>
  <c r="L170" i="3"/>
  <c r="O170" i="3" s="1"/>
  <c r="L46" i="3"/>
  <c r="O46" i="3" s="1"/>
  <c r="L224" i="3"/>
  <c r="L180" i="3"/>
  <c r="L280" i="3"/>
  <c r="O280" i="3" s="1"/>
  <c r="L257" i="3"/>
  <c r="O257" i="3" s="1"/>
  <c r="L217" i="3"/>
  <c r="O217" i="3" s="1"/>
  <c r="L303" i="3"/>
  <c r="O303" i="3" s="1"/>
  <c r="L569" i="3"/>
  <c r="O569" i="3" s="1"/>
  <c r="L143" i="3"/>
  <c r="O143" i="3" s="1"/>
  <c r="L373" i="3"/>
  <c r="O373" i="3" s="1"/>
  <c r="L372" i="3"/>
  <c r="O372" i="3" s="1"/>
  <c r="L531" i="3"/>
  <c r="O531" i="3" s="1"/>
  <c r="L466" i="3"/>
  <c r="O466" i="3" s="1"/>
  <c r="L228" i="3"/>
  <c r="O228" i="3" s="1"/>
  <c r="L162" i="3"/>
  <c r="O162" i="3" s="1"/>
  <c r="L181" i="3"/>
  <c r="O181" i="3" s="1"/>
  <c r="L233" i="3"/>
  <c r="O233" i="3" s="1"/>
  <c r="L361" i="3"/>
  <c r="O361" i="3" s="1"/>
  <c r="L172" i="3"/>
  <c r="O172" i="3" s="1"/>
  <c r="L148" i="3"/>
  <c r="O148" i="3" s="1"/>
  <c r="L25" i="3"/>
  <c r="L151" i="3"/>
  <c r="O151" i="3" s="1"/>
  <c r="L17" i="3"/>
  <c r="L496" i="3"/>
  <c r="O496" i="3" s="1"/>
  <c r="L99" i="3"/>
  <c r="O99" i="3" s="1"/>
  <c r="L201" i="3"/>
  <c r="O201" i="3" s="1"/>
  <c r="L38" i="3"/>
  <c r="O38" i="3" s="1"/>
  <c r="L40" i="3"/>
  <c r="O40" i="3" s="1"/>
  <c r="L65" i="3"/>
  <c r="L215" i="3"/>
  <c r="L3" i="3"/>
  <c r="L28" i="3"/>
  <c r="L5" i="3"/>
  <c r="L35" i="3"/>
  <c r="L4" i="3"/>
  <c r="O4" i="3" s="1"/>
  <c r="L572" i="3"/>
  <c r="O572" i="3" s="1"/>
  <c r="L95" i="3"/>
  <c r="O95" i="3" s="1"/>
  <c r="L451" i="3"/>
  <c r="O451" i="3" s="1"/>
  <c r="L167" i="3"/>
  <c r="O167" i="3" s="1"/>
  <c r="L475" i="3"/>
  <c r="O475" i="3" s="1"/>
  <c r="L327" i="3"/>
  <c r="O327" i="3" s="1"/>
  <c r="L119" i="3"/>
  <c r="O119" i="3" s="1"/>
  <c r="L31" i="3"/>
  <c r="O31" i="3" s="1"/>
  <c r="L199" i="3"/>
  <c r="O199" i="3" s="1"/>
  <c r="L47" i="3"/>
  <c r="O47" i="3" s="1"/>
  <c r="L271" i="3"/>
  <c r="L2" i="3"/>
  <c r="O2" i="3" s="1"/>
  <c r="L83" i="3"/>
  <c r="L291" i="3"/>
  <c r="L39" i="3"/>
  <c r="O39" i="3" s="1"/>
  <c r="L349" i="3"/>
  <c r="O349" i="3" s="1"/>
  <c r="L436" i="3"/>
  <c r="O436" i="3" s="1"/>
  <c r="L459" i="3"/>
  <c r="O459" i="3" s="1"/>
  <c r="L314" i="3"/>
  <c r="O314" i="3" s="1"/>
  <c r="L427" i="3"/>
  <c r="O427" i="3" s="1"/>
  <c r="L455" i="3"/>
  <c r="O455" i="3" s="1"/>
  <c r="L491" i="3"/>
  <c r="O491" i="3" s="1"/>
  <c r="L94" i="3"/>
  <c r="L236" i="3"/>
  <c r="O236" i="3" s="1"/>
  <c r="L335" i="3"/>
  <c r="O335" i="3" s="1"/>
  <c r="L287" i="3"/>
  <c r="O287" i="3" s="1"/>
  <c r="L549" i="3"/>
  <c r="O549" i="3" s="1"/>
  <c r="L300" i="3"/>
  <c r="O300" i="3" s="1"/>
  <c r="L53" i="3"/>
  <c r="L61" i="3"/>
  <c r="L45" i="3"/>
  <c r="L43" i="3"/>
  <c r="O43" i="3" s="1"/>
  <c r="L171" i="3"/>
  <c r="O171" i="3" s="1"/>
  <c r="L37" i="3"/>
  <c r="L129" i="3"/>
  <c r="L302" i="3"/>
  <c r="L139" i="3"/>
  <c r="L91" i="3"/>
  <c r="O91" i="3" s="1"/>
  <c r="L23" i="3"/>
  <c r="O23" i="3" s="1"/>
  <c r="L36" i="3"/>
  <c r="O36" i="3" s="1"/>
  <c r="L14" i="3"/>
  <c r="O14" i="3" s="1"/>
  <c r="L192" i="3"/>
  <c r="O192" i="3" s="1"/>
  <c r="L358" i="3"/>
  <c r="O358" i="3" s="1"/>
  <c r="L340" i="3"/>
  <c r="O340" i="3" s="1"/>
  <c r="L174" i="3"/>
  <c r="L187" i="3"/>
  <c r="O187" i="3" s="1"/>
  <c r="L218" i="3"/>
  <c r="O218" i="3" s="1"/>
  <c r="L136" i="3"/>
  <c r="O136" i="3" s="1"/>
  <c r="L116" i="3"/>
  <c r="O116" i="3" s="1"/>
  <c r="L528" i="3"/>
  <c r="O528" i="3" s="1"/>
  <c r="L345" i="3"/>
  <c r="O345" i="3" s="1"/>
  <c r="L290" i="3"/>
  <c r="O290" i="3" s="1"/>
  <c r="L412" i="3"/>
  <c r="O412" i="3" s="1"/>
  <c r="L157" i="3"/>
  <c r="L529" i="3"/>
  <c r="O529" i="3" s="1"/>
  <c r="L104" i="3"/>
  <c r="O104" i="3" s="1"/>
  <c r="L550" i="3"/>
  <c r="O550" i="3" s="1"/>
  <c r="L141" i="3"/>
  <c r="O141" i="3" s="1"/>
  <c r="L177" i="3"/>
  <c r="O177" i="3" s="1"/>
  <c r="L534" i="3"/>
  <c r="O534" i="3" s="1"/>
  <c r="L260" i="3"/>
  <c r="L377" i="3"/>
  <c r="O377" i="3" s="1"/>
  <c r="L370" i="3"/>
  <c r="O370" i="3" s="1"/>
  <c r="L325" i="3"/>
  <c r="O325" i="3" s="1"/>
  <c r="L514" i="3"/>
  <c r="O514" i="3" s="1"/>
  <c r="L329" i="3"/>
  <c r="O329" i="3" s="1"/>
  <c r="L521" i="3"/>
  <c r="O521" i="3" s="1"/>
  <c r="L456" i="3"/>
  <c r="O456" i="3" s="1"/>
  <c r="L210" i="3"/>
  <c r="O210" i="3" s="1"/>
  <c r="L85" i="3"/>
  <c r="O85" i="3" s="1"/>
  <c r="L8" i="3"/>
  <c r="L270" i="3"/>
  <c r="O270" i="3" s="1"/>
  <c r="L9" i="3"/>
  <c r="L375" i="3"/>
  <c r="O375" i="3" s="1"/>
  <c r="L86" i="3"/>
  <c r="O86" i="3" s="1"/>
  <c r="L497" i="3"/>
  <c r="O497" i="3" s="1"/>
  <c r="L380" i="3"/>
  <c r="O380" i="3" s="1"/>
  <c r="L334" i="3"/>
  <c r="O334" i="3" s="1"/>
  <c r="L301" i="3"/>
  <c r="O301" i="3" s="1"/>
  <c r="L581" i="3"/>
  <c r="O581" i="3" s="1"/>
  <c r="E220" i="3" l="1"/>
  <c r="O220" i="3" s="1"/>
  <c r="K101" i="3"/>
  <c r="K324" i="3" l="1"/>
  <c r="K365" i="3"/>
  <c r="K431" i="3"/>
  <c r="K243" i="3"/>
  <c r="K258" i="3"/>
  <c r="K16" i="3"/>
  <c r="K267" i="3"/>
  <c r="K73" i="3"/>
  <c r="K208" i="3"/>
  <c r="K19" i="3"/>
  <c r="K441" i="3"/>
  <c r="K353" i="3"/>
  <c r="K294" i="3"/>
  <c r="K548" i="3"/>
  <c r="K74" i="3"/>
  <c r="K183" i="3"/>
  <c r="K424" i="3"/>
  <c r="K186" i="3"/>
  <c r="K432" i="3"/>
  <c r="K227" i="3"/>
  <c r="K437" i="3"/>
  <c r="K265" i="3"/>
  <c r="K557" i="3"/>
  <c r="K509" i="3"/>
  <c r="K472" i="3"/>
  <c r="K400" i="3"/>
  <c r="K120" i="3"/>
  <c r="K219" i="3"/>
  <c r="K575" i="3"/>
  <c r="K512" i="3"/>
  <c r="K573" i="3"/>
  <c r="K30" i="3"/>
  <c r="K33" i="3"/>
  <c r="K533" i="3"/>
  <c r="K558" i="3"/>
  <c r="K207" i="3"/>
  <c r="K391" i="3"/>
  <c r="K383" i="3"/>
  <c r="K511" i="3"/>
  <c r="K41" i="3"/>
  <c r="K203" i="3"/>
  <c r="K363" i="3"/>
  <c r="K540" i="3"/>
  <c r="K346" i="3"/>
  <c r="K362" i="3"/>
  <c r="K212" i="3"/>
  <c r="K315" i="3"/>
  <c r="K374" i="3"/>
  <c r="K273" i="3"/>
  <c r="K309" i="3"/>
  <c r="K554" i="3"/>
  <c r="K453" i="3"/>
  <c r="K312" i="3"/>
  <c r="K576" i="3"/>
  <c r="K503" i="3"/>
  <c r="K359" i="3"/>
  <c r="K274" i="3"/>
  <c r="K386" i="3"/>
  <c r="K552" i="3"/>
  <c r="K93" i="3"/>
  <c r="K247" i="3"/>
  <c r="K368" i="3"/>
  <c r="K106" i="3"/>
  <c r="K403" i="3"/>
  <c r="K18" i="3"/>
  <c r="K190" i="3"/>
  <c r="K112" i="3"/>
  <c r="K445" i="3"/>
  <c r="K146" i="3"/>
  <c r="K211" i="3"/>
  <c r="K452" i="3"/>
  <c r="K551" i="3"/>
  <c r="K385" i="3"/>
  <c r="K579" i="3"/>
  <c r="K305" i="3"/>
  <c r="K467" i="3"/>
  <c r="K544" i="3"/>
  <c r="K356" i="3"/>
  <c r="K244" i="3"/>
  <c r="K395" i="3"/>
  <c r="K161" i="3"/>
  <c r="K166" i="3"/>
  <c r="K435" i="3"/>
  <c r="K263" i="3"/>
  <c r="K275" i="3"/>
  <c r="K196" i="3"/>
  <c r="K132" i="3"/>
  <c r="K481" i="3"/>
  <c r="K429" i="3"/>
  <c r="K22" i="3"/>
  <c r="K90" i="3"/>
  <c r="K51" i="3"/>
  <c r="K131" i="3"/>
  <c r="K447" i="3"/>
  <c r="K568" i="3"/>
  <c r="K541" i="3"/>
  <c r="K524" i="3"/>
  <c r="K352" i="3"/>
  <c r="K376" i="3"/>
  <c r="K272" i="3"/>
  <c r="K517" i="3"/>
  <c r="K446" i="3"/>
  <c r="K360" i="3"/>
  <c r="K487" i="3"/>
  <c r="K140" i="3"/>
  <c r="K80" i="3"/>
  <c r="K79" i="3"/>
  <c r="K333" i="3"/>
  <c r="K379" i="3"/>
  <c r="K354" i="3"/>
  <c r="K463" i="3"/>
  <c r="K532" i="3"/>
  <c r="K49" i="3"/>
  <c r="K564" i="3"/>
  <c r="K562" i="3"/>
  <c r="K462" i="3"/>
  <c r="K336" i="3"/>
  <c r="K565" i="3"/>
  <c r="K486" i="3"/>
  <c r="K76" i="3"/>
  <c r="K15" i="3"/>
  <c r="K114" i="3"/>
  <c r="K269" i="3"/>
  <c r="K226" i="3"/>
  <c r="K72" i="3"/>
  <c r="K483" i="3"/>
  <c r="K293" i="3"/>
  <c r="K89" i="3"/>
  <c r="K277" i="3"/>
  <c r="K494" i="3"/>
  <c r="K357" i="3"/>
  <c r="K390" i="3"/>
  <c r="K105" i="3"/>
  <c r="K46" i="3"/>
  <c r="K417" i="3"/>
  <c r="K303" i="3"/>
  <c r="K143" i="3"/>
  <c r="K2" i="3"/>
  <c r="K83" i="3"/>
  <c r="K291" i="3"/>
  <c r="K201" i="3"/>
  <c r="K38" i="3"/>
  <c r="K40" i="3"/>
  <c r="K271" i="3"/>
  <c r="K475" i="3"/>
  <c r="K327" i="3"/>
  <c r="K35" i="3"/>
  <c r="K3" i="3"/>
  <c r="K39" i="3"/>
  <c r="K459" i="3"/>
  <c r="K491" i="3"/>
  <c r="K94" i="3"/>
  <c r="K287" i="3"/>
  <c r="K300" i="3"/>
  <c r="K53" i="3"/>
  <c r="K61" i="3"/>
  <c r="K45" i="3"/>
  <c r="K43" i="3"/>
  <c r="K171" i="3"/>
  <c r="K37" i="3"/>
  <c r="K129" i="3"/>
  <c r="K302" i="3"/>
  <c r="K150" i="3"/>
  <c r="K458" i="3"/>
  <c r="K434" i="3"/>
  <c r="K313" i="3"/>
  <c r="K492" i="3"/>
  <c r="K180" i="3"/>
  <c r="K224" i="3"/>
  <c r="K484" i="3"/>
  <c r="K542" i="3"/>
  <c r="K157" i="3"/>
  <c r="K529" i="3"/>
  <c r="K86" i="3"/>
  <c r="K65" i="3"/>
  <c r="K310" i="3"/>
  <c r="K292" i="3"/>
  <c r="K426" i="3"/>
  <c r="K135" i="3"/>
  <c r="K236" i="3"/>
  <c r="E365" i="3" l="1"/>
  <c r="O365" i="3" s="1"/>
  <c r="E53" i="3"/>
  <c r="O53" i="3" s="1"/>
  <c r="E249" i="3"/>
  <c r="O249" i="3" s="1"/>
  <c r="E260" i="3"/>
  <c r="O260" i="3" s="1"/>
  <c r="E504" i="3"/>
  <c r="O504" i="3" s="1"/>
  <c r="E12" i="3"/>
  <c r="O12" i="3" s="1"/>
  <c r="E60" i="3"/>
  <c r="O60" i="3" s="1"/>
  <c r="E76" i="3"/>
  <c r="O76" i="3" s="1"/>
  <c r="E120" i="3"/>
  <c r="O120" i="3" s="1"/>
  <c r="E72" i="3"/>
  <c r="O72" i="3" s="1"/>
  <c r="E307" i="3"/>
  <c r="O307" i="3" s="1"/>
  <c r="O32" i="3"/>
  <c r="E15" i="3"/>
  <c r="O15" i="3" s="1"/>
  <c r="E105" i="3"/>
  <c r="O105" i="3" s="1"/>
  <c r="O20" i="3"/>
  <c r="E248" i="3"/>
  <c r="O248" i="3" s="1"/>
  <c r="E57" i="3"/>
  <c r="O57" i="3" s="1"/>
  <c r="E237" i="3"/>
  <c r="O237" i="3" s="1"/>
  <c r="E435" i="3"/>
  <c r="O435" i="3" s="1"/>
  <c r="E122" i="3"/>
  <c r="O122" i="3" s="1"/>
  <c r="E9" i="3"/>
  <c r="O9" i="3" s="1"/>
  <c r="E346" i="3"/>
  <c r="O346" i="3" s="1"/>
  <c r="E106" i="3"/>
  <c r="O106" i="3" s="1"/>
  <c r="E166" i="3"/>
  <c r="O166" i="3" s="1"/>
  <c r="E73" i="3"/>
  <c r="O73" i="3" s="1"/>
  <c r="E267" i="3"/>
  <c r="O267" i="3" s="1"/>
  <c r="E97" i="3"/>
  <c r="O97" i="3" s="1"/>
  <c r="E17" i="3"/>
  <c r="O17" i="3" s="1"/>
  <c r="E100" i="3"/>
  <c r="O100" i="3" s="1"/>
  <c r="E8" i="3"/>
  <c r="O8" i="3" s="1"/>
  <c r="E188" i="3"/>
  <c r="O188" i="3" s="1"/>
  <c r="E103" i="3"/>
  <c r="O103" i="3" s="1"/>
  <c r="E94" i="3"/>
  <c r="O94" i="3" s="1"/>
  <c r="E252" i="3"/>
  <c r="O252" i="3" s="1"/>
  <c r="E13" i="3"/>
  <c r="O13" i="3" s="1"/>
  <c r="E48" i="3"/>
  <c r="O48" i="3" s="1"/>
  <c r="E19" i="3"/>
  <c r="O19" i="3" s="1"/>
  <c r="E25" i="3"/>
  <c r="O25" i="3" s="1"/>
  <c r="E208" i="3"/>
  <c r="O208" i="3" s="1"/>
  <c r="E321" i="3"/>
  <c r="O321" i="3" s="1"/>
  <c r="E160" i="3"/>
  <c r="O160" i="3" s="1"/>
  <c r="E258" i="3"/>
  <c r="O258" i="3" s="1"/>
  <c r="E3" i="3"/>
  <c r="O3" i="3" s="1"/>
  <c r="E45" i="3"/>
  <c r="O45" i="3" s="1"/>
  <c r="E157" i="3"/>
  <c r="O157" i="3" s="1"/>
  <c r="E207" i="3"/>
  <c r="O207" i="3" s="1"/>
  <c r="E90" i="3"/>
  <c r="O90" i="3" s="1"/>
  <c r="E30" i="3"/>
  <c r="O30" i="3" s="1"/>
  <c r="E33" i="3"/>
  <c r="O33" i="3" s="1"/>
  <c r="E302" i="3"/>
  <c r="O302" i="3" s="1"/>
  <c r="E400" i="3"/>
  <c r="O400" i="3" s="1"/>
  <c r="E212" i="3"/>
  <c r="O212" i="3" s="1"/>
  <c r="E132" i="3"/>
  <c r="O132" i="3" s="1"/>
  <c r="E230" i="3"/>
  <c r="O230" i="3" s="1"/>
  <c r="E66" i="3"/>
  <c r="O66" i="3" s="1"/>
  <c r="E16" i="3"/>
  <c r="O16" i="3" s="1"/>
  <c r="E114" i="3"/>
  <c r="O114" i="3" s="1"/>
  <c r="E121" i="3"/>
  <c r="O121" i="3" s="1"/>
  <c r="E50" i="3"/>
  <c r="O50" i="3" s="1"/>
  <c r="E225" i="3"/>
  <c r="O225" i="3" s="1"/>
  <c r="E35" i="3"/>
  <c r="O35" i="3" s="1"/>
  <c r="E61" i="3"/>
  <c r="O61" i="3" s="1"/>
  <c r="E271" i="3"/>
  <c r="O271" i="3" s="1"/>
  <c r="E126" i="3"/>
  <c r="O126" i="3" s="1"/>
  <c r="E69" i="3"/>
  <c r="O69" i="3" s="1"/>
  <c r="E216" i="3"/>
  <c r="O216" i="3" s="1"/>
  <c r="E123" i="3"/>
  <c r="O123" i="3" s="1"/>
  <c r="E286" i="3"/>
  <c r="O286" i="3" s="1"/>
  <c r="E34" i="3"/>
  <c r="O34" i="3" s="1"/>
  <c r="E441" i="3"/>
  <c r="O441" i="3" s="1"/>
  <c r="E138" i="3"/>
  <c r="O138" i="3" s="1"/>
  <c r="E505" i="3"/>
  <c r="O505" i="3" s="1"/>
  <c r="E296" i="3"/>
  <c r="O296" i="3" s="1"/>
  <c r="E447" i="3"/>
  <c r="O447" i="3" s="1"/>
  <c r="E407" i="3"/>
  <c r="O407" i="3" s="1"/>
  <c r="E411" i="3"/>
  <c r="O411" i="3" s="1"/>
  <c r="E42" i="3"/>
  <c r="O42" i="3" s="1"/>
  <c r="E113" i="3"/>
  <c r="O113" i="3" s="1"/>
  <c r="E279" i="3"/>
  <c r="O279" i="3" s="1"/>
  <c r="E77" i="3"/>
  <c r="O77" i="3" s="1"/>
  <c r="E156" i="3"/>
  <c r="O156" i="3" s="1"/>
  <c r="E71" i="3"/>
  <c r="O71" i="3" s="1"/>
  <c r="E468" i="3"/>
  <c r="O468" i="3" s="1"/>
  <c r="E133" i="3"/>
  <c r="O133" i="3" s="1"/>
  <c r="E128" i="3"/>
  <c r="O128" i="3" s="1"/>
  <c r="E246" i="3"/>
  <c r="O246" i="3" s="1"/>
  <c r="E339" i="3"/>
  <c r="O339" i="3" s="1"/>
  <c r="E118" i="3"/>
  <c r="O118" i="3" s="1"/>
  <c r="E130" i="3"/>
  <c r="O130" i="3" s="1"/>
  <c r="E109" i="3"/>
  <c r="O109" i="3" s="1"/>
  <c r="E213" i="3"/>
  <c r="O213" i="3" s="1"/>
  <c r="E29" i="3"/>
  <c r="O29" i="3" s="1"/>
  <c r="E180" i="3"/>
  <c r="O180" i="3" s="1"/>
  <c r="E224" i="3"/>
  <c r="O224" i="3" s="1"/>
  <c r="E44" i="3"/>
  <c r="O44" i="3" s="1"/>
  <c r="E65" i="3"/>
  <c r="O65" i="3" s="1"/>
  <c r="E310" i="3"/>
  <c r="O310" i="3" s="1"/>
  <c r="E144" i="3"/>
  <c r="O144" i="3" s="1"/>
  <c r="E52" i="3"/>
  <c r="O52" i="3" s="1"/>
  <c r="E21" i="3"/>
  <c r="O21" i="3" s="1"/>
  <c r="E37" i="3"/>
  <c r="O37" i="3" s="1"/>
  <c r="E129" i="3"/>
  <c r="O129" i="3" s="1"/>
  <c r="E139" i="3"/>
  <c r="O139" i="3" s="1"/>
  <c r="E22" i="3"/>
  <c r="O22" i="3" s="1"/>
  <c r="E215" i="3"/>
  <c r="O215" i="3" s="1"/>
  <c r="E131" i="3"/>
  <c r="O131" i="3" s="1"/>
  <c r="E174" i="3"/>
  <c r="O174" i="3" s="1"/>
  <c r="E291" i="3"/>
  <c r="O291" i="3" s="1"/>
  <c r="E83" i="3"/>
  <c r="O83" i="3" s="1"/>
  <c r="E5" i="3"/>
  <c r="O5" i="3" s="1"/>
  <c r="E28" i="3"/>
  <c r="O28" i="3" s="1"/>
  <c r="E232" i="3"/>
  <c r="O232" i="3" s="1"/>
  <c r="E51" i="3"/>
  <c r="O51" i="3" s="1"/>
  <c r="K231" i="3"/>
  <c r="K304" i="3"/>
  <c r="K430" i="3"/>
  <c r="K31" i="3"/>
  <c r="K235" i="3"/>
  <c r="K384" i="3"/>
  <c r="K11" i="3"/>
  <c r="K421" i="3"/>
  <c r="K563" i="3"/>
  <c r="E542" i="3"/>
  <c r="O542" i="3" s="1"/>
  <c r="E293" i="3"/>
  <c r="O293" i="3" s="1"/>
  <c r="E102" i="3"/>
  <c r="O102" i="3" s="1"/>
  <c r="K215" i="3"/>
  <c r="K496" i="3"/>
  <c r="K47" i="3"/>
  <c r="K119" i="3"/>
  <c r="K199" i="3"/>
  <c r="K167" i="3"/>
  <c r="K451" i="3"/>
  <c r="K95" i="3"/>
  <c r="K572" i="3"/>
  <c r="K4" i="3"/>
  <c r="K5" i="3"/>
  <c r="K232" i="3"/>
  <c r="K526" i="3"/>
  <c r="K519" i="3"/>
  <c r="K266" i="3"/>
  <c r="K498" i="3"/>
  <c r="K295" i="3"/>
  <c r="K482" i="3"/>
  <c r="K443" i="3"/>
  <c r="K259" i="3"/>
  <c r="K170" i="3"/>
  <c r="K148" i="3"/>
  <c r="K420" i="3"/>
  <c r="K202" i="3"/>
  <c r="K149" i="3"/>
  <c r="K534" i="3"/>
  <c r="K268" i="3"/>
  <c r="K8" i="3"/>
  <c r="K172" i="3"/>
  <c r="K306" i="3"/>
  <c r="K290" i="3"/>
  <c r="K549" i="3"/>
  <c r="K281" i="3"/>
  <c r="K392" i="3"/>
  <c r="K326" i="3"/>
  <c r="K347" i="3"/>
  <c r="K7" i="3"/>
  <c r="K240" i="3"/>
  <c r="K571" i="3"/>
  <c r="K566" i="3"/>
  <c r="K525" i="3"/>
  <c r="K375" i="3"/>
  <c r="K164" i="3"/>
  <c r="K223" i="3"/>
  <c r="K399" i="3"/>
  <c r="K198" i="3"/>
  <c r="K546" i="3"/>
  <c r="K537" i="3"/>
  <c r="K581" i="3"/>
  <c r="K528" i="3"/>
  <c r="K142" i="3"/>
  <c r="K364" i="3"/>
  <c r="K461" i="3"/>
  <c r="K409" i="3"/>
  <c r="K334" i="3"/>
  <c r="K195" i="3"/>
  <c r="K191" i="3"/>
  <c r="K497" i="3"/>
  <c r="K416" i="3"/>
  <c r="K58" i="3"/>
  <c r="K372" i="3"/>
  <c r="K121" i="3"/>
  <c r="K50" i="3"/>
  <c r="K444" i="3"/>
  <c r="K216" i="3"/>
  <c r="K182" i="3"/>
  <c r="K449" i="3"/>
  <c r="K402" i="3"/>
  <c r="K123" i="3"/>
  <c r="K582" i="3"/>
  <c r="K286" i="3"/>
  <c r="K436" i="3"/>
  <c r="K407" i="3"/>
  <c r="K361" i="3"/>
  <c r="K328" i="3"/>
  <c r="K480" i="3"/>
  <c r="M215" i="3" l="1"/>
  <c r="N215" i="3" s="1"/>
  <c r="K314" i="3"/>
  <c r="M314" i="3" s="1"/>
  <c r="K411" i="3"/>
  <c r="M411" i="3" s="1"/>
  <c r="K343" i="3"/>
  <c r="M343" i="3" s="1"/>
  <c r="N343" i="3" s="1"/>
  <c r="K147" i="3"/>
  <c r="M147" i="3" s="1"/>
  <c r="K514" i="3"/>
  <c r="M514" i="3" s="1"/>
  <c r="K279" i="3"/>
  <c r="M279" i="3" s="1"/>
  <c r="N279" i="3" s="1"/>
  <c r="M532" i="3"/>
  <c r="M551" i="3"/>
  <c r="K569" i="3"/>
  <c r="M569" i="3" s="1"/>
  <c r="N569" i="3" s="1"/>
  <c r="K87" i="3"/>
  <c r="M87" i="3" s="1"/>
  <c r="K318" i="3"/>
  <c r="M318" i="3" s="1"/>
  <c r="K44" i="3"/>
  <c r="M44" i="3" s="1"/>
  <c r="N44" i="3" s="1"/>
  <c r="K189" i="3"/>
  <c r="M189" i="3" s="1"/>
  <c r="K127" i="3"/>
  <c r="M127" i="3" s="1"/>
  <c r="M226" i="3"/>
  <c r="K574" i="3"/>
  <c r="M574" i="3" s="1"/>
  <c r="K245" i="3"/>
  <c r="K470" i="3"/>
  <c r="M470" i="3" s="1"/>
  <c r="N470" i="3" s="1"/>
  <c r="K561" i="3"/>
  <c r="M561" i="3" s="1"/>
  <c r="N561" i="3" s="1"/>
  <c r="K469" i="3"/>
  <c r="M469" i="3" s="1"/>
  <c r="K173" i="3"/>
  <c r="M173" i="3" s="1"/>
  <c r="M448" i="3"/>
  <c r="M428" i="3"/>
  <c r="K335" i="3"/>
  <c r="M335" i="3" s="1"/>
  <c r="N335" i="3" s="1"/>
  <c r="K567" i="3"/>
  <c r="M567" i="3" s="1"/>
  <c r="K513" i="3"/>
  <c r="M513" i="3" s="1"/>
  <c r="N513" i="3" s="1"/>
  <c r="K139" i="3"/>
  <c r="M139" i="3" s="1"/>
  <c r="N139" i="3" s="1"/>
  <c r="K388" i="3"/>
  <c r="M388" i="3" s="1"/>
  <c r="N388" i="3" s="1"/>
  <c r="K366" i="3"/>
  <c r="M366" i="3" s="1"/>
  <c r="N366" i="3" s="1"/>
  <c r="K345" i="3"/>
  <c r="M345" i="3" s="1"/>
  <c r="K500" i="3"/>
  <c r="M500" i="3" s="1"/>
  <c r="K174" i="3"/>
  <c r="M174" i="3" s="1"/>
  <c r="N174" i="3" s="1"/>
  <c r="K70" i="3"/>
  <c r="M70" i="3" s="1"/>
  <c r="K28" i="3"/>
  <c r="M28" i="3" s="1"/>
  <c r="K413" i="3"/>
  <c r="M413" i="3" s="1"/>
  <c r="K297" i="3"/>
  <c r="M297" i="3" s="1"/>
  <c r="N297" i="3" s="1"/>
  <c r="K330" i="3"/>
  <c r="M330" i="3" s="1"/>
  <c r="N330" i="3" s="1"/>
  <c r="M509" i="3"/>
  <c r="M51" i="3"/>
  <c r="K518" i="3"/>
  <c r="M518" i="3" s="1"/>
  <c r="K433" i="3"/>
  <c r="M433" i="3" s="1"/>
  <c r="M2" i="3"/>
  <c r="M99" i="3"/>
  <c r="N99" i="3" s="1"/>
  <c r="M232" i="3"/>
  <c r="N232" i="3" s="1"/>
  <c r="M5" i="3"/>
  <c r="N5" i="3" s="1"/>
  <c r="M4" i="3"/>
  <c r="N4" i="3" s="1"/>
  <c r="M572" i="3"/>
  <c r="N572" i="3" s="1"/>
  <c r="M95" i="3"/>
  <c r="N95" i="3" s="1"/>
  <c r="M451" i="3"/>
  <c r="M167" i="3"/>
  <c r="N167" i="3" s="1"/>
  <c r="M199" i="3"/>
  <c r="N199" i="3" s="1"/>
  <c r="M83" i="3"/>
  <c r="N83" i="3" s="1"/>
  <c r="M291" i="3"/>
  <c r="N291" i="3" s="1"/>
  <c r="M119" i="3"/>
  <c r="N119" i="3" s="1"/>
  <c r="M47" i="3"/>
  <c r="N47" i="3" s="1"/>
  <c r="M496" i="3"/>
  <c r="N496" i="3" s="1"/>
  <c r="M455" i="3"/>
  <c r="M131" i="3"/>
  <c r="N131" i="3" s="1"/>
  <c r="M421" i="3"/>
  <c r="N421" i="3" s="1"/>
  <c r="M563" i="3"/>
  <c r="M11" i="3"/>
  <c r="N11" i="3" s="1"/>
  <c r="M384" i="3"/>
  <c r="N384" i="3" s="1"/>
  <c r="M235" i="3"/>
  <c r="N235" i="3" s="1"/>
  <c r="M31" i="3"/>
  <c r="N31" i="3" s="1"/>
  <c r="M522" i="3"/>
  <c r="N522" i="3" s="1"/>
  <c r="M430" i="3"/>
  <c r="N430" i="3" s="1"/>
  <c r="M22" i="3"/>
  <c r="N22" i="3" s="1"/>
  <c r="M244" i="3"/>
  <c r="N244" i="3" s="1"/>
  <c r="M124" i="3"/>
  <c r="N124" i="3" s="1"/>
  <c r="M304" i="3"/>
  <c r="P304" i="3" s="1"/>
  <c r="M231" i="3"/>
  <c r="N231" i="3" s="1"/>
  <c r="M348" i="3"/>
  <c r="M129" i="3"/>
  <c r="N129" i="3" s="1"/>
  <c r="M37" i="3"/>
  <c r="N37" i="3" s="1"/>
  <c r="M196" i="3"/>
  <c r="N196" i="3" s="1"/>
  <c r="M21" i="3"/>
  <c r="N21" i="3" s="1"/>
  <c r="M154" i="3"/>
  <c r="N154" i="3" s="1"/>
  <c r="M85" i="3"/>
  <c r="N85" i="3" s="1"/>
  <c r="M236" i="3"/>
  <c r="N236" i="3" s="1"/>
  <c r="M377" i="3"/>
  <c r="N377" i="3" s="1"/>
  <c r="M176" i="3"/>
  <c r="N176" i="3" s="1"/>
  <c r="M179" i="3"/>
  <c r="N179" i="3" s="1"/>
  <c r="M185" i="3"/>
  <c r="N185" i="3" s="1"/>
  <c r="M242" i="3"/>
  <c r="N242" i="3" s="1"/>
  <c r="M108" i="3"/>
  <c r="N108" i="3" s="1"/>
  <c r="M26" i="3"/>
  <c r="N26" i="3" s="1"/>
  <c r="M135" i="3"/>
  <c r="N135" i="3" s="1"/>
  <c r="M460" i="3"/>
  <c r="N460" i="3" s="1"/>
  <c r="M52" i="3"/>
  <c r="N52" i="3" s="1"/>
  <c r="M107" i="3"/>
  <c r="N107" i="3" s="1"/>
  <c r="M146" i="3"/>
  <c r="N146" i="3" s="1"/>
  <c r="M426" i="3"/>
  <c r="M112" i="3"/>
  <c r="N112" i="3" s="1"/>
  <c r="M194" i="3"/>
  <c r="N194" i="3" s="1"/>
  <c r="M144" i="3"/>
  <c r="N144" i="3" s="1"/>
  <c r="M145" i="3"/>
  <c r="M332" i="3"/>
  <c r="N332" i="3" s="1"/>
  <c r="M292" i="3"/>
  <c r="M310" i="3"/>
  <c r="N310" i="3" s="1"/>
  <c r="M65" i="3"/>
  <c r="N65" i="3" s="1"/>
  <c r="M391" i="3"/>
  <c r="N391" i="3" s="1"/>
  <c r="M542" i="3"/>
  <c r="N542" i="3" s="1"/>
  <c r="M484" i="3"/>
  <c r="N484" i="3" s="1"/>
  <c r="M224" i="3"/>
  <c r="N224" i="3" s="1"/>
  <c r="M36" i="3"/>
  <c r="M217" i="3"/>
  <c r="N217" i="3" s="1"/>
  <c r="M440" i="3"/>
  <c r="M137" i="3"/>
  <c r="N137" i="3" s="1"/>
  <c r="M180" i="3"/>
  <c r="N180" i="3" s="1"/>
  <c r="M125" i="3"/>
  <c r="M29" i="3"/>
  <c r="N29" i="3" s="1"/>
  <c r="M206" i="3"/>
  <c r="N206" i="3" s="1"/>
  <c r="M363" i="3"/>
  <c r="N363" i="3" s="1"/>
  <c r="M414" i="3"/>
  <c r="M96" i="3"/>
  <c r="M262" i="3"/>
  <c r="N262" i="3" s="1"/>
  <c r="M213" i="3"/>
  <c r="N213" i="3" s="1"/>
  <c r="M401" i="3"/>
  <c r="N401" i="3" s="1"/>
  <c r="M313" i="3"/>
  <c r="N313" i="3" s="1"/>
  <c r="M109" i="3"/>
  <c r="M163" i="3"/>
  <c r="N163" i="3" s="1"/>
  <c r="M130" i="3"/>
  <c r="N130" i="3" s="1"/>
  <c r="M118" i="3"/>
  <c r="N118" i="3" s="1"/>
  <c r="M339" i="3"/>
  <c r="N339" i="3" s="1"/>
  <c r="M63" i="3"/>
  <c r="N63" i="3" s="1"/>
  <c r="M408" i="3"/>
  <c r="N408" i="3" s="1"/>
  <c r="M246" i="3"/>
  <c r="N246" i="3" s="1"/>
  <c r="M128" i="3"/>
  <c r="N128" i="3" s="1"/>
  <c r="M111" i="3"/>
  <c r="N111" i="3" s="1"/>
  <c r="M133" i="3"/>
  <c r="N133" i="3" s="1"/>
  <c r="M468" i="3"/>
  <c r="N468" i="3" s="1"/>
  <c r="M71" i="3"/>
  <c r="N71" i="3" s="1"/>
  <c r="M134" i="3"/>
  <c r="N134" i="3" s="1"/>
  <c r="M492" i="3"/>
  <c r="N492" i="3" s="1"/>
  <c r="M84" i="3"/>
  <c r="N84" i="3" s="1"/>
  <c r="M155" i="3"/>
  <c r="N155" i="3" s="1"/>
  <c r="M56" i="3"/>
  <c r="N56" i="3" s="1"/>
  <c r="M161" i="3"/>
  <c r="N161" i="3" s="1"/>
  <c r="M156" i="3"/>
  <c r="M77" i="3"/>
  <c r="N77" i="3" s="1"/>
  <c r="M276" i="3"/>
  <c r="N276" i="3" s="1"/>
  <c r="M113" i="3"/>
  <c r="N113" i="3" s="1"/>
  <c r="M42" i="3"/>
  <c r="N42" i="3" s="1"/>
  <c r="M285" i="3"/>
  <c r="N285" i="3" s="1"/>
  <c r="M64" i="3"/>
  <c r="N64" i="3" s="1"/>
  <c r="M300" i="3"/>
  <c r="N300" i="3" s="1"/>
  <c r="M136" i="3"/>
  <c r="N136" i="3" s="1"/>
  <c r="M116" i="3"/>
  <c r="N116" i="3" s="1"/>
  <c r="M340" i="3"/>
  <c r="N340" i="3" s="1"/>
  <c r="M192" i="3"/>
  <c r="N192" i="3" s="1"/>
  <c r="M325" i="3"/>
  <c r="N325" i="3" s="1"/>
  <c r="M434" i="3"/>
  <c r="M406" i="3"/>
  <c r="M445" i="3"/>
  <c r="N445" i="3" s="1"/>
  <c r="M480" i="3"/>
  <c r="N480" i="3" s="1"/>
  <c r="M458" i="3"/>
  <c r="N458" i="3" s="1"/>
  <c r="M328" i="3"/>
  <c r="N328" i="3" s="1"/>
  <c r="M361" i="3"/>
  <c r="N361" i="3" s="1"/>
  <c r="M181" i="3"/>
  <c r="N181" i="3" s="1"/>
  <c r="M407" i="3"/>
  <c r="N407" i="3" s="1"/>
  <c r="M447" i="3"/>
  <c r="N447" i="3" s="1"/>
  <c r="M228" i="3"/>
  <c r="N228" i="3" s="1"/>
  <c r="M568" i="3"/>
  <c r="N568" i="3" s="1"/>
  <c r="M466" i="3"/>
  <c r="N466" i="3" s="1"/>
  <c r="M10" i="3"/>
  <c r="N10" i="3" s="1"/>
  <c r="M531" i="3"/>
  <c r="N531" i="3" s="1"/>
  <c r="M6" i="3"/>
  <c r="N6" i="3" s="1"/>
  <c r="M485" i="3"/>
  <c r="N485" i="3" s="1"/>
  <c r="M562" i="3"/>
  <c r="N562" i="3" s="1"/>
  <c r="M150" i="3"/>
  <c r="N150" i="3" s="1"/>
  <c r="M288" i="3"/>
  <c r="N288" i="3" s="1"/>
  <c r="M43" i="3"/>
  <c r="N43" i="3" s="1"/>
  <c r="M516" i="3"/>
  <c r="N516" i="3" s="1"/>
  <c r="M541" i="3"/>
  <c r="N541" i="3" s="1"/>
  <c r="M296" i="3"/>
  <c r="N296" i="3" s="1"/>
  <c r="M505" i="3"/>
  <c r="N505" i="3" s="1"/>
  <c r="M419" i="3"/>
  <c r="N419" i="3" s="1"/>
  <c r="M284" i="3"/>
  <c r="N284" i="3" s="1"/>
  <c r="M473" i="3"/>
  <c r="N473" i="3" s="1"/>
  <c r="M138" i="3"/>
  <c r="N138" i="3" s="1"/>
  <c r="M540" i="3"/>
  <c r="N540" i="3" s="1"/>
  <c r="M555" i="3"/>
  <c r="N555" i="3" s="1"/>
  <c r="M394" i="3"/>
  <c r="N394" i="3" s="1"/>
  <c r="M441" i="3"/>
  <c r="N441" i="3" s="1"/>
  <c r="M424" i="3"/>
  <c r="N424" i="3" s="1"/>
  <c r="M186" i="3"/>
  <c r="N186" i="3" s="1"/>
  <c r="M220" i="3"/>
  <c r="N220" i="3" s="1"/>
  <c r="M227" i="3"/>
  <c r="N227" i="3" s="1"/>
  <c r="M432" i="3"/>
  <c r="N432" i="3" s="1"/>
  <c r="M183" i="3"/>
  <c r="N183" i="3" s="1"/>
  <c r="M34" i="3"/>
  <c r="N34" i="3" s="1"/>
  <c r="M404" i="3"/>
  <c r="N404" i="3" s="1"/>
  <c r="M436" i="3"/>
  <c r="N436" i="3" s="1"/>
  <c r="M286" i="3"/>
  <c r="N286" i="3" s="1"/>
  <c r="M493" i="3"/>
  <c r="N493" i="3" s="1"/>
  <c r="M582" i="3"/>
  <c r="N582" i="3" s="1"/>
  <c r="M123" i="3"/>
  <c r="N123" i="3" s="1"/>
  <c r="M402" i="3"/>
  <c r="N402" i="3" s="1"/>
  <c r="M548" i="3"/>
  <c r="N548" i="3" s="1"/>
  <c r="M449" i="3"/>
  <c r="N449" i="3" s="1"/>
  <c r="M422" i="3"/>
  <c r="N422" i="3" s="1"/>
  <c r="M273" i="3"/>
  <c r="N273" i="3" s="1"/>
  <c r="M577" i="3"/>
  <c r="N577" i="3" s="1"/>
  <c r="M396" i="3"/>
  <c r="N396" i="3" s="1"/>
  <c r="M184" i="3"/>
  <c r="N184" i="3" s="1"/>
  <c r="M457" i="3"/>
  <c r="N457" i="3" s="1"/>
  <c r="M389" i="3"/>
  <c r="N389" i="3" s="1"/>
  <c r="M576" i="3"/>
  <c r="N576" i="3" s="1"/>
  <c r="M182" i="3"/>
  <c r="N182" i="3" s="1"/>
  <c r="M478" i="3"/>
  <c r="N478" i="3" s="1"/>
  <c r="M508" i="3"/>
  <c r="N508" i="3" s="1"/>
  <c r="M177" i="3"/>
  <c r="N177" i="3" s="1"/>
  <c r="M141" i="3"/>
  <c r="N141" i="3" s="1"/>
  <c r="M550" i="3"/>
  <c r="N550" i="3" s="1"/>
  <c r="M104" i="3"/>
  <c r="N104" i="3" s="1"/>
  <c r="M489" i="3"/>
  <c r="N489" i="3" s="1"/>
  <c r="M216" i="3"/>
  <c r="N216" i="3" s="1"/>
  <c r="M67" i="3"/>
  <c r="N67" i="3" s="1"/>
  <c r="M529" i="3"/>
  <c r="N529" i="3" s="1"/>
  <c r="M299" i="3"/>
  <c r="N299" i="3" s="1"/>
  <c r="M69" i="3"/>
  <c r="N69" i="3" s="1"/>
  <c r="M92" i="3"/>
  <c r="N92" i="3" s="1"/>
  <c r="M474" i="3"/>
  <c r="N474" i="3" s="1"/>
  <c r="M282" i="3"/>
  <c r="N282" i="3" s="1"/>
  <c r="M405" i="3"/>
  <c r="N405" i="3" s="1"/>
  <c r="M472" i="3"/>
  <c r="N472" i="3" s="1"/>
  <c r="M415" i="3"/>
  <c r="N415" i="3" s="1"/>
  <c r="M126" i="3"/>
  <c r="N126" i="3" s="1"/>
  <c r="M204" i="3"/>
  <c r="N204" i="3" s="1"/>
  <c r="M507" i="3"/>
  <c r="N507" i="3" s="1"/>
  <c r="M329" i="3"/>
  <c r="N329" i="3" s="1"/>
  <c r="M456" i="3"/>
  <c r="N456" i="3" s="1"/>
  <c r="M417" i="3"/>
  <c r="N417" i="3" s="1"/>
  <c r="M271" i="3"/>
  <c r="N271" i="3" s="1"/>
  <c r="M40" i="3"/>
  <c r="N40" i="3" s="1"/>
  <c r="M61" i="3"/>
  <c r="N61" i="3" s="1"/>
  <c r="M280" i="3"/>
  <c r="N280" i="3" s="1"/>
  <c r="M294" i="3"/>
  <c r="N294" i="3" s="1"/>
  <c r="M35" i="3"/>
  <c r="N35" i="3" s="1"/>
  <c r="M275" i="3"/>
  <c r="N275" i="3" s="1"/>
  <c r="M98" i="3"/>
  <c r="N98" i="3" s="1"/>
  <c r="M225" i="3"/>
  <c r="N225" i="3" s="1"/>
  <c r="M535" i="3"/>
  <c r="N535" i="3" s="1"/>
  <c r="M197" i="3"/>
  <c r="N197" i="3" s="1"/>
  <c r="M444" i="3"/>
  <c r="N444" i="3" s="1"/>
  <c r="M380" i="3"/>
  <c r="N380" i="3" s="1"/>
  <c r="M337" i="3"/>
  <c r="N337" i="3" s="1"/>
  <c r="M169" i="3"/>
  <c r="M50" i="3"/>
  <c r="N50" i="3" s="1"/>
  <c r="M121" i="3"/>
  <c r="N121" i="3" s="1"/>
  <c r="M114" i="3"/>
  <c r="N114" i="3" s="1"/>
  <c r="M341" i="3"/>
  <c r="N341" i="3" s="1"/>
  <c r="M16" i="3"/>
  <c r="N16" i="3" s="1"/>
  <c r="M101" i="3"/>
  <c r="N101" i="3" s="1"/>
  <c r="M66" i="3"/>
  <c r="N66" i="3" s="1"/>
  <c r="M178" i="3"/>
  <c r="N178" i="3" s="1"/>
  <c r="M23" i="3"/>
  <c r="N23" i="3" s="1"/>
  <c r="M38" i="3"/>
  <c r="N38" i="3" s="1"/>
  <c r="M360" i="3"/>
  <c r="N360" i="3" s="1"/>
  <c r="M351" i="3"/>
  <c r="N351" i="3" s="1"/>
  <c r="M580" i="3"/>
  <c r="N580" i="3" s="1"/>
  <c r="M209" i="3"/>
  <c r="N209" i="3" s="1"/>
  <c r="M88" i="3"/>
  <c r="N88" i="3" s="1"/>
  <c r="M78" i="3"/>
  <c r="N78" i="3" s="1"/>
  <c r="M283" i="3"/>
  <c r="M75" i="3"/>
  <c r="N75" i="3" s="1"/>
  <c r="M250" i="3"/>
  <c r="N250" i="3" s="1"/>
  <c r="M152" i="3"/>
  <c r="N152" i="3" s="1"/>
  <c r="M323" i="3"/>
  <c r="N323" i="3" s="1"/>
  <c r="M55" i="3"/>
  <c r="N55" i="3" s="1"/>
  <c r="M305" i="3"/>
  <c r="N305" i="3" s="1"/>
  <c r="M579" i="3"/>
  <c r="N579" i="3" s="1"/>
  <c r="M481" i="3"/>
  <c r="N481" i="3" s="1"/>
  <c r="M524" i="3"/>
  <c r="N524" i="3" s="1"/>
  <c r="M356" i="3"/>
  <c r="N356" i="3" s="1"/>
  <c r="M383" i="3"/>
  <c r="N383" i="3" s="1"/>
  <c r="M253" i="3"/>
  <c r="N253" i="3" s="1"/>
  <c r="M257" i="3"/>
  <c r="N257" i="3" s="1"/>
  <c r="M91" i="3"/>
  <c r="N91" i="3" s="1"/>
  <c r="M175" i="3"/>
  <c r="N175" i="3" s="1"/>
  <c r="M230" i="3"/>
  <c r="N230" i="3" s="1"/>
  <c r="M317" i="3"/>
  <c r="N317" i="3" s="1"/>
  <c r="M553" i="3"/>
  <c r="N553" i="3" s="1"/>
  <c r="M372" i="3"/>
  <c r="N372" i="3" s="1"/>
  <c r="M102" i="3"/>
  <c r="N102" i="3" s="1"/>
  <c r="M187" i="3"/>
  <c r="N187" i="3" s="1"/>
  <c r="M358" i="3"/>
  <c r="N358" i="3" s="1"/>
  <c r="M39" i="3"/>
  <c r="N39" i="3" s="1"/>
  <c r="M538" i="3"/>
  <c r="M527" i="3"/>
  <c r="N527" i="3" s="1"/>
  <c r="M153" i="3"/>
  <c r="N153" i="3" s="1"/>
  <c r="M488" i="3"/>
  <c r="N488" i="3" s="1"/>
  <c r="M58" i="3"/>
  <c r="N58" i="3" s="1"/>
  <c r="M479" i="3"/>
  <c r="N479" i="3" s="1"/>
  <c r="M416" i="3"/>
  <c r="N416" i="3" s="1"/>
  <c r="M151" i="3"/>
  <c r="N151" i="3" s="1"/>
  <c r="M203" i="3"/>
  <c r="N203" i="3" s="1"/>
  <c r="M132" i="3"/>
  <c r="N132" i="3" s="1"/>
  <c r="M219" i="3"/>
  <c r="N219" i="3" s="1"/>
  <c r="M362" i="3"/>
  <c r="N362" i="3" s="1"/>
  <c r="M212" i="3"/>
  <c r="N212" i="3" s="1"/>
  <c r="M374" i="3"/>
  <c r="N374" i="3" s="1"/>
  <c r="M315" i="3"/>
  <c r="M400" i="3"/>
  <c r="N400" i="3" s="1"/>
  <c r="M302" i="3"/>
  <c r="N302" i="3" s="1"/>
  <c r="M33" i="3"/>
  <c r="N33" i="3" s="1"/>
  <c r="M30" i="3"/>
  <c r="N30" i="3" s="1"/>
  <c r="M322" i="3"/>
  <c r="N322" i="3" s="1"/>
  <c r="M467" i="3"/>
  <c r="N467" i="3" s="1"/>
  <c r="M497" i="3"/>
  <c r="N497" i="3" s="1"/>
  <c r="M270" i="3"/>
  <c r="N270" i="3" s="1"/>
  <c r="M234" i="3"/>
  <c r="N234" i="3" s="1"/>
  <c r="M316" i="3"/>
  <c r="N316" i="3" s="1"/>
  <c r="M287" i="3"/>
  <c r="M90" i="3"/>
  <c r="N90" i="3" s="1"/>
  <c r="M233" i="3"/>
  <c r="N233" i="3" s="1"/>
  <c r="M410" i="3"/>
  <c r="N410" i="3" s="1"/>
  <c r="M506" i="3"/>
  <c r="N506" i="3" s="1"/>
  <c r="M545" i="3"/>
  <c r="N545" i="3" s="1"/>
  <c r="M439" i="3"/>
  <c r="N439" i="3" s="1"/>
  <c r="M502" i="3"/>
  <c r="N502" i="3" s="1"/>
  <c r="M429" i="3"/>
  <c r="N429" i="3" s="1"/>
  <c r="M207" i="3"/>
  <c r="N207" i="3" s="1"/>
  <c r="M191" i="3"/>
  <c r="N191" i="3" s="1"/>
  <c r="M81" i="3"/>
  <c r="N81" i="3" s="1"/>
  <c r="M159" i="3"/>
  <c r="N159" i="3" s="1"/>
  <c r="M556" i="3"/>
  <c r="N556" i="3" s="1"/>
  <c r="M446" i="3"/>
  <c r="N446" i="3" s="1"/>
  <c r="M143" i="3"/>
  <c r="N143" i="3" s="1"/>
  <c r="M494" i="3"/>
  <c r="N494" i="3" s="1"/>
  <c r="M195" i="3"/>
  <c r="N195" i="3" s="1"/>
  <c r="M353" i="3"/>
  <c r="N353" i="3" s="1"/>
  <c r="M544" i="3"/>
  <c r="N544" i="3" s="1"/>
  <c r="M263" i="3"/>
  <c r="N263" i="3" s="1"/>
  <c r="M386" i="3"/>
  <c r="N386" i="3" s="1"/>
  <c r="M334" i="3"/>
  <c r="N334" i="3" s="1"/>
  <c r="M140" i="3"/>
  <c r="N140" i="3" s="1"/>
  <c r="M344" i="3"/>
  <c r="N344" i="3" s="1"/>
  <c r="M409" i="3"/>
  <c r="N409" i="3" s="1"/>
  <c r="M461" i="3"/>
  <c r="N461" i="3" s="1"/>
  <c r="M158" i="3"/>
  <c r="N158" i="3" s="1"/>
  <c r="M256" i="3"/>
  <c r="N256" i="3" s="1"/>
  <c r="M68" i="3"/>
  <c r="N68" i="3" s="1"/>
  <c r="M364" i="3"/>
  <c r="M82" i="3"/>
  <c r="N82" i="3" s="1"/>
  <c r="M142" i="3"/>
  <c r="N142" i="3" s="1"/>
  <c r="M543" i="3"/>
  <c r="N543" i="3" s="1"/>
  <c r="M205" i="3"/>
  <c r="N205" i="3" s="1"/>
  <c r="M157" i="3"/>
  <c r="N157" i="3" s="1"/>
  <c r="M528" i="3"/>
  <c r="N528" i="3" s="1"/>
  <c r="M581" i="3"/>
  <c r="N581" i="3" s="1"/>
  <c r="M537" i="3"/>
  <c r="N537" i="3" s="1"/>
  <c r="M264" i="3"/>
  <c r="N264" i="3" s="1"/>
  <c r="M459" i="3"/>
  <c r="N459" i="3" s="1"/>
  <c r="M327" i="3"/>
  <c r="N327" i="3" s="1"/>
  <c r="M14" i="3"/>
  <c r="N14" i="3" s="1"/>
  <c r="M80" i="3"/>
  <c r="N80" i="3" s="1"/>
  <c r="M221" i="3"/>
  <c r="M490" i="3"/>
  <c r="N490" i="3" s="1"/>
  <c r="M171" i="3"/>
  <c r="N171" i="3" s="1"/>
  <c r="M487" i="3"/>
  <c r="N487" i="3" s="1"/>
  <c r="M378" i="3"/>
  <c r="N378" i="3" s="1"/>
  <c r="M546" i="3"/>
  <c r="N546" i="3" s="1"/>
  <c r="M312" i="3"/>
  <c r="N312" i="3" s="1"/>
  <c r="M387" i="3"/>
  <c r="N387" i="3" s="1"/>
  <c r="M198" i="3"/>
  <c r="N198" i="3" s="1"/>
  <c r="M399" i="3"/>
  <c r="N399" i="3" s="1"/>
  <c r="M251" i="3"/>
  <c r="N251" i="3" s="1"/>
  <c r="M117" i="3"/>
  <c r="N117" i="3" s="1"/>
  <c r="M483" i="3"/>
  <c r="M222" i="3"/>
  <c r="N222" i="3" s="1"/>
  <c r="M45" i="3"/>
  <c r="N45" i="3" s="1"/>
  <c r="M223" i="3"/>
  <c r="N223" i="3" s="1"/>
  <c r="M333" i="3"/>
  <c r="N333" i="3" s="1"/>
  <c r="M368" i="3"/>
  <c r="N368" i="3" s="1"/>
  <c r="M355" i="3"/>
  <c r="N355" i="3" s="1"/>
  <c r="M570" i="3"/>
  <c r="N570" i="3" s="1"/>
  <c r="M3" i="3"/>
  <c r="N3" i="3" s="1"/>
  <c r="M418" i="3"/>
  <c r="N418" i="3" s="1"/>
  <c r="M164" i="3"/>
  <c r="N164" i="3" s="1"/>
  <c r="M375" i="3"/>
  <c r="N375" i="3" s="1"/>
  <c r="M525" i="3"/>
  <c r="N525" i="3" s="1"/>
  <c r="M566" i="3"/>
  <c r="N566" i="3" s="1"/>
  <c r="M93" i="3"/>
  <c r="N93" i="3" s="1"/>
  <c r="M258" i="3"/>
  <c r="N258" i="3" s="1"/>
  <c r="M571" i="3"/>
  <c r="N571" i="3" s="1"/>
  <c r="M160" i="3"/>
  <c r="N160" i="3" s="1"/>
  <c r="M331" i="3"/>
  <c r="N331" i="3" s="1"/>
  <c r="M240" i="3"/>
  <c r="N240" i="3" s="1"/>
  <c r="M321" i="3"/>
  <c r="N321" i="3" s="1"/>
  <c r="M398" i="3"/>
  <c r="N398" i="3" s="1"/>
  <c r="M239" i="3"/>
  <c r="N239" i="3" s="1"/>
  <c r="M371" i="3"/>
  <c r="M471" i="3"/>
  <c r="N471" i="3" s="1"/>
  <c r="M476" i="3"/>
  <c r="N476" i="3" s="1"/>
  <c r="M269" i="3"/>
  <c r="N269" i="3" s="1"/>
  <c r="M7" i="3"/>
  <c r="N7" i="3" s="1"/>
  <c r="M347" i="3"/>
  <c r="N347" i="3" s="1"/>
  <c r="M326" i="3"/>
  <c r="N326" i="3" s="1"/>
  <c r="M208" i="3"/>
  <c r="N208" i="3" s="1"/>
  <c r="M41" i="3"/>
  <c r="N41" i="3" s="1"/>
  <c r="M25" i="3"/>
  <c r="N25" i="3" s="1"/>
  <c r="M373" i="3"/>
  <c r="N373" i="3" s="1"/>
  <c r="M49" i="3"/>
  <c r="N49" i="3" s="1"/>
  <c r="M338" i="3"/>
  <c r="N338" i="3" s="1"/>
  <c r="M392" i="3"/>
  <c r="M397" i="3"/>
  <c r="N397" i="3" s="1"/>
  <c r="M19" i="3"/>
  <c r="N19" i="3" s="1"/>
  <c r="M254" i="3"/>
  <c r="N254" i="3" s="1"/>
  <c r="M281" i="3"/>
  <c r="N281" i="3" s="1"/>
  <c r="M48" i="3"/>
  <c r="N48" i="3" s="1"/>
  <c r="M381" i="3"/>
  <c r="N381" i="3" s="1"/>
  <c r="M578" i="3"/>
  <c r="N578" i="3" s="1"/>
  <c r="M13" i="3"/>
  <c r="N13" i="3" s="1"/>
  <c r="M252" i="3"/>
  <c r="N252" i="3" s="1"/>
  <c r="M539" i="3"/>
  <c r="N539" i="3" s="1"/>
  <c r="M210" i="3"/>
  <c r="N210" i="3" s="1"/>
  <c r="M521" i="3"/>
  <c r="N521" i="3" s="1"/>
  <c r="M549" i="3"/>
  <c r="N549" i="3" s="1"/>
  <c r="M200" i="3"/>
  <c r="N200" i="3" s="1"/>
  <c r="M342" i="3"/>
  <c r="N342" i="3" s="1"/>
  <c r="M442" i="3"/>
  <c r="N442" i="3" s="1"/>
  <c r="M293" i="3"/>
  <c r="N293" i="3" s="1"/>
  <c r="M290" i="3"/>
  <c r="N290" i="3" s="1"/>
  <c r="M306" i="3"/>
  <c r="N306" i="3" s="1"/>
  <c r="M464" i="3"/>
  <c r="N464" i="3" s="1"/>
  <c r="M385" i="3"/>
  <c r="N385" i="3" s="1"/>
  <c r="M94" i="3"/>
  <c r="N94" i="3" s="1"/>
  <c r="M491" i="3"/>
  <c r="N491" i="3" s="1"/>
  <c r="M359" i="3"/>
  <c r="N359" i="3" s="1"/>
  <c r="M301" i="3"/>
  <c r="N301" i="3" s="1"/>
  <c r="M103" i="3"/>
  <c r="N103" i="3" s="1"/>
  <c r="M188" i="3"/>
  <c r="N188" i="3" s="1"/>
  <c r="M495" i="3"/>
  <c r="N495" i="3" s="1"/>
  <c r="M172" i="3"/>
  <c r="N172" i="3" s="1"/>
  <c r="M8" i="3"/>
  <c r="N8" i="3" s="1"/>
  <c r="M268" i="3"/>
  <c r="N268" i="3" s="1"/>
  <c r="M165" i="3"/>
  <c r="N165" i="3" s="1"/>
  <c r="M308" i="3"/>
  <c r="N308" i="3" s="1"/>
  <c r="M241" i="3"/>
  <c r="N241" i="3" s="1"/>
  <c r="M100" i="3"/>
  <c r="N100" i="3" s="1"/>
  <c r="M190" i="3"/>
  <c r="M412" i="3"/>
  <c r="N412" i="3" s="1"/>
  <c r="M534" i="3"/>
  <c r="N534" i="3" s="1"/>
  <c r="M17" i="3"/>
  <c r="N17" i="3" s="1"/>
  <c r="M238" i="3"/>
  <c r="N238" i="3" s="1"/>
  <c r="M552" i="3"/>
  <c r="N552" i="3" s="1"/>
  <c r="M149" i="3"/>
  <c r="N149" i="3" s="1"/>
  <c r="M463" i="3"/>
  <c r="N463" i="3" s="1"/>
  <c r="M247" i="3"/>
  <c r="N247" i="3" s="1"/>
  <c r="M274" i="3"/>
  <c r="N274" i="3" s="1"/>
  <c r="M86" i="3"/>
  <c r="N86" i="3" s="1"/>
  <c r="M298" i="3"/>
  <c r="N298" i="3" s="1"/>
  <c r="M54" i="3"/>
  <c r="N54" i="3" s="1"/>
  <c r="M97" i="3"/>
  <c r="N97" i="3" s="1"/>
  <c r="M202" i="3"/>
  <c r="N202" i="3" s="1"/>
  <c r="M267" i="3"/>
  <c r="N267" i="3" s="1"/>
  <c r="M73" i="3"/>
  <c r="N73" i="3" s="1"/>
  <c r="M166" i="3"/>
  <c r="N166" i="3" s="1"/>
  <c r="M106" i="3"/>
  <c r="N106" i="3" s="1"/>
  <c r="M309" i="3"/>
  <c r="N309" i="3" s="1"/>
  <c r="M59" i="3"/>
  <c r="N59" i="3" s="1"/>
  <c r="M346" i="3"/>
  <c r="N346" i="3" s="1"/>
  <c r="M573" i="3"/>
  <c r="N573" i="3" s="1"/>
  <c r="M74" i="3"/>
  <c r="N74" i="3" s="1"/>
  <c r="M454" i="3"/>
  <c r="N454" i="3" s="1"/>
  <c r="M9" i="3"/>
  <c r="N9" i="3" s="1"/>
  <c r="M453" i="3"/>
  <c r="N453" i="3" s="1"/>
  <c r="M564" i="3"/>
  <c r="N564" i="3" s="1"/>
  <c r="M18" i="3"/>
  <c r="N18" i="3" s="1"/>
  <c r="M501" i="3"/>
  <c r="N501" i="3" s="1"/>
  <c r="M369" i="3"/>
  <c r="N369" i="3" s="1"/>
  <c r="M201" i="3"/>
  <c r="N201" i="3" s="1"/>
  <c r="M403" i="3"/>
  <c r="N403" i="3" s="1"/>
  <c r="M272" i="3"/>
  <c r="N272" i="3" s="1"/>
  <c r="M218" i="3"/>
  <c r="N218" i="3" s="1"/>
  <c r="M311" i="3"/>
  <c r="N311" i="3" s="1"/>
  <c r="M530" i="3"/>
  <c r="N530" i="3" s="1"/>
  <c r="M115" i="3"/>
  <c r="N115" i="3" s="1"/>
  <c r="M261" i="3"/>
  <c r="N261" i="3" s="1"/>
  <c r="M89" i="3"/>
  <c r="N89" i="3" s="1"/>
  <c r="M382" i="3"/>
  <c r="N382" i="3" s="1"/>
  <c r="M547" i="3"/>
  <c r="N547" i="3" s="1"/>
  <c r="M324" i="3"/>
  <c r="N324" i="3" s="1"/>
  <c r="M122" i="3"/>
  <c r="N122" i="3" s="1"/>
  <c r="M393" i="3"/>
  <c r="N393" i="3" s="1"/>
  <c r="M193" i="3"/>
  <c r="N193" i="3" s="1"/>
  <c r="M162" i="3"/>
  <c r="N162" i="3" s="1"/>
  <c r="M477" i="3"/>
  <c r="N477" i="3" s="1"/>
  <c r="M475" i="3"/>
  <c r="N475" i="3" s="1"/>
  <c r="M452" i="3"/>
  <c r="N452" i="3" s="1"/>
  <c r="M379" i="3"/>
  <c r="M320" i="3"/>
  <c r="N320" i="3" s="1"/>
  <c r="M376" i="3"/>
  <c r="N376" i="3" s="1"/>
  <c r="M79" i="3"/>
  <c r="N79" i="3" s="1"/>
  <c r="M435" i="3"/>
  <c r="N435" i="3" s="1"/>
  <c r="M510" i="3"/>
  <c r="N510" i="3" s="1"/>
  <c r="M255" i="3"/>
  <c r="N255" i="3" s="1"/>
  <c r="M515" i="3"/>
  <c r="N515" i="3" s="1"/>
  <c r="M465" i="3"/>
  <c r="N465" i="3" s="1"/>
  <c r="M168" i="3"/>
  <c r="N168" i="3" s="1"/>
  <c r="M450" i="3"/>
  <c r="N450" i="3" s="1"/>
  <c r="M511" i="3"/>
  <c r="N511" i="3" s="1"/>
  <c r="M462" i="3"/>
  <c r="N462" i="3" s="1"/>
  <c r="M367" i="3"/>
  <c r="N367" i="3" s="1"/>
  <c r="M420" i="3"/>
  <c r="N420" i="3" s="1"/>
  <c r="M554" i="3"/>
  <c r="M237" i="3"/>
  <c r="N237" i="3" s="1"/>
  <c r="M27" i="3"/>
  <c r="N27" i="3" s="1"/>
  <c r="M148" i="3"/>
  <c r="N148" i="3" s="1"/>
  <c r="M211" i="3"/>
  <c r="N211" i="3" s="1"/>
  <c r="M427" i="3"/>
  <c r="N427" i="3" s="1"/>
  <c r="M565" i="3"/>
  <c r="N565" i="3" s="1"/>
  <c r="M24" i="3"/>
  <c r="N24" i="3" s="1"/>
  <c r="M486" i="3"/>
  <c r="N486" i="3" s="1"/>
  <c r="M499" i="3"/>
  <c r="N499" i="3" s="1"/>
  <c r="M57" i="3"/>
  <c r="N57" i="3" s="1"/>
  <c r="M533" i="3"/>
  <c r="M248" i="3"/>
  <c r="N248" i="3" s="1"/>
  <c r="M20" i="3"/>
  <c r="N20" i="3" s="1"/>
  <c r="M170" i="3"/>
  <c r="N170" i="3" s="1"/>
  <c r="M278" i="3"/>
  <c r="N278" i="3" s="1"/>
  <c r="M105" i="3"/>
  <c r="N105" i="3" s="1"/>
  <c r="M357" i="3"/>
  <c r="N357" i="3" s="1"/>
  <c r="M390" i="3"/>
  <c r="N390" i="3" s="1"/>
  <c r="M277" i="3"/>
  <c r="N277" i="3" s="1"/>
  <c r="M15" i="3"/>
  <c r="N15" i="3" s="1"/>
  <c r="M32" i="3"/>
  <c r="N32" i="3" s="1"/>
  <c r="M307" i="3"/>
  <c r="N307" i="3" s="1"/>
  <c r="M352" i="3"/>
  <c r="N352" i="3" s="1"/>
  <c r="M319" i="3"/>
  <c r="N319" i="3" s="1"/>
  <c r="M559" i="3"/>
  <c r="N559" i="3" s="1"/>
  <c r="M72" i="3"/>
  <c r="N72" i="3" s="1"/>
  <c r="M560" i="3"/>
  <c r="N560" i="3" s="1"/>
  <c r="M46" i="3"/>
  <c r="N46" i="3" s="1"/>
  <c r="M259" i="3"/>
  <c r="N259" i="3" s="1"/>
  <c r="M575" i="3"/>
  <c r="N575" i="3" s="1"/>
  <c r="M243" i="3"/>
  <c r="N243" i="3" s="1"/>
  <c r="M110" i="3"/>
  <c r="M438" i="3"/>
  <c r="N438" i="3" s="1"/>
  <c r="M512" i="3"/>
  <c r="N512" i="3" s="1"/>
  <c r="M265" i="3"/>
  <c r="N265" i="3" s="1"/>
  <c r="M437" i="3"/>
  <c r="N437" i="3" s="1"/>
  <c r="M557" i="3"/>
  <c r="N557" i="3" s="1"/>
  <c r="M303" i="3"/>
  <c r="N303" i="3" s="1"/>
  <c r="M443" i="3"/>
  <c r="N443" i="3" s="1"/>
  <c r="M520" i="3"/>
  <c r="N520" i="3" s="1"/>
  <c r="M214" i="3"/>
  <c r="N214" i="3" s="1"/>
  <c r="M120" i="3"/>
  <c r="N120" i="3" s="1"/>
  <c r="M350" i="3"/>
  <c r="N350" i="3" s="1"/>
  <c r="M536" i="3"/>
  <c r="M76" i="3"/>
  <c r="N76" i="3" s="1"/>
  <c r="M62" i="3"/>
  <c r="N62" i="3" s="1"/>
  <c r="M423" i="3"/>
  <c r="N423" i="3" s="1"/>
  <c r="M482" i="3"/>
  <c r="N482" i="3" s="1"/>
  <c r="M517" i="3"/>
  <c r="N517" i="3" s="1"/>
  <c r="M295" i="3"/>
  <c r="N295" i="3" s="1"/>
  <c r="M395" i="3"/>
  <c r="N395" i="3" s="1"/>
  <c r="M425" i="3"/>
  <c r="N425" i="3" s="1"/>
  <c r="M60" i="3"/>
  <c r="N60" i="3" s="1"/>
  <c r="M12" i="3"/>
  <c r="M504" i="3"/>
  <c r="N504" i="3" s="1"/>
  <c r="M289" i="3"/>
  <c r="N289" i="3" s="1"/>
  <c r="M260" i="3"/>
  <c r="N260" i="3" s="1"/>
  <c r="M370" i="3"/>
  <c r="N370" i="3" s="1"/>
  <c r="M249" i="3"/>
  <c r="N249" i="3" s="1"/>
  <c r="M229" i="3"/>
  <c r="N229" i="3" s="1"/>
  <c r="M354" i="3"/>
  <c r="N354" i="3" s="1"/>
  <c r="M503" i="3"/>
  <c r="N503" i="3" s="1"/>
  <c r="M336" i="3"/>
  <c r="N336" i="3" s="1"/>
  <c r="M523" i="3"/>
  <c r="N523" i="3" s="1"/>
  <c r="M349" i="3"/>
  <c r="N349" i="3" s="1"/>
  <c r="M53" i="3"/>
  <c r="N53" i="3" s="1"/>
  <c r="M498" i="3"/>
  <c r="N498" i="3" s="1"/>
  <c r="M558" i="3"/>
  <c r="N558" i="3" s="1"/>
  <c r="M365" i="3"/>
  <c r="N365" i="3" s="1"/>
  <c r="M431" i="3"/>
  <c r="N431" i="3" s="1"/>
  <c r="M266" i="3"/>
  <c r="N266" i="3" s="1"/>
  <c r="M519" i="3"/>
  <c r="N519" i="3" s="1"/>
  <c r="M526" i="3"/>
  <c r="N526" i="3" s="1"/>
  <c r="P428" i="3" l="1"/>
  <c r="N433" i="3"/>
  <c r="P434" i="3"/>
  <c r="P448" i="3"/>
  <c r="P469" i="3"/>
  <c r="P567" i="3"/>
  <c r="P348" i="3"/>
  <c r="P551" i="3"/>
  <c r="P161" i="3"/>
  <c r="P500" i="3"/>
  <c r="P509" i="3"/>
  <c r="P145" i="3"/>
  <c r="P413" i="3"/>
  <c r="P518" i="3"/>
  <c r="P318" i="3"/>
  <c r="P563" i="3"/>
  <c r="P70" i="3"/>
  <c r="P242" i="3"/>
  <c r="P411" i="3"/>
  <c r="P109" i="3"/>
  <c r="P36" i="3"/>
  <c r="P189" i="3"/>
  <c r="P574" i="3"/>
  <c r="P426" i="3"/>
  <c r="P514" i="3"/>
  <c r="P440" i="3"/>
  <c r="P292" i="3"/>
  <c r="P173" i="3"/>
  <c r="P215" i="3"/>
  <c r="P496" i="3"/>
  <c r="N110" i="3"/>
  <c r="P110" i="3"/>
  <c r="N533" i="3"/>
  <c r="P533" i="3"/>
  <c r="N379" i="3"/>
  <c r="P379" i="3"/>
  <c r="N190" i="3"/>
  <c r="P190" i="3"/>
  <c r="N392" i="3"/>
  <c r="P392" i="3"/>
  <c r="N371" i="3"/>
  <c r="P371" i="3"/>
  <c r="N483" i="3"/>
  <c r="P483" i="3"/>
  <c r="N221" i="3"/>
  <c r="P221" i="3"/>
  <c r="N287" i="3"/>
  <c r="P287" i="3"/>
  <c r="N538" i="3"/>
  <c r="P538" i="3"/>
  <c r="N283" i="3"/>
  <c r="P283" i="3"/>
  <c r="P406" i="3"/>
  <c r="N406" i="3"/>
  <c r="N156" i="3"/>
  <c r="P156" i="3"/>
  <c r="P125" i="3"/>
  <c r="N125" i="3"/>
  <c r="P455" i="3"/>
  <c r="N455" i="3"/>
  <c r="N451" i="3"/>
  <c r="P451" i="3"/>
  <c r="P519" i="3"/>
  <c r="P365" i="3"/>
  <c r="P336" i="3"/>
  <c r="P260" i="3"/>
  <c r="P425" i="3"/>
  <c r="P482" i="3"/>
  <c r="P76" i="3"/>
  <c r="P120" i="3"/>
  <c r="P443" i="3"/>
  <c r="P311" i="3"/>
  <c r="P383" i="3"/>
  <c r="N12" i="3"/>
  <c r="P12" i="3"/>
  <c r="N536" i="3"/>
  <c r="P536" i="3"/>
  <c r="N364" i="3"/>
  <c r="P364" i="3"/>
  <c r="N315" i="3"/>
  <c r="P315" i="3"/>
  <c r="N169" i="3"/>
  <c r="P169" i="3"/>
  <c r="P446" i="3"/>
  <c r="P359" i="3"/>
  <c r="N554" i="3"/>
  <c r="P554" i="3"/>
  <c r="N96" i="3"/>
  <c r="P96" i="3"/>
  <c r="N87" i="3"/>
  <c r="P87" i="3"/>
  <c r="P431" i="3"/>
  <c r="P498" i="3"/>
  <c r="P349" i="3"/>
  <c r="P354" i="3"/>
  <c r="P370" i="3"/>
  <c r="P295" i="3"/>
  <c r="P62" i="3"/>
  <c r="P350" i="3"/>
  <c r="P520" i="3"/>
  <c r="P265" i="3"/>
  <c r="P243" i="3"/>
  <c r="P560" i="3"/>
  <c r="P319" i="3"/>
  <c r="P419" i="3"/>
  <c r="P568" i="3"/>
  <c r="P53" i="3"/>
  <c r="P525" i="3"/>
  <c r="P414" i="3"/>
  <c r="N414" i="3"/>
  <c r="N226" i="3"/>
  <c r="P226" i="3"/>
  <c r="P526" i="3"/>
  <c r="P523" i="3"/>
  <c r="P229" i="3"/>
  <c r="P504" i="3"/>
  <c r="P60" i="3"/>
  <c r="P517" i="3"/>
  <c r="P557" i="3"/>
  <c r="P512" i="3"/>
  <c r="P575" i="3"/>
  <c r="P352" i="3"/>
  <c r="P273" i="3"/>
  <c r="P493" i="3"/>
  <c r="P116" i="3"/>
  <c r="P282" i="3"/>
  <c r="P437" i="3"/>
  <c r="P438" i="3"/>
  <c r="P259" i="3"/>
  <c r="P72" i="3"/>
  <c r="P32" i="3"/>
  <c r="P277" i="3"/>
  <c r="P105" i="3"/>
  <c r="P20" i="3"/>
  <c r="P248" i="3"/>
  <c r="P57" i="3"/>
  <c r="P24" i="3"/>
  <c r="P148" i="3"/>
  <c r="P237" i="3"/>
  <c r="P462" i="3"/>
  <c r="P465" i="3"/>
  <c r="P320" i="3"/>
  <c r="P477" i="3"/>
  <c r="P382" i="3"/>
  <c r="P530" i="3"/>
  <c r="P272" i="3"/>
  <c r="P501" i="3"/>
  <c r="P573" i="3"/>
  <c r="P309" i="3"/>
  <c r="P73" i="3"/>
  <c r="P298" i="3"/>
  <c r="P238" i="3"/>
  <c r="P412" i="3"/>
  <c r="P241" i="3"/>
  <c r="P301" i="3"/>
  <c r="P94" i="3"/>
  <c r="P290" i="3"/>
  <c r="P200" i="3"/>
  <c r="P539" i="3"/>
  <c r="P578" i="3"/>
  <c r="P281" i="3"/>
  <c r="P397" i="3"/>
  <c r="P373" i="3"/>
  <c r="P41" i="3"/>
  <c r="P347" i="3"/>
  <c r="P471" i="3"/>
  <c r="P240" i="3"/>
  <c r="P571" i="3"/>
  <c r="P566" i="3"/>
  <c r="P418" i="3"/>
  <c r="P570" i="3"/>
  <c r="P223" i="3"/>
  <c r="P222" i="3"/>
  <c r="P251" i="3"/>
  <c r="P312" i="3"/>
  <c r="P171" i="3"/>
  <c r="P490" i="3"/>
  <c r="P327" i="3"/>
  <c r="P581" i="3"/>
  <c r="P157" i="3"/>
  <c r="P82" i="3"/>
  <c r="P158" i="3"/>
  <c r="P140" i="3"/>
  <c r="P544" i="3"/>
  <c r="P143" i="3"/>
  <c r="P81" i="3"/>
  <c r="P429" i="3"/>
  <c r="P506" i="3"/>
  <c r="P90" i="3"/>
  <c r="P270" i="3"/>
  <c r="P400" i="3"/>
  <c r="P212" i="3"/>
  <c r="P132" i="3"/>
  <c r="P479" i="3"/>
  <c r="P527" i="3"/>
  <c r="P187" i="3"/>
  <c r="P317" i="3"/>
  <c r="P253" i="3"/>
  <c r="P481" i="3"/>
  <c r="P250" i="3"/>
  <c r="P75" i="3"/>
  <c r="P88" i="3"/>
  <c r="P38" i="3"/>
  <c r="P121" i="3"/>
  <c r="P50" i="3"/>
  <c r="P444" i="3"/>
  <c r="P225" i="3"/>
  <c r="P280" i="3"/>
  <c r="P40" i="3"/>
  <c r="P456" i="3"/>
  <c r="P405" i="3"/>
  <c r="P216" i="3"/>
  <c r="P141" i="3"/>
  <c r="P182" i="3"/>
  <c r="P184" i="3"/>
  <c r="P422" i="3"/>
  <c r="P424" i="3"/>
  <c r="P555" i="3"/>
  <c r="P473" i="3"/>
  <c r="P505" i="3"/>
  <c r="P516" i="3"/>
  <c r="P562" i="3"/>
  <c r="P10" i="3"/>
  <c r="P181" i="3"/>
  <c r="P480" i="3"/>
  <c r="P325" i="3"/>
  <c r="P84" i="3"/>
  <c r="P128" i="3"/>
  <c r="P63" i="3"/>
  <c r="P163" i="3"/>
  <c r="P213" i="3"/>
  <c r="P65" i="3"/>
  <c r="P332" i="3"/>
  <c r="P146" i="3"/>
  <c r="P460" i="3"/>
  <c r="P236" i="3"/>
  <c r="P235" i="3"/>
  <c r="P421" i="3"/>
  <c r="P199" i="3"/>
  <c r="P572" i="3"/>
  <c r="P5" i="3"/>
  <c r="P232" i="3"/>
  <c r="P177" i="3"/>
  <c r="N147" i="3"/>
  <c r="P147" i="3"/>
  <c r="P266" i="3"/>
  <c r="P558" i="3"/>
  <c r="P503" i="3"/>
  <c r="P249" i="3"/>
  <c r="P289" i="3"/>
  <c r="P395" i="3"/>
  <c r="P423" i="3"/>
  <c r="P214" i="3"/>
  <c r="P303" i="3"/>
  <c r="P46" i="3"/>
  <c r="P559" i="3"/>
  <c r="P307" i="3"/>
  <c r="P390" i="3"/>
  <c r="P278" i="3"/>
  <c r="P499" i="3"/>
  <c r="P565" i="3"/>
  <c r="P511" i="3"/>
  <c r="P515" i="3"/>
  <c r="P435" i="3"/>
  <c r="P162" i="3"/>
  <c r="P122" i="3"/>
  <c r="P89" i="3"/>
  <c r="P403" i="3"/>
  <c r="P18" i="3"/>
  <c r="P9" i="3"/>
  <c r="P166" i="3"/>
  <c r="P86" i="3"/>
  <c r="P463" i="3"/>
  <c r="P308" i="3"/>
  <c r="P8" i="3"/>
  <c r="P188" i="3"/>
  <c r="P385" i="3"/>
  <c r="P293" i="3"/>
  <c r="P549" i="3"/>
  <c r="P381" i="3"/>
  <c r="P254" i="3"/>
  <c r="P7" i="3"/>
  <c r="P331" i="3"/>
  <c r="P355" i="3"/>
  <c r="P399" i="3"/>
  <c r="P546" i="3"/>
  <c r="P459" i="3"/>
  <c r="P528" i="3"/>
  <c r="P205" i="3"/>
  <c r="P461" i="3"/>
  <c r="P334" i="3"/>
  <c r="P353" i="3"/>
  <c r="P191" i="3"/>
  <c r="P502" i="3"/>
  <c r="P410" i="3"/>
  <c r="P497" i="3"/>
  <c r="P30" i="3"/>
  <c r="P362" i="3"/>
  <c r="P203" i="3"/>
  <c r="P58" i="3"/>
  <c r="P102" i="3"/>
  <c r="P579" i="3"/>
  <c r="P55" i="3"/>
  <c r="P209" i="3"/>
  <c r="P2" i="3"/>
  <c r="P197" i="3"/>
  <c r="P98" i="3"/>
  <c r="P329" i="3"/>
  <c r="P126" i="3"/>
  <c r="P69" i="3"/>
  <c r="P529" i="3"/>
  <c r="P489" i="3"/>
  <c r="P576" i="3"/>
  <c r="P432" i="3"/>
  <c r="P396" i="3"/>
  <c r="P449" i="3"/>
  <c r="P123" i="3"/>
  <c r="P286" i="3"/>
  <c r="P34" i="3"/>
  <c r="P227" i="3"/>
  <c r="P540" i="3"/>
  <c r="P284" i="3"/>
  <c r="P43" i="3"/>
  <c r="P485" i="3"/>
  <c r="P466" i="3"/>
  <c r="P361" i="3"/>
  <c r="P445" i="3"/>
  <c r="P492" i="3"/>
  <c r="P71" i="3"/>
  <c r="P133" i="3"/>
  <c r="P118" i="3"/>
  <c r="P22" i="3"/>
  <c r="P384" i="3"/>
  <c r="P357" i="3"/>
  <c r="P170" i="3"/>
  <c r="P427" i="3"/>
  <c r="P27" i="3"/>
  <c r="P420" i="3"/>
  <c r="P450" i="3"/>
  <c r="P255" i="3"/>
  <c r="P79" i="3"/>
  <c r="P452" i="3"/>
  <c r="P193" i="3"/>
  <c r="P324" i="3"/>
  <c r="P261" i="3"/>
  <c r="P218" i="3"/>
  <c r="P201" i="3"/>
  <c r="P564" i="3"/>
  <c r="P454" i="3"/>
  <c r="P346" i="3"/>
  <c r="P267" i="3"/>
  <c r="P97" i="3"/>
  <c r="P274" i="3"/>
  <c r="P149" i="3"/>
  <c r="P17" i="3"/>
  <c r="P165" i="3"/>
  <c r="P172" i="3"/>
  <c r="P491" i="3"/>
  <c r="P464" i="3"/>
  <c r="P442" i="3"/>
  <c r="P521" i="3"/>
  <c r="P338" i="3"/>
  <c r="P208" i="3"/>
  <c r="P269" i="3"/>
  <c r="P239" i="3"/>
  <c r="P321" i="3"/>
  <c r="P258" i="3"/>
  <c r="P375" i="3"/>
  <c r="P368" i="3"/>
  <c r="P117" i="3"/>
  <c r="P198" i="3"/>
  <c r="P378" i="3"/>
  <c r="P80" i="3"/>
  <c r="P264" i="3"/>
  <c r="P543" i="3"/>
  <c r="P68" i="3"/>
  <c r="P409" i="3"/>
  <c r="P386" i="3"/>
  <c r="P195" i="3"/>
  <c r="P556" i="3"/>
  <c r="P439" i="3"/>
  <c r="P233" i="3"/>
  <c r="P316" i="3"/>
  <c r="P467" i="3"/>
  <c r="P302" i="3"/>
  <c r="P374" i="3"/>
  <c r="P219" i="3"/>
  <c r="P151" i="3"/>
  <c r="P488" i="3"/>
  <c r="P39" i="3"/>
  <c r="P372" i="3"/>
  <c r="P230" i="3"/>
  <c r="P91" i="3"/>
  <c r="P356" i="3"/>
  <c r="P305" i="3"/>
  <c r="P323" i="3"/>
  <c r="P351" i="3"/>
  <c r="P23" i="3"/>
  <c r="P66" i="3"/>
  <c r="P16" i="3"/>
  <c r="P114" i="3"/>
  <c r="P337" i="3"/>
  <c r="P535" i="3"/>
  <c r="P275" i="3"/>
  <c r="P35" i="3"/>
  <c r="P271" i="3"/>
  <c r="P507" i="3"/>
  <c r="P415" i="3"/>
  <c r="P474" i="3"/>
  <c r="P299" i="3"/>
  <c r="P67" i="3"/>
  <c r="P104" i="3"/>
  <c r="P508" i="3"/>
  <c r="P389" i="3"/>
  <c r="P577" i="3"/>
  <c r="P548" i="3"/>
  <c r="P582" i="3"/>
  <c r="P436" i="3"/>
  <c r="P183" i="3"/>
  <c r="P220" i="3"/>
  <c r="P441" i="3"/>
  <c r="P296" i="3"/>
  <c r="P288" i="3"/>
  <c r="P6" i="3"/>
  <c r="P447" i="3"/>
  <c r="P328" i="3"/>
  <c r="P340" i="3"/>
  <c r="P64" i="3"/>
  <c r="P112" i="3"/>
  <c r="P15" i="3"/>
  <c r="P486" i="3"/>
  <c r="P211" i="3"/>
  <c r="P367" i="3"/>
  <c r="P168" i="3"/>
  <c r="P510" i="3"/>
  <c r="P376" i="3"/>
  <c r="P475" i="3"/>
  <c r="P393" i="3"/>
  <c r="P547" i="3"/>
  <c r="P115" i="3"/>
  <c r="P369" i="3"/>
  <c r="P453" i="3"/>
  <c r="P74" i="3"/>
  <c r="P59" i="3"/>
  <c r="P106" i="3"/>
  <c r="P202" i="3"/>
  <c r="P54" i="3"/>
  <c r="P247" i="3"/>
  <c r="P552" i="3"/>
  <c r="P534" i="3"/>
  <c r="P100" i="3"/>
  <c r="P268" i="3"/>
  <c r="P495" i="3"/>
  <c r="P103" i="3"/>
  <c r="P306" i="3"/>
  <c r="P342" i="3"/>
  <c r="P210" i="3"/>
  <c r="P252" i="3"/>
  <c r="P13" i="3"/>
  <c r="P48" i="3"/>
  <c r="P19" i="3"/>
  <c r="P49" i="3"/>
  <c r="P25" i="3"/>
  <c r="P326" i="3"/>
  <c r="P476" i="3"/>
  <c r="P398" i="3"/>
  <c r="P160" i="3"/>
  <c r="P93" i="3"/>
  <c r="P164" i="3"/>
  <c r="P3" i="3"/>
  <c r="P333" i="3"/>
  <c r="P45" i="3"/>
  <c r="P387" i="3"/>
  <c r="P487" i="3"/>
  <c r="P14" i="3"/>
  <c r="P537" i="3"/>
  <c r="P142" i="3"/>
  <c r="P256" i="3"/>
  <c r="P344" i="3"/>
  <c r="P263" i="3"/>
  <c r="P494" i="3"/>
  <c r="P159" i="3"/>
  <c r="P207" i="3"/>
  <c r="P545" i="3"/>
  <c r="P234" i="3"/>
  <c r="P322" i="3"/>
  <c r="P33" i="3"/>
  <c r="P416" i="3"/>
  <c r="P153" i="3"/>
  <c r="P358" i="3"/>
  <c r="P553" i="3"/>
  <c r="P175" i="3"/>
  <c r="P257" i="3"/>
  <c r="P524" i="3"/>
  <c r="P152" i="3"/>
  <c r="P78" i="3"/>
  <c r="P580" i="3"/>
  <c r="P360" i="3"/>
  <c r="P178" i="3"/>
  <c r="P101" i="3"/>
  <c r="P341" i="3"/>
  <c r="P380" i="3"/>
  <c r="P294" i="3"/>
  <c r="P61" i="3"/>
  <c r="P417" i="3"/>
  <c r="P204" i="3"/>
  <c r="P472" i="3"/>
  <c r="P92" i="3"/>
  <c r="P550" i="3"/>
  <c r="P478" i="3"/>
  <c r="P457" i="3"/>
  <c r="P402" i="3"/>
  <c r="P404" i="3"/>
  <c r="P186" i="3"/>
  <c r="P394" i="3"/>
  <c r="P138" i="3"/>
  <c r="P541" i="3"/>
  <c r="P150" i="3"/>
  <c r="P531" i="3"/>
  <c r="P228" i="3"/>
  <c r="P407" i="3"/>
  <c r="P458" i="3"/>
  <c r="P285" i="3"/>
  <c r="P113" i="3"/>
  <c r="P155" i="3"/>
  <c r="P468" i="3"/>
  <c r="P408" i="3"/>
  <c r="P339" i="3"/>
  <c r="P363" i="3"/>
  <c r="P192" i="3"/>
  <c r="P300" i="3"/>
  <c r="P42" i="3"/>
  <c r="P262" i="3"/>
  <c r="P206" i="3"/>
  <c r="P542" i="3"/>
  <c r="P144" i="3"/>
  <c r="P107" i="3"/>
  <c r="P135" i="3"/>
  <c r="P185" i="3"/>
  <c r="P85" i="3"/>
  <c r="P129" i="3"/>
  <c r="P231" i="3"/>
  <c r="P47" i="3"/>
  <c r="P291" i="3"/>
  <c r="P167" i="3"/>
  <c r="P4" i="3"/>
  <c r="N2" i="3"/>
  <c r="P56" i="3"/>
  <c r="P134" i="3"/>
  <c r="P111" i="3"/>
  <c r="P246" i="3"/>
  <c r="P130" i="3"/>
  <c r="P484" i="3"/>
  <c r="P391" i="3"/>
  <c r="P310" i="3"/>
  <c r="P26" i="3"/>
  <c r="P179" i="3"/>
  <c r="P154" i="3"/>
  <c r="P37" i="3"/>
  <c r="P430" i="3"/>
  <c r="P11" i="3"/>
  <c r="P180" i="3"/>
  <c r="P108" i="3"/>
  <c r="P196" i="3"/>
  <c r="P244" i="3"/>
  <c r="P31" i="3"/>
  <c r="P131" i="3"/>
  <c r="P119" i="3"/>
  <c r="P83" i="3"/>
  <c r="P95" i="3"/>
  <c r="N413" i="3"/>
  <c r="N70" i="3"/>
  <c r="N345" i="3"/>
  <c r="N318" i="3"/>
  <c r="P569" i="3"/>
  <c r="N411" i="3"/>
  <c r="P345" i="3"/>
  <c r="N173" i="3"/>
  <c r="N532" i="3"/>
  <c r="N127" i="3"/>
  <c r="N509" i="3"/>
  <c r="N514" i="3"/>
  <c r="N314" i="3"/>
  <c r="N434" i="3"/>
  <c r="P314" i="3"/>
  <c r="P136" i="3"/>
  <c r="P343" i="3"/>
  <c r="P276" i="3"/>
  <c r="P279" i="3"/>
  <c r="P77" i="3"/>
  <c r="P532" i="3"/>
  <c r="N551" i="3"/>
  <c r="N109" i="3"/>
  <c r="P313" i="3"/>
  <c r="P401" i="3"/>
  <c r="P29" i="3"/>
  <c r="P137" i="3"/>
  <c r="N440" i="3"/>
  <c r="P217" i="3"/>
  <c r="N36" i="3"/>
  <c r="P224" i="3"/>
  <c r="P44" i="3"/>
  <c r="N189" i="3"/>
  <c r="P127" i="3"/>
  <c r="N292" i="3"/>
  <c r="N574" i="3"/>
  <c r="N145" i="3"/>
  <c r="P194" i="3"/>
  <c r="N426" i="3"/>
  <c r="M245" i="3"/>
  <c r="P245" i="3" s="1"/>
  <c r="P52" i="3"/>
  <c r="P470" i="3"/>
  <c r="P561" i="3"/>
  <c r="P176" i="3"/>
  <c r="P377" i="3"/>
  <c r="N469" i="3"/>
  <c r="N448" i="3"/>
  <c r="P21" i="3"/>
  <c r="N428" i="3"/>
  <c r="P335" i="3"/>
  <c r="N567" i="3"/>
  <c r="P513" i="3"/>
  <c r="P139" i="3"/>
  <c r="N348" i="3"/>
  <c r="P388" i="3"/>
  <c r="N304" i="3"/>
  <c r="P124" i="3"/>
  <c r="P366" i="3"/>
  <c r="P522" i="3"/>
  <c r="N500" i="3"/>
  <c r="N563" i="3"/>
  <c r="P174" i="3"/>
  <c r="P28" i="3"/>
  <c r="N28" i="3"/>
  <c r="P297" i="3"/>
  <c r="P330" i="3"/>
  <c r="P51" i="3"/>
  <c r="N51" i="3"/>
  <c r="P99" i="3"/>
  <c r="N518" i="3"/>
  <c r="P433" i="3"/>
  <c r="N245" i="3" l="1"/>
</calcChain>
</file>

<file path=xl/comments1.xml><?xml version="1.0" encoding="utf-8"?>
<comments xmlns="http://schemas.openxmlformats.org/spreadsheetml/2006/main">
  <authors>
    <author>Financeiro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Financeiro:</t>
        </r>
        <r>
          <rPr>
            <sz val="9"/>
            <color indexed="81"/>
            <rFont val="Tahoma"/>
            <family val="2"/>
          </rPr>
          <t xml:space="preserve">
Tempo que leva para o item ser entregue pelo fornecedor, ser cadastrado e disponível para venda. Tempo em mês.
Por exemplo: 10 idas = 10/30; 15 dias = 15/30.
Sou seja, o número de dias que o fornecedor leva para entregar o item dividido por 30 dias.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Financeiro:</t>
        </r>
        <r>
          <rPr>
            <sz val="9"/>
            <color indexed="81"/>
            <rFont val="Tahoma"/>
            <family val="2"/>
          </rPr>
          <t xml:space="preserve">
Quantas vezes realiza compras no mês.
Por exemplo: se o item é comprado 2 vezes no ano (=1/6); ou é comprado a cada 6 meses (=1/6); ou se o item é comprado a cada 2 meses (=1/2); ou se o item é comprado 3 vezes no ano (=1/4).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Financeiro:</t>
        </r>
        <r>
          <rPr>
            <sz val="9"/>
            <color indexed="81"/>
            <rFont val="Tahoma"/>
            <family val="2"/>
          </rPr>
          <t xml:space="preserve">
Quantidade para atender a venda caso ocorra atraso na entrega do item.
EMínimo = quantidade média mensal vendida X tempo de reposição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Financeiro:</t>
        </r>
        <r>
          <rPr>
            <sz val="9"/>
            <color indexed="81"/>
            <rFont val="Tahoma"/>
            <family val="2"/>
          </rPr>
          <t xml:space="preserve">
Quantidade disponível em estoque que significa que o item tem que ser resposto.
PR = (quantidade média mensal vendida X tempo de reposição) + EMínimo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Financeiro:</t>
        </r>
        <r>
          <rPr>
            <sz val="9"/>
            <color indexed="81"/>
            <rFont val="Tahoma"/>
            <family val="2"/>
          </rPr>
          <t xml:space="preserve">
Sugestão de quantidade a ser comprada.
LC = quantidade média mensal vendida / frequência de compra no mês</t>
        </r>
      </text>
    </comment>
  </commentList>
</comments>
</file>

<file path=xl/sharedStrings.xml><?xml version="1.0" encoding="utf-8"?>
<sst xmlns="http://schemas.openxmlformats.org/spreadsheetml/2006/main" count="2023" uniqueCount="820">
  <si>
    <t>Código</t>
  </si>
  <si>
    <t>Produto</t>
  </si>
  <si>
    <t>Referência</t>
  </si>
  <si>
    <t>Unidade</t>
  </si>
  <si>
    <t>Tot. Venda</t>
  </si>
  <si>
    <t>Tot. Custo</t>
  </si>
  <si>
    <t>Lucro</t>
  </si>
  <si>
    <t>Marg. %</t>
  </si>
  <si>
    <t>TUBO ESG 100M PVC BRAS/ATLAS 41,75</t>
  </si>
  <si>
    <t>UN</t>
  </si>
  <si>
    <t>FECHAD P/PORTA DE ENR. 201 STAM</t>
  </si>
  <si>
    <t>CABO ANT CH 750  2.5M    0,85</t>
  </si>
  <si>
    <t>MT</t>
  </si>
  <si>
    <t>ROÇADEIRA VULCAN CG430      680</t>
  </si>
  <si>
    <t>TUBO POCO JOMECANICO AZUL 4M     99,00</t>
  </si>
  <si>
    <t>ELET OK SERRALHEIRO 3.25  10</t>
  </si>
  <si>
    <t>KG</t>
  </si>
  <si>
    <t>PORTA C/VIDRO C/GRAD 210X80 HABIT 430</t>
  </si>
  <si>
    <t>BOMBA CENTRIF 3/4  THEBE</t>
  </si>
  <si>
    <t>MAQUINA P/BATER AÇAI C/MOTOR   520</t>
  </si>
  <si>
    <t>CAMARA DE AR 3,50X8  LEVORIN  16,60</t>
  </si>
  <si>
    <t>LUVA ALGODAO PIGMENTADA    MESCLADA</t>
  </si>
  <si>
    <t>PR</t>
  </si>
  <si>
    <t>FILTRO POCO AZUL 4PL         59</t>
  </si>
  <si>
    <t>SELADOR ACRIL LT VELOZ 74,00</t>
  </si>
  <si>
    <t>LT</t>
  </si>
  <si>
    <t>FECHAD P/PORTAO 701/100 STAN</t>
  </si>
  <si>
    <t>BOMBA SAPO JS       930    215,00</t>
  </si>
  <si>
    <t>ELET OK 46 3.25MM  20K        16,15</t>
  </si>
  <si>
    <t>PNEU 3.50X8  4.10 LEVORIN   39,90</t>
  </si>
  <si>
    <t>CABO ANT CH 750 10.0M    3,55</t>
  </si>
  <si>
    <t>LAMP HALOGENA  70X220V OUROLUX</t>
  </si>
  <si>
    <t>CABO ANT CH 750  4.0M    1,45</t>
  </si>
  <si>
    <t>TINTA GL ZARCAO CINZA  VELOZ        45</t>
  </si>
  <si>
    <t>GL</t>
  </si>
  <si>
    <t>BOMBA INJET   1/0  THEBE</t>
  </si>
  <si>
    <t>BOMBA SUB 1.00 MONO 220V LEAO C/QUA  1030</t>
  </si>
  <si>
    <t>BOMBA CENTRIF 1/3  THEBE</t>
  </si>
  <si>
    <t>CABO ANT CH 750  6.0M    2,15</t>
  </si>
  <si>
    <t>BOMBA SAPO JS        830    198,00</t>
  </si>
  <si>
    <t>TUBO SOLD 25M PVC BRASIL    11,75</t>
  </si>
  <si>
    <t>BOMBA SUB  1/2 MONO LEAO C/Q 947,9</t>
  </si>
  <si>
    <t>BOMBA SUB  3/4 MONO 220V LEAO S/QUA 920</t>
  </si>
  <si>
    <t>BOMBA INJET   1/2CV THEBE</t>
  </si>
  <si>
    <t>FURADE BOSCH IND GSB 13RE 127V</t>
  </si>
  <si>
    <t>PS CLORO EM GRANEL 1KG HIDRO</t>
  </si>
  <si>
    <t>TALHA MANUAL 1TONEL     3MT</t>
  </si>
  <si>
    <t>CX AGUA 2000 LT TOR FIB           840</t>
  </si>
  <si>
    <t>LAMP ELET 3U 15W220 OUROLUX</t>
  </si>
  <si>
    <t>MASSA LT CORRIDA     VELOZ 32,60</t>
  </si>
  <si>
    <t>CABO FLEX PP 2X2.5</t>
  </si>
  <si>
    <t>MOTOR BRANCO 6.5CV S/SENSO 650</t>
  </si>
  <si>
    <t>TRANSFORMADOR 3000</t>
  </si>
  <si>
    <t>JANELA ALUVID 4FLS VIDRO CANE 1.00X1.20</t>
  </si>
  <si>
    <t>DISCO DE CORT  12 STIL REY  VERME</t>
  </si>
  <si>
    <t>CABO.DUPLEX  10MM  1,65</t>
  </si>
  <si>
    <t>BOMBA SAPO LIDER L-880 127V</t>
  </si>
  <si>
    <t>PNEU 4.00X8  BORRACHUDO LEVORIN  90</t>
  </si>
  <si>
    <t>DRAGA TRAMONTINA C/QUAD      49,15</t>
  </si>
  <si>
    <t>ARO S/  ROLAMENTO CHAP14  CINZA</t>
  </si>
  <si>
    <t>ESMERILHA BOSCH GWS 20-180 220V</t>
  </si>
  <si>
    <t>CX PADRAO TRIFASICA  PLASTICA</t>
  </si>
  <si>
    <t>FURADE MARTELETE 1125A GBH 127/220 BOSCH</t>
  </si>
  <si>
    <t>SERRA CIRC GKS 1600W BOSCH</t>
  </si>
  <si>
    <t>TUBO ESG 150M PVC BRASIL</t>
  </si>
  <si>
    <t>CABO ANT CH 750 16.0M    5,90</t>
  </si>
  <si>
    <t>ELET OK SERRALHEIRO 4.00  10</t>
  </si>
  <si>
    <t>TALHA MANUAL 1TONEL     5MT</t>
  </si>
  <si>
    <t>CABO FLEX PP 2X1.5</t>
  </si>
  <si>
    <t>ELET OK 48 4.00MM  25K  19,20</t>
  </si>
  <si>
    <t>CABO ANT CH 750 95.0M</t>
  </si>
  <si>
    <t>LONA  LEVE  6X4</t>
  </si>
  <si>
    <t>TINTA GL ZARCAO PRETO  VELOZ       45</t>
  </si>
  <si>
    <t>VULCANIZADOR 110</t>
  </si>
  <si>
    <t>MANG CRIST 3/4X2.0</t>
  </si>
  <si>
    <t>ELET OK 46 4.00MM  20K        15,50</t>
  </si>
  <si>
    <t>MANG PRETA   1.1/2</t>
  </si>
  <si>
    <t>BOTA PRETA S/CADA€O 40 TIBAGI</t>
  </si>
  <si>
    <t>FITA PALETE C/10KG VERDE 13MM 85</t>
  </si>
  <si>
    <t>TALHA MANUAL 0.5TONEL   3MT</t>
  </si>
  <si>
    <t>TINTA LAT ZARCAO VELOZ CINZA        204</t>
  </si>
  <si>
    <t>TINTA LAT ZARCAO VELOZ CINZA        203</t>
  </si>
  <si>
    <t>TINTA LAT ZARCAO VELOZ LARANJA   203</t>
  </si>
  <si>
    <t>ARAME ROLO FARPADO C/500MT MOTO 210</t>
  </si>
  <si>
    <t>LUVA DE RASPA LONGA ZANEL</t>
  </si>
  <si>
    <t>CONJ SAN ACOPL 2P  BRA ANTU LUZART</t>
  </si>
  <si>
    <t>CJ</t>
  </si>
  <si>
    <t>MALHADEIRA 10MT  30X30</t>
  </si>
  <si>
    <t>THINNER GL F-15 VELOZ</t>
  </si>
  <si>
    <t>JANELA ALUVID 2FLS VIDRO LISO 1.00X1.00 90</t>
  </si>
  <si>
    <t>CATRACA PRETA PS 50MM 3TN FIXA</t>
  </si>
  <si>
    <t>PORTA ALUVID VENEZA S/VIDRO 2.10X80</t>
  </si>
  <si>
    <t>LAMP ELET ESP 33X220V OUROLUX</t>
  </si>
  <si>
    <t>MANTA TERM P/TELHA 1FACE 1MT 4,5</t>
  </si>
  <si>
    <t>DISCO DE CORT  07 STILEX/REI VERM SCA 202</t>
  </si>
  <si>
    <t>LAMP ELET 3U 20X127V OUROLUX</t>
  </si>
  <si>
    <t>PIA CONCRET INOX 1.50X56  //</t>
  </si>
  <si>
    <t>PS BARRILHA ESTAB PH+ PO 2KG</t>
  </si>
  <si>
    <t>FURADE BOSCH IND GSB 16RE C/ MAL 220V</t>
  </si>
  <si>
    <t>CABO FLEX PP 3X1.5</t>
  </si>
  <si>
    <t>CINTA    PS 50MM 2TONEL 9MT  CG</t>
  </si>
  <si>
    <t>FITA ISOL 3M 33+ 19X20 SCOTH</t>
  </si>
  <si>
    <t>TUBO SOLD 50M PVC BRA/ATLAS</t>
  </si>
  <si>
    <t>LUVA DE RASPA CURTA</t>
  </si>
  <si>
    <t>ELET STAR  18 4,00  12</t>
  </si>
  <si>
    <t>LIMA CHATA  KF                10</t>
  </si>
  <si>
    <t>PARAF FRAN   5/16X 3.1/2</t>
  </si>
  <si>
    <t>LAMP ELET ESP 45X220V OUROLUX</t>
  </si>
  <si>
    <t>FURADE BOSCH IMP GSB 16RE 127V</t>
  </si>
  <si>
    <t>DISCO DE CORT  07 FINO STILEX SCE 302</t>
  </si>
  <si>
    <t>FITA PALETE C/05KG TIJ 080/13 39,8</t>
  </si>
  <si>
    <t>PORTA ALUMINIO 210X60 C/VENEZ. HABIT</t>
  </si>
  <si>
    <t>BARRA ROSQUEADA   3/8</t>
  </si>
  <si>
    <t>LONA. PRETA 6X150MC 2FACES</t>
  </si>
  <si>
    <t>PARAF FRAN   5/16X 2.1/2    0,44</t>
  </si>
  <si>
    <t>PULVERIZADOR 20LT JACTO</t>
  </si>
  <si>
    <t>DUCHA ELETRONICA C/REGULS FAME 110</t>
  </si>
  <si>
    <t>PREGO CC 19X33  3X9                6,00</t>
  </si>
  <si>
    <t>TUBO SOLD 32M CARDINAL/PVC BRAS</t>
  </si>
  <si>
    <t>BALANCINHO 60X60              HABIT</t>
  </si>
  <si>
    <t>DISCO DE DESB 07 STILEX VERME SDA 210</t>
  </si>
  <si>
    <t>CX AGUA 1000 LT F.LEVE POLIE   280</t>
  </si>
  <si>
    <t>CAMARA,DE AR 4,00   LEVORIN 30</t>
  </si>
  <si>
    <t>JANELA ALUVID 2FLS VIDRO CANE 80X1.00</t>
  </si>
  <si>
    <t>ELET OK FE, FUNDI 92.58 3.25 7</t>
  </si>
  <si>
    <t>VR</t>
  </si>
  <si>
    <t>REATOR ELETRON.2X40WX220/110INTRAL</t>
  </si>
  <si>
    <t>ROLAMENTO 6202</t>
  </si>
  <si>
    <t>PORTA ALUVID VENEZA P/BANHEIRO 2.10X60</t>
  </si>
  <si>
    <t>TINTA LAT PVA VELOZ T AZ OCEAN     134,5</t>
  </si>
  <si>
    <t>CABO ANT CH 750  1.5M</t>
  </si>
  <si>
    <t>TINTA LAT PVA VELOZ T BR NEVE       134,5</t>
  </si>
  <si>
    <t>TINTA LAT PVA VELOZ T A OURO        134,5</t>
  </si>
  <si>
    <t>LIQUIBRILHO GL VELOZ  25</t>
  </si>
  <si>
    <t>PLANTADEIRA KRUP 68,00</t>
  </si>
  <si>
    <t>SELADOR 1/4   SELAMAS      17,00</t>
  </si>
  <si>
    <t>L</t>
  </si>
  <si>
    <t>FECHADURA RISK ARMONIA/EXT 55011K3 BL ALINÇA</t>
  </si>
  <si>
    <t>MAQUITA BOSCH S/M 127V 1548</t>
  </si>
  <si>
    <t>CINTA 50MM BRANCA 5TNL 9MT</t>
  </si>
  <si>
    <t>DOBRADI P/PORTEIRA BOCA DE LOBO 3/4</t>
  </si>
  <si>
    <t>THINNER 900ML  F-15 VELOZ  9</t>
  </si>
  <si>
    <t>BOTA  BORRA S/AMARE   N§42</t>
  </si>
  <si>
    <t>CONECTOR PERFURANTE 10-70MM</t>
  </si>
  <si>
    <t>MANG PRETA   3/4 0,85</t>
  </si>
  <si>
    <t>IGOFLEX PRETO    LATAO SIKA  230</t>
  </si>
  <si>
    <t>GRAMPO P/CERCA GALV  7,80</t>
  </si>
  <si>
    <t>BOTA  BORRA S/AMARE   N§41</t>
  </si>
  <si>
    <t>JANELA VD    CANE 100X120  HABIT    127,00</t>
  </si>
  <si>
    <t>CORDA SEDA   2§   08M</t>
  </si>
  <si>
    <t>CJ 2TOM.LIZ                        57170/065</t>
  </si>
  <si>
    <t>CORREIA REX. C160</t>
  </si>
  <si>
    <t>CIMENTO  EXTRA FORTE VIPAL  1KL</t>
  </si>
  <si>
    <t>LONA. PRETA 4X150MC</t>
  </si>
  <si>
    <t>LAMP ELET ESP 85X220W OUROLUX</t>
  </si>
  <si>
    <t>PORTA PVC  60 BERGE/BRANCA/CINZA</t>
  </si>
  <si>
    <t>LAMP ELET ESP 20X220V OUROLUX</t>
  </si>
  <si>
    <t>BOTA PRETA S/CADA€O 39 TIBAGI</t>
  </si>
  <si>
    <t>POLIA B160-5</t>
  </si>
  <si>
    <t>ALICAT P/SOLDA   1000 AMP LEDAN</t>
  </si>
  <si>
    <t>TUBO POCO.100M 4P.PVC BRASIL</t>
  </si>
  <si>
    <t>FILTRO P/COZ INOX PEVILON C33.CR</t>
  </si>
  <si>
    <t>CX DESTRI P/03/04 DIJ FAME</t>
  </si>
  <si>
    <t>TINTA ESM GL  VEL FLEX BR NEVE     51,50</t>
  </si>
  <si>
    <t>MAQUITA SKIL  REF 9815  1200V</t>
  </si>
  <si>
    <t>BRASITAPE  20CM</t>
  </si>
  <si>
    <t>DISCO DE CORT  12 STIL REY  VERME 8,00</t>
  </si>
  <si>
    <t>PARAF FRAN   5/16X 4.1/2</t>
  </si>
  <si>
    <t>FITA ISOL 18X20M IMPERIAL 3M</t>
  </si>
  <si>
    <t>AVENTAL DE COURO REFOÇADO</t>
  </si>
  <si>
    <t>BOTA PRETA S/CADA€O 42 TIBAGI</t>
  </si>
  <si>
    <t>CATRACA AMAREL PS 50MM 2TN MOVEL</t>
  </si>
  <si>
    <t>FURADE SKIL 600W C/KIT MALETA 220V</t>
  </si>
  <si>
    <t>BATI PEDRA GL PRETO    34</t>
  </si>
  <si>
    <t>GRAXEIRO  04KG</t>
  </si>
  <si>
    <t>RODETE MANCAL FERRO M     50</t>
  </si>
  <si>
    <t>PARAFUSADEIRA A BATERIA SKIL 9,6V</t>
  </si>
  <si>
    <t>LAMP ELET ESP 45X127V OUROLUX</t>
  </si>
  <si>
    <t>VERNIZ GL NOGUE    IQUI   50</t>
  </si>
  <si>
    <t>CABO ANT CH 750  6.0M    2,25</t>
  </si>
  <si>
    <t>BROCA AÇO RAP 3/4     IRWIN</t>
  </si>
  <si>
    <t>MANG P/JARDIM MT</t>
  </si>
  <si>
    <t>LONA  LEVE  6X5  LONABEM</t>
  </si>
  <si>
    <t>RABETA B4T 5.5/6.5CV         180</t>
  </si>
  <si>
    <t>VERNIZ 1/4 VELOZ INCOLOR MADEIRA 15,00</t>
  </si>
  <si>
    <t>CORREIA REX. B 70</t>
  </si>
  <si>
    <t>BOBI  P/ARAME</t>
  </si>
  <si>
    <t>JANELA VD    LI/CA   80X80   HABIT     97,00</t>
  </si>
  <si>
    <t>ELET OK SERRALHEIRO 2.50  10,00</t>
  </si>
  <si>
    <t>ESCOVAO GARY PLAST. C/C</t>
  </si>
  <si>
    <t>REGIST INOX PEVILON 1/4 DE VOLTA C64</t>
  </si>
  <si>
    <t>TUBO C/ROSCA  1.1/4 PVC  BRA/CARDINALI 45</t>
  </si>
  <si>
    <t>CABO FLEX PP 3X2.5</t>
  </si>
  <si>
    <t>FIO TORC   2.5MM</t>
  </si>
  <si>
    <t>VASO SAN COMUM BRANCO</t>
  </si>
  <si>
    <t>REATOR VAPOR METALICO 400W</t>
  </si>
  <si>
    <t>CARRO MAO VERME FISCHER</t>
  </si>
  <si>
    <t>TANQUE DUPL 120X50       90</t>
  </si>
  <si>
    <t>TORNO DE ECANADOR FIXO NR4</t>
  </si>
  <si>
    <t>PREGO CC 16X21  16X24 2X12       6,50</t>
  </si>
  <si>
    <t>ROLAMENTO 6205</t>
  </si>
  <si>
    <t>MAQUINA P/CORTA LAJOTA 90CM IRWIN</t>
  </si>
  <si>
    <t>SERRA TICO-TICO SKIL 4170 110V</t>
  </si>
  <si>
    <t>LONA. PRETA 3X150MC</t>
  </si>
  <si>
    <t>BOTA  BORRA S/AMARE   N§39</t>
  </si>
  <si>
    <t>JOGO DE CHAVE CX C/MALETA 22P‡ 180</t>
  </si>
  <si>
    <t>JG</t>
  </si>
  <si>
    <t>CABO ANT CH 750 25.0M    9,45</t>
  </si>
  <si>
    <t>BARRA ROSQUEADA   5/8</t>
  </si>
  <si>
    <t>CJ 1INT.SIMP+1TOM LUX      57145/064</t>
  </si>
  <si>
    <t>LUVA ALGODAO PIGMENTADA    PRETA</t>
  </si>
  <si>
    <t>MOTOR ESMERIL TRAMONTINA BIVOLT</t>
  </si>
  <si>
    <t>TINTA GL PVA VELOZ TURB B NEV      28,5</t>
  </si>
  <si>
    <t>TINTA GL PVA VELOZ TURB B GEL      28,5</t>
  </si>
  <si>
    <t>LIXA PANO FERRO  36</t>
  </si>
  <si>
    <t>TINTA GL PVA VELOZ TURB V LIM      28,5</t>
  </si>
  <si>
    <t>CX PADRAO MONO PLAST TAF</t>
  </si>
  <si>
    <t>CARRO MAO  PRETO METALPAMA QUA</t>
  </si>
  <si>
    <t>DISCO DE CORT  12 NORTON</t>
  </si>
  <si>
    <t>PARAF FRAN    1/4X2</t>
  </si>
  <si>
    <t>SERRA STARRETE</t>
  </si>
  <si>
    <t>BALANCINHO 80X80              ALUVID</t>
  </si>
  <si>
    <t>BATI PEDRA GL BRANCO   39,40</t>
  </si>
  <si>
    <t>DISCO MAQ NORTON DIAM POSELANATO</t>
  </si>
  <si>
    <t>ROÇADEIRA VULCAN CG430      711</t>
  </si>
  <si>
    <t>CENTRAL DE AR 18000 BTU'S AGRATTO 220V 1640</t>
  </si>
  <si>
    <t>CX AGUA 1000 LT F.LEVE POLIE   239</t>
  </si>
  <si>
    <t>CABO.DUPLEX  10MM   1,56</t>
  </si>
  <si>
    <t>CX AGUA 5000 LT TOR FIB           2000</t>
  </si>
  <si>
    <t>CABO ANT CH 750  6.0M</t>
  </si>
  <si>
    <t>BOMBA SUB.  1/2 CV LEÃO 127V  C/QUA 940</t>
  </si>
  <si>
    <t>BOMBA SUB.  1/2 CV LEÃO 220V  C/QUA  940</t>
  </si>
  <si>
    <t>MOTOR BRANCO 6.5CV S/SENSO 735</t>
  </si>
  <si>
    <t>CABO ANT CH 750  2.5M</t>
  </si>
  <si>
    <t>FILME AGRIC ESTUFA 6X105X100</t>
  </si>
  <si>
    <t>CX AGUA  500 LT F.LEVE POLIE    143</t>
  </si>
  <si>
    <t>BOMBA SUB. 1.1/2 CV LEÃO 220V C/QUA 1290</t>
  </si>
  <si>
    <t>CABO ANT CH 750 10.0M</t>
  </si>
  <si>
    <t>CENTRAL DE AR   9000 BTU'S AGRATTO 220V 1089</t>
  </si>
  <si>
    <t>TUBO ESGOTO 100MM PVC BRAS</t>
  </si>
  <si>
    <t>CENTRAL DE AR 12000 BTU'S AGRATTO 220V 1204</t>
  </si>
  <si>
    <t>CX AGUA 3000 LT TOR FIB           1095</t>
  </si>
  <si>
    <t>RANDAP 1L                   33,00</t>
  </si>
  <si>
    <t>BOMBA SUB.  3/4 CV LEÃO 220V  C/QUA 1084</t>
  </si>
  <si>
    <t>MASSA LT ACRILICA     VELOZ 69,70</t>
  </si>
  <si>
    <t>BOMBA SUB. 1.0  CV LEÃO 110V  C/QUA 1135</t>
  </si>
  <si>
    <t>JANELA VD    CANELADO 100X100  HABITEC 95</t>
  </si>
  <si>
    <t>TUBO ESGOTO 100MM PVC BRAS 39,80</t>
  </si>
  <si>
    <t>BOMBA CENTRIF 3/4  THEBE PRETA 520</t>
  </si>
  <si>
    <t>TUBO ESGOTO 1500MM SUL MINAS</t>
  </si>
  <si>
    <t>PNEU 4.00X8  BORRACHUDO LEVORIN  99</t>
  </si>
  <si>
    <t>CABO ANT CH 750  4.0M</t>
  </si>
  <si>
    <t>MOTOR ELET  1.5HP 220V TRIF2   AUT</t>
  </si>
  <si>
    <t>BATI PEDRA GL PRETO    33</t>
  </si>
  <si>
    <t>PARAF AUTO BROCANTE 1/4X3/4-1X3/4</t>
  </si>
  <si>
    <t>LAMP LED 16W OUROLUX</t>
  </si>
  <si>
    <t>JANELA VD    LISO 100X120   HABITEC     122,50</t>
  </si>
  <si>
    <t>SELADOR ACRIL LT VELOZ  77,50</t>
  </si>
  <si>
    <t>CX PADRAO TRIFASICA  PLASTICA 99</t>
  </si>
  <si>
    <t>CARRO MAO C/MAD TRAMON PLAST 132,00</t>
  </si>
  <si>
    <t>FITA PALETE C/07KG TIJ 080/13 49,50</t>
  </si>
  <si>
    <t>FITA PALETE C/10KG VERDE 13MM 79,50</t>
  </si>
  <si>
    <t>PARAF FRAN   5/16X 2.1/2</t>
  </si>
  <si>
    <t>PISO 45X45 PEI3 140022 CX 2,04MT  13,90</t>
  </si>
  <si>
    <t>ROÇADEIRA VULCAN CG430      750</t>
  </si>
  <si>
    <t>TINTA LAT VELOZ TURB MARFIM      140</t>
  </si>
  <si>
    <t>TINTA LAT VELOZ TURB BR NEVE       140</t>
  </si>
  <si>
    <t>ARAME ROLO FARPADO 500M MOTO 210</t>
  </si>
  <si>
    <t>LAMP LED 06W OUROLUX</t>
  </si>
  <si>
    <t>LUVA ALGODAO S/PIGMENTO    MESCLADA</t>
  </si>
  <si>
    <t>SELADOR 1/4   SELAMAS      19,00</t>
  </si>
  <si>
    <t>CORRENT.STHIL 3/8             1,70</t>
  </si>
  <si>
    <t>DT</t>
  </si>
  <si>
    <t>ESMERILHA BOSCH GWS 6-115 127/220V</t>
  </si>
  <si>
    <t>PS CLORO EM GRANEL 1KG HIDRO 24,00</t>
  </si>
  <si>
    <t>JANELA VD    LISO 100X100   HABITEC 95</t>
  </si>
  <si>
    <t>LAMP HALOGENA  70X220V OUROLUX    3,90</t>
  </si>
  <si>
    <t>BOMBA SAPO JS        830    199,5</t>
  </si>
  <si>
    <t>LUMINARIA DE LED EMBUTIR 15W BI-VOLT UP LED</t>
  </si>
  <si>
    <t>PULVERIZADOR 20LT JACTO 305</t>
  </si>
  <si>
    <t>LAMP LED 09W OUROLUX</t>
  </si>
  <si>
    <t>ENGENHOCA P/ CANA C/3 ROLETE</t>
  </si>
  <si>
    <t>BOMBA SAPO JS       650   185,00</t>
  </si>
  <si>
    <t>PISO REV 32X45 C45073 CX 2,02MT RAVENA 2A 13,80</t>
  </si>
  <si>
    <t>THINNER 900 PIROSOL 7,20</t>
  </si>
  <si>
    <t>LIMA CHATA  KF                12,00</t>
  </si>
  <si>
    <t>TUBO SOLD 25MM PVC BRASIL</t>
  </si>
  <si>
    <t>MANG PRETA  1PL 1,70</t>
  </si>
  <si>
    <t>PNEU 3.50X8  4.10 LEVORIN 70</t>
  </si>
  <si>
    <t>ELET WELD (6013) 3,25MM 9</t>
  </si>
  <si>
    <t>LAMP ELET 3U 25X127V OUROLUX</t>
  </si>
  <si>
    <t>TUBO JEOMECANICO 100MM 4M FRISADO 110</t>
  </si>
  <si>
    <t>CAMARA DE AR 3.50-8  LEVORIN 19</t>
  </si>
  <si>
    <t>MASSA LT CORRIDA     VELOZ 29,90</t>
  </si>
  <si>
    <t>BOMBA SAPO JS       930    214</t>
  </si>
  <si>
    <t>FURADE SKIL 550/570W 127V  103,50</t>
  </si>
  <si>
    <t>SELADOR 1/4   SELAMAS      19,95</t>
  </si>
  <si>
    <t>CANALETA VENTILADA 20X20 CINZA/BRAN</t>
  </si>
  <si>
    <t>PISO 45X45 PEI4 140011 CX 2,04MT  14,90</t>
  </si>
  <si>
    <t>CABO.DUPLEX  10MM  1,80</t>
  </si>
  <si>
    <t>ARGAMASSA QUARTZOLIT  20KG  9,95</t>
  </si>
  <si>
    <t>LONA  LEVE  6X3</t>
  </si>
  <si>
    <t>THINNER VELOZ F-15 900ML     8,85</t>
  </si>
  <si>
    <t>REBOLO RETO 10X2 FURO 1.1/2</t>
  </si>
  <si>
    <t>LONA  LEVE  5X4</t>
  </si>
  <si>
    <t>JANELA VD 4F LISO 100X150  HABITEC   205,00</t>
  </si>
  <si>
    <t>DISCO MAQ SERRA C/VID 24D THOMPSON</t>
  </si>
  <si>
    <t>LAMP LED 12W  OUROLUX</t>
  </si>
  <si>
    <t>CARRO MAO PRETO FISCHER 86,65</t>
  </si>
  <si>
    <t>LIXA.METRO NORTON 36 15CM</t>
  </si>
  <si>
    <t>TUBO SOLD 40MM PVC BRA/ATLAS</t>
  </si>
  <si>
    <t>CORREIA REX. B210</t>
  </si>
  <si>
    <t>CX PADRAO MONO PLAST NODELO NOVO TAF 43,25</t>
  </si>
  <si>
    <t>LAMP FLUOR TUBOLAR LED 09W OUROLUX</t>
  </si>
  <si>
    <t>MT.FACA 2 PONTAS FURO DE 1" SPIN</t>
  </si>
  <si>
    <t>PS SULFATO DE ALUMINIO 2KG HIDROALL</t>
  </si>
  <si>
    <t>TUBO ESGOTO  50MM  PVC BRASIL</t>
  </si>
  <si>
    <t>TRENA 05M   LUFKIN</t>
  </si>
  <si>
    <t>PIA CONCRET INOX 1.80X56 2BOCA PIANOX</t>
  </si>
  <si>
    <t>CADEADO N°35 PAPAIZ/PADO</t>
  </si>
  <si>
    <t>ELET OK 46 4.00MM  20K        18,50</t>
  </si>
  <si>
    <t>DISCO DE CORT  12 STIL REY  VERME/PRETO</t>
  </si>
  <si>
    <t>RODIZIO GIRATORIO 3" S/FREIO COLSON</t>
  </si>
  <si>
    <t>ARGAMASSA ARGAMAXI    15KG 5,95</t>
  </si>
  <si>
    <t>CORREIA REX. C158</t>
  </si>
  <si>
    <t>LUVA ALGODAO S/PIGMENTO    BRANCA</t>
  </si>
  <si>
    <t>TINTA LAT CORAL LARANJA MARACATU 129,90</t>
  </si>
  <si>
    <t>FECHADURA P/PORTAO 3F 1130ZCR</t>
  </si>
  <si>
    <t>LAMP LED 25W OUROLUX</t>
  </si>
  <si>
    <t>BOX  1.20X180</t>
  </si>
  <si>
    <t>PA DE BICO N03 TRAMONTINA</t>
  </si>
  <si>
    <t>CABO FLEX PP 3X4.0</t>
  </si>
  <si>
    <t>CORRENT GALV 6.0M</t>
  </si>
  <si>
    <t>CABO FLEX PP 3X6.0</t>
  </si>
  <si>
    <t>PREGO CC 19X33  3X9</t>
  </si>
  <si>
    <t>CORDA SEDA 10MM</t>
  </si>
  <si>
    <t>CARRO MAO C/MAD TRAMON RAZO 50LTS 117</t>
  </si>
  <si>
    <t>FORCADO 10DENTE TRAMONTINA  40</t>
  </si>
  <si>
    <t>PUXADOR P/MOVEIS MADEIRA C/PARAF.</t>
  </si>
  <si>
    <t>TINTA GL VELOZ TURB PEROLA               29,50</t>
  </si>
  <si>
    <t>SUPORTE P/CALHA TIGRE FERRO</t>
  </si>
  <si>
    <t>CAMARA DE AR 3.25-8  LEVORIN  17</t>
  </si>
  <si>
    <t>OLEO 2 TEMPO 200ML LUBRAX 3,30</t>
  </si>
  <si>
    <t>ESCAPULA CHUMBA SILVANA</t>
  </si>
  <si>
    <t>CABO DE AÇO    1/2</t>
  </si>
  <si>
    <t>LUMINARIA  DE EMERGENCIA OUROLUX</t>
  </si>
  <si>
    <t>TANQUE DUPLO  D´FIBRA 1.00X50 M 74</t>
  </si>
  <si>
    <t>PREGO CC 16X21  16X24 2X12</t>
  </si>
  <si>
    <t>FILTRO P/COZINHA FORTILEVE</t>
  </si>
  <si>
    <t>FECHAD P/PORTAO 701/100 STAN 37,50</t>
  </si>
  <si>
    <t>ENXADA TRAMONT 2.5    LARG C/C</t>
  </si>
  <si>
    <t>TINTA ESM GL  VEL FLEX BR NEVE     54,60</t>
  </si>
  <si>
    <t>TRANSFORMADOR 2000</t>
  </si>
  <si>
    <t>PREGO CC 19X33  3X9                5,55</t>
  </si>
  <si>
    <t>DRAGA TRAMONTINA C/QUAD</t>
  </si>
  <si>
    <t>BROCA P/MOURAO 5/8PL ROCAST</t>
  </si>
  <si>
    <t>CABO ANT CH 750 25.0M    8,35</t>
  </si>
  <si>
    <t>PREGO CC 15X18  1.1/2X13</t>
  </si>
  <si>
    <t>SELO METALICO P/FITA PALETE VERDE 13MM 16</t>
  </si>
  <si>
    <t>LIGA BOA/LIGA LIGA</t>
  </si>
  <si>
    <t>RODIZIO GIRATORIO. 50MM C/FRE SOPRANO</t>
  </si>
  <si>
    <t>PISO REV 32X45 130012 CX 2.02MT  14,90</t>
  </si>
  <si>
    <t>MANG.AZUL 3"</t>
  </si>
  <si>
    <t>PULVERIZADOR 20L JACTO XP PLASTICO 206</t>
  </si>
  <si>
    <t>SELO METALICO P/FITA PALETE PRETA  13MM 13,50</t>
  </si>
  <si>
    <t>KL</t>
  </si>
  <si>
    <t>PRIMER 1/4 GALV  BRAN   VELOZ   13,60</t>
  </si>
  <si>
    <t>ESCOVAO GARY PLASTICO. C/C ODIM</t>
  </si>
  <si>
    <t>CABO FLEX PP 4X4.0</t>
  </si>
  <si>
    <t>CJ LIZ 2TOM.                        57170/065</t>
  </si>
  <si>
    <t>DISCO DE CORT  07 STILEX PRETO SCA 102    2,90</t>
  </si>
  <si>
    <t>FECHADURA 3F BELLA EXT CI732E11050CR</t>
  </si>
  <si>
    <t>JANELA ALUVID 4FLS VIDRO CANE 1.00X1.50</t>
  </si>
  <si>
    <t>TORNO MORSA N 06 SOMAR</t>
  </si>
  <si>
    <t>JANELA VD    LISO 100X80     ALUVID 95</t>
  </si>
  <si>
    <t>CARRO MAO GALVA  FISCHER 95,00</t>
  </si>
  <si>
    <t>CANALETA C/ADESIVO   20X10</t>
  </si>
  <si>
    <t>SILICONE     280G AFIX</t>
  </si>
  <si>
    <t>PISO REV 32X45 130000 CX 2.02MT  15,5</t>
  </si>
  <si>
    <t>TINTA LAT PVA NOVOLAR BRANCO NEVE 92,60</t>
  </si>
  <si>
    <t>CABO.TRIPLEX 10MM    2,61</t>
  </si>
  <si>
    <t>TINTA LAT ZARCAO RC PRETO 90</t>
  </si>
  <si>
    <t>TINTA GL VELOZ TURB BRANCO NEVE        29,50</t>
  </si>
  <si>
    <t>FIXA FIO DELSARTO 14/16</t>
  </si>
  <si>
    <t>PISO 45X45 PEI3 140010 CX 2,04MT  14,80</t>
  </si>
  <si>
    <t>BOTA  BORRA S/AMARE   N40</t>
  </si>
  <si>
    <t>CALHA.BEIRAL 3MT TIGRE</t>
  </si>
  <si>
    <t>TINTA ESM 1/4 VEL FLEX BR NEV  15</t>
  </si>
  <si>
    <t>ESCADA DE ALUMI 7DEGRAU</t>
  </si>
  <si>
    <t>DIJUNTOR EL BIPO 20 AP DIN STECK</t>
  </si>
  <si>
    <t>FITA ELETRICA AUTOFUSÂO 19MMX10M</t>
  </si>
  <si>
    <t>PARAF FRAN   5/16X 3</t>
  </si>
  <si>
    <t>INJETOR 1.1/4X1 CAP20,30,40 THEB 165</t>
  </si>
  <si>
    <t>TINTA LAT VELOZ P/TELHA CERAMICA 165</t>
  </si>
  <si>
    <t>CAMARA DE AR 4.00-8  LEVORIN 34</t>
  </si>
  <si>
    <t>TOMADINHA FEMEA 3ENT C/ENG20AP FAM</t>
  </si>
  <si>
    <t>DOBRADI ISERO C/ANEL 3X2.1/2 RF11521</t>
  </si>
  <si>
    <t>CT</t>
  </si>
  <si>
    <t>LAMP LED 30W OUROLUX</t>
  </si>
  <si>
    <t>PLUG LUMIBRAS 3 PINOS 30A</t>
  </si>
  <si>
    <t>TRANSFORMADOR 1010W</t>
  </si>
  <si>
    <t>DISCO DE CORT  4.1/2FINO STILEX</t>
  </si>
  <si>
    <t>PS CLARIFICANTE GENCO</t>
  </si>
  <si>
    <t>CX COM 2.TOM P/CANAL ILUMI REF:84120</t>
  </si>
  <si>
    <t>PREGO CC 15X18  1.1/2X13            7,50</t>
  </si>
  <si>
    <t>BOMBA CENTRIF PERIFERICA 1/2 CV FERRARI 163,00</t>
  </si>
  <si>
    <t>MT.CARBURADOR CG 430  ROCA ITC</t>
  </si>
  <si>
    <t>CABO ANT CH 750  6.0M    2,10</t>
  </si>
  <si>
    <t>JANELA VD    CANELADO 100X100  HABITEC 90</t>
  </si>
  <si>
    <t>ROÇADEIRA VULCAN CG430      869</t>
  </si>
  <si>
    <t>SELADOR ACRIL LT VELOZ 77,50</t>
  </si>
  <si>
    <t>FILTRO JEOMECANICO 100MM 2M P/POÇO 59</t>
  </si>
  <si>
    <t>CAMARA DE AR 3,50X8  LEVORIN 18,00</t>
  </si>
  <si>
    <t>JANELA ALUVID 2FLS VIDRO CANE 1.00X1.00  95</t>
  </si>
  <si>
    <t>PORTA C/VIDRO C/GRAD 210X80 ALUVID 375</t>
  </si>
  <si>
    <t>CABO ANT CH 750  4.0M    1,35</t>
  </si>
  <si>
    <t>FITA PALETE C/10KG VERDE 13MM 91</t>
  </si>
  <si>
    <t>THINNER 900ML  F-15 VELOZ  9,4</t>
  </si>
  <si>
    <t>TUBO JEOMECANICO 100MM 4MT P/POÇO 99,00</t>
  </si>
  <si>
    <t>ELET OK SERRALHEIRO 3.25  11</t>
  </si>
  <si>
    <t>CABO ANT CH 750 10.0M    3,82</t>
  </si>
  <si>
    <t>BOMBA SUB.  1/2 CV LEÃO 220V  C/QUA  940,00</t>
  </si>
  <si>
    <t>CABO FLEX PP 4X2.5</t>
  </si>
  <si>
    <t>BOMBA SUB 3 CV MONO 220V LEAO 2290</t>
  </si>
  <si>
    <t>LIMA CHATA  KF                11,80</t>
  </si>
  <si>
    <t>BOMBA SUB 2 CV MONO 220V LEAO C/QUA 1490</t>
  </si>
  <si>
    <t>ELET OK SERRALHEIRO 4.00 11</t>
  </si>
  <si>
    <t>TUBO C/ROSCA  1.1/4 PVC  BRASIL 44</t>
  </si>
  <si>
    <t>PISO 45X45 PEI3 140010 CX 2,04MT  14,90</t>
  </si>
  <si>
    <t>TUBO ESGOTO 150MM PVC BRASIL</t>
  </si>
  <si>
    <t>JANELA VD    LISO 100X100   HABITEC 90</t>
  </si>
  <si>
    <t>BOMBA SUB 1.1/2CV 220V LEAO C/Q 1290</t>
  </si>
  <si>
    <t>COMPRESSOR CSL-20BR/200LT 220V</t>
  </si>
  <si>
    <t>PISO 45X45 PEI4 140000 CX 2,04MT  14,90</t>
  </si>
  <si>
    <t>PISO 50X50 PEI4 150042 CX 2,50MT  17,80</t>
  </si>
  <si>
    <t>FITA PALETE C/07KG TIJ 080/13 56</t>
  </si>
  <si>
    <t>MAQUINA SOLDA ORIGO 420 220X380/440VL</t>
  </si>
  <si>
    <t>MOTOR BRANCO 5.5CV S/SENSO 680</t>
  </si>
  <si>
    <t>CABO. TRIPLEX 16MM</t>
  </si>
  <si>
    <t>PISO 57X57 PEI3 170018 HD CX 2,32MT   17,80</t>
  </si>
  <si>
    <t>CORRENT.STHIL 3/8             1,80</t>
  </si>
  <si>
    <t>SELADOR 1/4   SELAMAS      18,35</t>
  </si>
  <si>
    <t>FILTRO JEOMECANICO 150MM 4MT P/POÇO 250</t>
  </si>
  <si>
    <t>TUBO SOLD 32MM PVC BRASIL</t>
  </si>
  <si>
    <t>FIO DE NYLON P/ROÇADEIRA</t>
  </si>
  <si>
    <t>PISO 45X45 PEI3 140001 CX 2,04MT  14,90</t>
  </si>
  <si>
    <t>BOTA PRETA S/CADAÇO 40 TIBAGI</t>
  </si>
  <si>
    <t>CABO ANT CH 750 35.0M    13,35</t>
  </si>
  <si>
    <t>JANELA VD    CANELADO 100X80    HABITEC 95</t>
  </si>
  <si>
    <t>TUBO ESGOTO 100MM KEP</t>
  </si>
  <si>
    <t>CABO.DUPLEX 16MM</t>
  </si>
  <si>
    <t>VASO SAN COMUM BRANCO 91</t>
  </si>
  <si>
    <t>MANG PRETA  1PL 1,60</t>
  </si>
  <si>
    <t>MASSA LT ACRILICA     VELOZ 66,50</t>
  </si>
  <si>
    <t>JANELA ALUVID 2FLS VIDRO LISO 1.00X1.00 95</t>
  </si>
  <si>
    <t>MOTOR SCHULZ B4T 6,5HP    497</t>
  </si>
  <si>
    <t>PISO 45X45 PEI4 140018 CX 2,04 MT 14,90</t>
  </si>
  <si>
    <t>BOMBA CENTRIF 1.0  THEBE</t>
  </si>
  <si>
    <t>TINTA LAT PVA VELOZ T BR NEVE       149,50</t>
  </si>
  <si>
    <t>MAQUINA SOLDA MOD 250 BAMBOZI 470</t>
  </si>
  <si>
    <t>PISO 45X45 PEI4 140016 CX 2,04MT  14,90</t>
  </si>
  <si>
    <t>PISO 57X57 PEI4 170000 CX 2,32MT        16,85</t>
  </si>
  <si>
    <t>PISO 45X45 PEI5 140013 CX 2,04MT  14,90</t>
  </si>
  <si>
    <t>PISO 50X50 PEI4 150023 CX 2,50MT  17,80</t>
  </si>
  <si>
    <t>BOMBA SUB. 1.0  CV LEÃO 110V  C/QUA 1059</t>
  </si>
  <si>
    <t>CARRO MAO C/MAD TRAMON 80LTS 120</t>
  </si>
  <si>
    <t>ELET WELD (6013) 4,00MM 9</t>
  </si>
  <si>
    <t>LONA. PRETA 6X150MC</t>
  </si>
  <si>
    <t>MANG CORRUG 3/4 FORT LEVE</t>
  </si>
  <si>
    <t>CAMARA DE AR 3.25   LEVORIN  17</t>
  </si>
  <si>
    <t>TUBO ESGOTO  75MM FORTLEV</t>
  </si>
  <si>
    <t>TUBO ELETRODUTO   3/4</t>
  </si>
  <si>
    <t>PNEU 4,00X8  COLSON 4LONAS  65</t>
  </si>
  <si>
    <t>PISO 45X45 PEI3 140002 CX 2,04MT  14,90</t>
  </si>
  <si>
    <t>TUBO JEOMECANICO 150MM 4MT P/POÇO 185</t>
  </si>
  <si>
    <t>ELET OK SERRALHEIRO 2.50  11</t>
  </si>
  <si>
    <t>PISO REV 32X57 160001 CX 2.00MT  17,80</t>
  </si>
  <si>
    <t>PLAFON BOCAL PORCELANA BR/PR</t>
  </si>
  <si>
    <t>CABO ANT CH 750 70.0M    25,02</t>
  </si>
  <si>
    <t>CAL SACO C/5KG 3,95</t>
  </si>
  <si>
    <t>TELA DE ARAME P/VIVEIRO 1.50MT</t>
  </si>
  <si>
    <t>BARRA ROSQUEADA   1/2</t>
  </si>
  <si>
    <t>JUNTA DE DILATACAO 27X3</t>
  </si>
  <si>
    <t>JANELA ALUVID 4FLS VIDRO LISO 1.00X1.50</t>
  </si>
  <si>
    <t>CADEADO N°40 PAPAIZ/PADO</t>
  </si>
  <si>
    <t>TELHA BRASILITE 2.44  13,99</t>
  </si>
  <si>
    <t>TINTA LAT CORAL BRANCO GELO</t>
  </si>
  <si>
    <t>PORTA ALUMINIO 210X80 C/VENEZ. HABITEC 352</t>
  </si>
  <si>
    <t>JANELA ALUVID 4FLS VIDRO LISO 1.00X1.20</t>
  </si>
  <si>
    <t>TINTA LAT CORAL MARFIM</t>
  </si>
  <si>
    <t>BOMBA CENTRIF 1/2  THEBE PRETA 350</t>
  </si>
  <si>
    <t>MANG PRETA   3/4 0,95</t>
  </si>
  <si>
    <t>CORRENT.STHIL 404             1,70</t>
  </si>
  <si>
    <t>CORREIA REX. C210</t>
  </si>
  <si>
    <t>PISTOLA ELETRICA P/PINT FERRARI 110/220V  265</t>
  </si>
  <si>
    <t>CONJ SAN ACOPL 2P ANTU LUZART PRETO</t>
  </si>
  <si>
    <t>RELE FOTOELETRICO BIVLT INTRAL</t>
  </si>
  <si>
    <t>CABO FLEX PP 2X4.0</t>
  </si>
  <si>
    <t>CORREIA REX. C185</t>
  </si>
  <si>
    <t>CABO FLEX PP 4X1.5           3,04</t>
  </si>
  <si>
    <t>TINTA ESM GL  VEL FLEX PRETO        51,50</t>
  </si>
  <si>
    <t>TINTA ESM 1/4 VEL FLEX BR NEV  14,7</t>
  </si>
  <si>
    <t>PRIMER GL  GALV BRAN    VELOZ 44</t>
  </si>
  <si>
    <t>TUBO C/ROSCA 1.1/2  PVC  BRA/CARDINALI 57,70</t>
  </si>
  <si>
    <t>ARO S/  ROLAMENTO CHAP16  PRETO</t>
  </si>
  <si>
    <t>TINTA GL ZARCAO VELOZ CINZA         45</t>
  </si>
  <si>
    <t>JANELA VD    CANELADO 80X80      HABITEC 92</t>
  </si>
  <si>
    <t>POLICORTE S/MOTOR FERRARI</t>
  </si>
  <si>
    <t>CABO.DUPLEX  10MM</t>
  </si>
  <si>
    <t>FOICE ROCADEIRA TRAMONTINA</t>
  </si>
  <si>
    <t>TINTA LAT PVA VELOZ T MARFIM        149,50</t>
  </si>
  <si>
    <t>FURADE BANC FER FGC16 1/2CV</t>
  </si>
  <si>
    <t>MOTOR BOMBA CENT 5.5BRAN  1600</t>
  </si>
  <si>
    <t>MAQUINA SOLDA INVERSOR LHN 220I 220V</t>
  </si>
  <si>
    <t>IGOFLEX  PRETO     GL SIKA</t>
  </si>
  <si>
    <t>TINTA LAT CORAL PEROLA</t>
  </si>
  <si>
    <t>CADEADO N°30 PAPAIZ/PADO</t>
  </si>
  <si>
    <t>PNEU 3.25X8  DISMA/WORKER 30</t>
  </si>
  <si>
    <t>FURADE BOSCH GSB20-2 C/MALETA</t>
  </si>
  <si>
    <t>TINTA LAT VELOZ P/TELHA CERAMICA 170</t>
  </si>
  <si>
    <t>CADEADO N°45 PAPAIZ/PADO</t>
  </si>
  <si>
    <t>CORREIA REX. C225</t>
  </si>
  <si>
    <t>FIO TORC   1.5MM  14</t>
  </si>
  <si>
    <t>BOTA PRETA S/CADAÇO 41 TIBAGI</t>
  </si>
  <si>
    <t>LIXA.METRO NORTON 36 30CM   23,40</t>
  </si>
  <si>
    <t>COMPRESSOR COMPRESSURE 2.3PCM 470</t>
  </si>
  <si>
    <t>TANQUE TRIP 160X50 DFIBRA</t>
  </si>
  <si>
    <t>LAMP ELET 04U 30X127 SUPER NIKP</t>
  </si>
  <si>
    <t>LONA. PRETA 8X150MC</t>
  </si>
  <si>
    <t>PISO 50X50 PEI4 150001 CX 2,50MT  13,95</t>
  </si>
  <si>
    <t>MT.FACA 2 PONTAS FURO DE 20 SPIN</t>
  </si>
  <si>
    <t>MAQUITA BOSCH S/M 127V</t>
  </si>
  <si>
    <t>PORTA ALUMINIO 210X60 C/VENEZ. HABIT 352</t>
  </si>
  <si>
    <t>TUBO SOLD 50MM KEP</t>
  </si>
  <si>
    <t>PRESSAO C/ESFERA P/MOVEIS</t>
  </si>
  <si>
    <t>CONJ SAN ACOPL 2P LUZART BRANCO 230</t>
  </si>
  <si>
    <t>TUBO SOLD 40MM KEP</t>
  </si>
  <si>
    <t>PIA CONCRET INOX 1.20X56 PIANOX 110</t>
  </si>
  <si>
    <t>TUBO ELETRODUTO 1.1/2</t>
  </si>
  <si>
    <t>SELADOR ACRIL GL VELOZ    16,80</t>
  </si>
  <si>
    <t>PLUG MACHO 10AP 2PINOS FAME</t>
  </si>
  <si>
    <t>BALANCINHO 40X40              HABIT 23,80</t>
  </si>
  <si>
    <t>LAMP ELET 4U 45X127V OUROLUX</t>
  </si>
  <si>
    <t>ESTIC CORDOALHA  1/2</t>
  </si>
  <si>
    <t>TINTA LAT PISO VELOZ CINZA MED   158</t>
  </si>
  <si>
    <t>SELADOR GL    SELAMAIS</t>
  </si>
  <si>
    <t>CORRENT GALV 5.0M/5.5M</t>
  </si>
  <si>
    <t>ARAME RECOZIDO</t>
  </si>
  <si>
    <t>CABO FLEX PP 3X10</t>
  </si>
  <si>
    <t>LAMP ELET ESP 25X127V OUROLUX</t>
  </si>
  <si>
    <t>HASTE P/ TELHA 250MM/300MM</t>
  </si>
  <si>
    <t>CJ 1TOM.LUX2 10AMP          57145/010</t>
  </si>
  <si>
    <t>TUBO SOLD 32MM FORTLEV</t>
  </si>
  <si>
    <t>PUXADOR MADEIRA C/PARAF.</t>
  </si>
  <si>
    <t>OCULOS PROT INCOLOR SUPER SAFET</t>
  </si>
  <si>
    <t>PARAF FRAN    1/4X2.1/2</t>
  </si>
  <si>
    <t>TUBO SOLD 60MM CARDINALE</t>
  </si>
  <si>
    <t>PREGO CC 17X27  2.1/2X11           6,90</t>
  </si>
  <si>
    <t>PISO 50X50 PEI3 150048 CX 2,50MT  17,80</t>
  </si>
  <si>
    <t>BOTA PRETA S/CADAÇO 38 TIBAGI</t>
  </si>
  <si>
    <t>PISTOLA P/PIN ALU AR DIRETO PRESS/LOYAL</t>
  </si>
  <si>
    <t>BOCAL COMUM C/ RABICHO</t>
  </si>
  <si>
    <t>CABO FLEX PP 3X6.0           8,80</t>
  </si>
  <si>
    <t>PA QUADRADA TRAMON</t>
  </si>
  <si>
    <t>CORDA POLIET VERD 06M</t>
  </si>
  <si>
    <t>POLITRIZ 7 SKIL 9071 1300W</t>
  </si>
  <si>
    <t>PREGO CC 15X15  1.1/4X13            7,00</t>
  </si>
  <si>
    <t>LUVA DE RASPA C.LONGO 20CM VALCAN</t>
  </si>
  <si>
    <t>PLAINA SKIL 1555 127W</t>
  </si>
  <si>
    <t>MOTOR BOMBA CENT 6.5BRAN  1100</t>
  </si>
  <si>
    <t>BOMBA SUB 1,00 MONO TEB 1808CQ</t>
  </si>
  <si>
    <t>BOMBA SUB.  3/4 VC LEÃO 110V  C/QUA 1084</t>
  </si>
  <si>
    <t>LONA  LEVE 10X5</t>
  </si>
  <si>
    <t>PIA CONCRET INOX 1.40X56 PIANOX</t>
  </si>
  <si>
    <t>TELA DE ARAME P/VIVEIRO 1MT FIO24</t>
  </si>
  <si>
    <t>LAMP VAPOR METALICA 400W OUROLUX</t>
  </si>
  <si>
    <t>FIO TORC   04MM</t>
  </si>
  <si>
    <t>TINTA GL ZARCAO VELOZ LARANJ       45</t>
  </si>
  <si>
    <t>TUBO C/ROSCA  1 POL PVC BRA/CARDINALI 32,40</t>
  </si>
  <si>
    <t>FECHAD EXT 401/01 PERFIL STAM</t>
  </si>
  <si>
    <t>PREGO TELHEIRO CLEIBER 15,00</t>
  </si>
  <si>
    <t>CX DESC  BRANCO    AMANCO/ASTRA/ALUMASA</t>
  </si>
  <si>
    <t>SELO METALICO P/FITA PALETE PRETA  13MM 13</t>
  </si>
  <si>
    <t>GRAMPO P/CERCA GERDAU/BELGO  7,80</t>
  </si>
  <si>
    <t>TUBO ESGOTO  50MM  PVC BRASIL 24</t>
  </si>
  <si>
    <t>TOMADA LUMIBRAS 30A 3PL</t>
  </si>
  <si>
    <t>CABO DE COBRE NU N16</t>
  </si>
  <si>
    <t>ARRUELA  3/8</t>
  </si>
  <si>
    <t>MANG P/JARDIM VIQUA MT</t>
  </si>
  <si>
    <t>ALICAT UNIVERSAL TRAMONTINA</t>
  </si>
  <si>
    <t>BOTA PRETA S/CADAÇO 42 TIBAGI</t>
  </si>
  <si>
    <t>DISCO MAQ SERRA C/VID 24D MAQ/WORK</t>
  </si>
  <si>
    <t>DISCO DE CORT  07 NORTON CLASSIC AR302</t>
  </si>
  <si>
    <t>ROLAMENTO P/TRONCO PR</t>
  </si>
  <si>
    <t>PA</t>
  </si>
  <si>
    <t>PISO REV 32X45 130013 CX 2,02MT  13,95</t>
  </si>
  <si>
    <t>VALVULA P/POÇO SUCÇÂO  1        DOCOL</t>
  </si>
  <si>
    <t>CONJ SAN ACOPL 2P LUZART CZ CLARO</t>
  </si>
  <si>
    <t>CX LUZ 4X2 CARDINALI/FORT/AMANCO</t>
  </si>
  <si>
    <t>TUBO SOLD 20MM PVC BRASIL    7,7</t>
  </si>
  <si>
    <t>BOCAL DE LOUÇA PEQUENO E-27</t>
  </si>
  <si>
    <t>TINTA GL P/TELHA VELOZ CERAM  37,5</t>
  </si>
  <si>
    <t>ROLDANA P/RAQUE</t>
  </si>
  <si>
    <t>MAQUINA P/CORTA LAJOTA 75CM IRWIN</t>
  </si>
  <si>
    <t>BUCHA FIX POLIET N10</t>
  </si>
  <si>
    <t>DISCO DE DESB 07 STILEX PRETO SDA110</t>
  </si>
  <si>
    <t>TUBO SOLD 25MM KEP</t>
  </si>
  <si>
    <t>IGOFLEX  FACHADA GL SIKA</t>
  </si>
  <si>
    <t>LIQUIBRILHO LT VELOZ  123</t>
  </si>
  <si>
    <t>DRAGA TRAMONTINA C/QUAD  GRANDE</t>
  </si>
  <si>
    <t>PARAF P/CAMA 5/16X140 CAB/FURADA</t>
  </si>
  <si>
    <t>LAMP ELET 03U 30X220 SUPER NIKO</t>
  </si>
  <si>
    <t>BOMBA INJET   3/4  THEBE</t>
  </si>
  <si>
    <t>RODIZIO P/MESA 50MM S/FRE SOPRANO</t>
  </si>
  <si>
    <t>CADEADO N°50 PAPAIZ/PADO</t>
  </si>
  <si>
    <t>TINTA GL PVA VELOZ TURB B NEV      31,25</t>
  </si>
  <si>
    <t>TINTA ESM GL  VEL FLEX VERMELH     51,50</t>
  </si>
  <si>
    <t>VERNIZ 1/4 VELOZ INCOLOR MADEIRA 14,35</t>
  </si>
  <si>
    <t>SERRA CIRC SKIL RF 5402 127V</t>
  </si>
  <si>
    <t>CORREIA REX. C195</t>
  </si>
  <si>
    <t>MOTOR ESMERIL 1/2 CV BIVOLT FERRARI</t>
  </si>
  <si>
    <t>PIA CONCRET INOX 1.00X56 PIANOX</t>
  </si>
  <si>
    <t>REBOLO RETO 10X1.1/2X2</t>
  </si>
  <si>
    <t>CARRO MAO  PRETO METALPAMA QUA 79,5</t>
  </si>
  <si>
    <t>TINTA GL ZARCAO VELOZ PRETO         45</t>
  </si>
  <si>
    <t>ARCO  SERRA STANLEY /STARRE/TRAMONT</t>
  </si>
  <si>
    <t>BALANCINHO 60X1.00           ALUVID</t>
  </si>
  <si>
    <t>TUBO SOLD 32MM KEP</t>
  </si>
  <si>
    <t>ENXADA TRAMONT 2.1/2  LARG</t>
  </si>
  <si>
    <t>ALICAT P/SOLDA   600  AMP LEDAN</t>
  </si>
  <si>
    <t>MT CARBURADOR RAISM  051</t>
  </si>
  <si>
    <t>TINTA ESM GL  VEL FLEX ALUMINIO 73</t>
  </si>
  <si>
    <t>FIO P/SOM PARALELO 2X1,50MM</t>
  </si>
  <si>
    <t>PULVERIZADOR 20L JACTO XP PLASTICO</t>
  </si>
  <si>
    <t>REATOR ELETRON. 40WX127/220 INTRAL</t>
  </si>
  <si>
    <t>KIT DE ACESS P/BA INOX 5100 PEVILON</t>
  </si>
  <si>
    <t>CJ 2TOM.LUX2                     57145/065</t>
  </si>
  <si>
    <t>TINTA ESM 1/4 VEL FLEX PRETO        14,7</t>
  </si>
  <si>
    <t>VASSOURA P/GRAMA ARAME TRAMONTINA</t>
  </si>
  <si>
    <t>CORREIA REX. C173</t>
  </si>
  <si>
    <t>PREGO CC 26X72  6.1/2X1   8,00</t>
  </si>
  <si>
    <t>LAMP ELET 04U 45X127 SUPER NIKO</t>
  </si>
  <si>
    <t>MANG CRIST 1/2X1.5</t>
  </si>
  <si>
    <t>PS CLORO EM TABLET 200G</t>
  </si>
  <si>
    <t>CONECTOR PERFURANTE 25-120MM</t>
  </si>
  <si>
    <t>TINTA LAT PVA VELOZ T BR GELO       149,50</t>
  </si>
  <si>
    <t>TALHA MANUAL 2TONEL 5MT ELEVAÇÂO</t>
  </si>
  <si>
    <t>GRAXEIRO  08KG</t>
  </si>
  <si>
    <t>LUVA DE RASPA LONG LONADA</t>
  </si>
  <si>
    <t>PS BARRILHA GENCO PC/ 2KG</t>
  </si>
  <si>
    <t>PS TRICLORO ESTAB POT S/FLU 5FUNÇOES</t>
  </si>
  <si>
    <t>UM</t>
  </si>
  <si>
    <t>OLEO 4 TEMPO 1LT LUBRAX 17,50</t>
  </si>
  <si>
    <t>PISO 50X50 PEI4 150000 CX 2,50MT</t>
  </si>
  <si>
    <t>COLA P/CANO DIVERSOS 75G</t>
  </si>
  <si>
    <t>CORREIA REX. B136</t>
  </si>
  <si>
    <t>RODETE MANCAL MADEIRA     38</t>
  </si>
  <si>
    <t>MASSA GL P/MADEIRA VELOZ</t>
  </si>
  <si>
    <t>COMPRESSOR PEQUENO FERRARI</t>
  </si>
  <si>
    <t>PORCA    3/8</t>
  </si>
  <si>
    <t>TOMADINHA FEMEA 3ENT C/ENG10AP FAM</t>
  </si>
  <si>
    <t>CATRACA BRANCA PS 50MM 5TN MOVEL</t>
  </si>
  <si>
    <t>PREGO CC 17X21  2X11</t>
  </si>
  <si>
    <t>SUP.P/PRAT.MAO FRANC BRANC 30CM</t>
  </si>
  <si>
    <t>VENTILADOR DE PAREDE VENTISOL 50CM 127/220V</t>
  </si>
  <si>
    <t>COMPRESSOR COMPRESSURE 8.2PCM 25L 760</t>
  </si>
  <si>
    <t>TINTA LAT CORAL BRANCO NEVE</t>
  </si>
  <si>
    <t>JANELA VD    LISO  80X80     HABITEC 92</t>
  </si>
  <si>
    <t>LONA. AZUL  4X150MC</t>
  </si>
  <si>
    <t>BOX  1.30X185</t>
  </si>
  <si>
    <t>CONJ SAN ACOPL 2P VISEU LUZART PRETO 407</t>
  </si>
  <si>
    <t>LAMP MIST 250X220 FLC/SUPERNIKO</t>
  </si>
  <si>
    <t>VERNIZ 1/4 VELOZ MOG COLONIAL 16</t>
  </si>
  <si>
    <t>TINTA LAT CORAL PALHA</t>
  </si>
  <si>
    <t>DIJUNTOR  EL MONO 20 AP DIN STECK</t>
  </si>
  <si>
    <t>VERNIZ GL VELOZ MG COLONIAL     54,50</t>
  </si>
  <si>
    <t>BROCA AÇO RAP  3/8      IRWIN</t>
  </si>
  <si>
    <t>TINTA LAT PISO VELOZ AZUL      158</t>
  </si>
  <si>
    <t>TALHA MANUAL 0.5 TONEL 3MT ELEVAÇÂO</t>
  </si>
  <si>
    <t>CORREIA REX. B195</t>
  </si>
  <si>
    <t>MASSA GL ACRILICA    VELOZ</t>
  </si>
  <si>
    <t>CONJ SAN ACOPL 2P LUZART PRETO</t>
  </si>
  <si>
    <t>MASC C/VALVULA  DESC  ECOAR/NORTON</t>
  </si>
  <si>
    <t>COLA DE CONTATO 750G AMAZONIA</t>
  </si>
  <si>
    <t>LONA. PRETA 4X150MC 2FACES</t>
  </si>
  <si>
    <t>FURADE SKIL 700W C/MALETA 127V</t>
  </si>
  <si>
    <t>DISCO DE CORT  07 FINO NORTON BNA12</t>
  </si>
  <si>
    <t>QUIMIKAL</t>
  </si>
  <si>
    <t>PS MANG.P/ PISCINA AZUL 1.1/2</t>
  </si>
  <si>
    <t>CABO ANT CH 750 50.OM   19,10</t>
  </si>
  <si>
    <t>LONA  LEVE  6X4 LONABEM</t>
  </si>
  <si>
    <t>SILICON BIS 50G AUT TEMP VERMELHO</t>
  </si>
  <si>
    <t>ARRUELA  1/2  GROSSA</t>
  </si>
  <si>
    <t>MANG P/AR AGUA 5/16 PT300</t>
  </si>
  <si>
    <t>PRIMER 1/4 GALV  BRAN   VELOZ   12,9</t>
  </si>
  <si>
    <t>BRASITAPE  45CM</t>
  </si>
  <si>
    <t>REGULADOR DE GAS C/MANG IMAR</t>
  </si>
  <si>
    <t>DOBRADI  BORB.P/MOVEIS 2,0</t>
  </si>
  <si>
    <t>DOBRADI  BORB.P/MOVEIS 2,5</t>
  </si>
  <si>
    <t>MANG PRETA   1.1/4</t>
  </si>
  <si>
    <t>REBOLO RETO 10X2 FURO 1.1/2 120,10</t>
  </si>
  <si>
    <t>CADEADO N°25 PAPAIZ/PADO</t>
  </si>
  <si>
    <t>LIMA RED KF 7/32 404</t>
  </si>
  <si>
    <t>PISO 57X57 PEI4 170017 HD CX 2,32MT</t>
  </si>
  <si>
    <t>ESMERILHADEIRA SKIL 9006 C/MALETA 127V 4.1/2</t>
  </si>
  <si>
    <t>LONA. AMARE 4X150MC</t>
  </si>
  <si>
    <t>REBOLO RETO 10X2 FURO 1.1/4 STILEX 120,10</t>
  </si>
  <si>
    <t>TINTA LAT PVA VELOZ T AZ OCEAN     149,50</t>
  </si>
  <si>
    <t>PREGO CC 18X27  2.1/2X10           6,00</t>
  </si>
  <si>
    <t>FURADE BANC FER FGCI3 1/3CV</t>
  </si>
  <si>
    <t>PARAF FRAN  3/8X 3.1/2</t>
  </si>
  <si>
    <t>JOELHO ESGOTO 100MM DIVERSOS</t>
  </si>
  <si>
    <t>LAMP ELET ESP 59X220W OUROLUX</t>
  </si>
  <si>
    <t>REFLET P/LAMP 400 E40     SPOTLUX</t>
  </si>
  <si>
    <t>CORDA SEDA 08MM</t>
  </si>
  <si>
    <t>LIMA TRIANG 4" K&amp;F            11</t>
  </si>
  <si>
    <t>RODIZIO GIRATORIO 2" S/FREIO COLSON</t>
  </si>
  <si>
    <t>DIJUNTOR EL TRIP 125 AP DIN STECK</t>
  </si>
  <si>
    <t>FURADE BOSCH IMP GSB 16RE 220V</t>
  </si>
  <si>
    <t>CONJ SAN ACOPL 2P LUZART CARAMELO</t>
  </si>
  <si>
    <t>BOTA PRETA S/CADAÇO 39 TIBAGI</t>
  </si>
  <si>
    <t>LONA  LEVE  4X4  LONABEM</t>
  </si>
  <si>
    <t>TELA DE ARAME PINTEIRO 1MT</t>
  </si>
  <si>
    <t>CJ 1TOM.LUX2 20AMP          57145/013</t>
  </si>
  <si>
    <t>MANG PRETA   1/2 0,65</t>
  </si>
  <si>
    <t>CABO.TRIPLEX 10MM</t>
  </si>
  <si>
    <t>ARAME GALV.16MM</t>
  </si>
  <si>
    <t>OLEO P/COMPRESSOR</t>
  </si>
  <si>
    <t>FITA ISOL 18X10M IMPERIAL 3M</t>
  </si>
  <si>
    <t>TORNO DE ECANADOR FIXO NR2</t>
  </si>
  <si>
    <t>REATOR VAPOR METALICO 250W</t>
  </si>
  <si>
    <t>SERRA CIRC 300MM 12P 48D IRWIN</t>
  </si>
  <si>
    <t>JANELA VD    LISO 100X120   HABITEC     127,00</t>
  </si>
  <si>
    <t>CORREIA REX. B158</t>
  </si>
  <si>
    <t>LIXA MASSA 080   DIVERSOS</t>
  </si>
  <si>
    <t>PARAF FRAN  3/8X 5</t>
  </si>
  <si>
    <t>TINTA LAT PVA NOVO LAR BRANCO NEVE</t>
  </si>
  <si>
    <t>CORREIA REX. C162</t>
  </si>
  <si>
    <t>TINTA ESM GL  VEL FLEX AM OURO    51,50</t>
  </si>
  <si>
    <t>TINTA LAT PVA VELOZ T PEROLA        134,5</t>
  </si>
  <si>
    <t>SILICON BIS 50G ALT TEMP VERMELHO OBIVED</t>
  </si>
  <si>
    <t>ATERRAMENTO 1.20CM 1/2 S/CON 100%</t>
  </si>
  <si>
    <t>TUBO SOLD 20MM KEP</t>
  </si>
  <si>
    <t>VALVULA P/POÇO SUCÇÃO   3/4    DOCOL</t>
  </si>
  <si>
    <t>TORNEI 1/2 P/PIA LONGA HERC1158</t>
  </si>
  <si>
    <t>LONA. TRANS 4X200MC</t>
  </si>
  <si>
    <t>LIXA MASSA 100   DIVERSOS</t>
  </si>
  <si>
    <t>ASSENTO SANIT C/ALMOF BRANCO VIQUA</t>
  </si>
  <si>
    <t>REBOLO RETO 12 X 2" FURO 1.1/2"</t>
  </si>
  <si>
    <t>PS TRICLORO ESTAB POT C/FLU 5FUNÇOES</t>
  </si>
  <si>
    <t>KIT DE ACESS P/ BANHEI 6PC FAME</t>
  </si>
  <si>
    <t>TOMADA RED EXT ILUMI/LUSTER</t>
  </si>
  <si>
    <t>FILTRO P/CX D'GUA FORTILEVE</t>
  </si>
  <si>
    <t>MANG.AZUL 2 POL POL. PERFILNOR</t>
  </si>
  <si>
    <t>BOIA  ELET ANAU P/CX AGUA  15AP</t>
  </si>
  <si>
    <t>BATI PEDRA 1/4 VELOZ PRETO</t>
  </si>
  <si>
    <t>FECHAD TIPO CAIX 3F SILV/ISERO</t>
  </si>
  <si>
    <t>CADEADO N°20 PAPAIZ /PADO</t>
  </si>
  <si>
    <t>DOBRADI  GALVAN 3,5</t>
  </si>
  <si>
    <t>TINTA 1/4 ZARCAO VELOZ PRETO BRILHO 12,90</t>
  </si>
  <si>
    <t>SIKA   18 LT</t>
  </si>
  <si>
    <t>DISCO MAQ IRWIN  DIAM CONTINUO      13891</t>
  </si>
  <si>
    <t>RODIZIO P/MESA 35MM SILIC SOPRANO</t>
  </si>
  <si>
    <t>MANG.AZUL 1.1/2 POL. PERFILNOR</t>
  </si>
  <si>
    <t>CONJ SAN ACOPL 2P LUZART VERDE 220</t>
  </si>
  <si>
    <t>TINTA GL CORAL BRANCO NEVE</t>
  </si>
  <si>
    <t>LAMP ELET 03U 24X127 SUPER NIKO</t>
  </si>
  <si>
    <t>CORRENT GALV 3.0M</t>
  </si>
  <si>
    <t>DISCO MAQ IRWIN  DIAM SEGUIM          13892</t>
  </si>
  <si>
    <t>LAMP VAPOR METALICO 250W OUROLUX</t>
  </si>
  <si>
    <t>CORREIA REX. B162</t>
  </si>
  <si>
    <t>MANG SANTENO PERFURADA N1 100MT</t>
  </si>
  <si>
    <t>PIA CONCRET INOX 1.50X56 PIANOX</t>
  </si>
  <si>
    <t>TINTA LAT ZARCAO RC CINZA 90</t>
  </si>
  <si>
    <t>BOTA 7 LEGUA C/LONGO N42</t>
  </si>
  <si>
    <t>BARRA ROSQUEADA   5/16</t>
  </si>
  <si>
    <t>LONA  LEVE  6X5</t>
  </si>
  <si>
    <t>PA PENEIRA P/MAQ ACAI</t>
  </si>
  <si>
    <t>FECH.1000 EXT.ALAV.ESP.OVAL CRO 1001/05EC</t>
  </si>
  <si>
    <t>SUP.P/PRAT.MAO FRANC BRANC 25CM</t>
  </si>
  <si>
    <t>PREGO CC 23X54  5X4</t>
  </si>
  <si>
    <t>FILTRO C/ TORN BRAN VIG 1210302</t>
  </si>
  <si>
    <t>TINTA LAT PISO VELOZ VERDE  158</t>
  </si>
  <si>
    <t>TINTA ESM 1/4 VEL FLEX ALUMINIO 19,70</t>
  </si>
  <si>
    <t>PARAF MITO FILIPS 45X50</t>
  </si>
  <si>
    <t>DISCO DE CORT  4.1/2FINO BRA NOR STAR</t>
  </si>
  <si>
    <t>REGIST C/ALAV F 1.1/4 DOCOL</t>
  </si>
  <si>
    <t>DOBRADI ZINCADA CARTELADA 3.1/2  ORCA</t>
  </si>
  <si>
    <t>FIO P/SOM PARALELO 2XO.75MM</t>
  </si>
  <si>
    <t>DOBRADI P/PORTEIRA FERRADURA N2</t>
  </si>
  <si>
    <t>TORNEI 1/2 JARDIM PRETA HERC</t>
  </si>
  <si>
    <t>POLIA P/MOTOR MONTG  35</t>
  </si>
  <si>
    <t>PARAF FRAN    1/4X1.1/2</t>
  </si>
  <si>
    <t>REGUA  DE ALUMINIO 2MT</t>
  </si>
  <si>
    <t>TINTA LAT PVA VELOZ T PESSEGO      149,50</t>
  </si>
  <si>
    <t>TINTA LAT PVA VELOZ T PALHA          149,50</t>
  </si>
  <si>
    <t>SERRA CIRC SKIL 1800W 220V 5801</t>
  </si>
  <si>
    <t>VENTILADOR DE COLUNA 40CM VENTISOL 127V</t>
  </si>
  <si>
    <t>CORREIA REX. C180</t>
  </si>
  <si>
    <t>LONA  LEVE  9X4  LONABEM</t>
  </si>
  <si>
    <t>TUBO C/ROSCA   2"</t>
  </si>
  <si>
    <t>ADAP C/FLAN SOLD 40X1.1/4 CARDINAL</t>
  </si>
  <si>
    <t>FITA VEDA ROSCA 18MMX50M AFIX/PUL/GOOL</t>
  </si>
  <si>
    <t>Tempo Repos.</t>
  </si>
  <si>
    <t>Lote de compra</t>
  </si>
  <si>
    <t>FILTRO JEOMECANICO 100MM 2M P/POÇO FRISADO</t>
  </si>
  <si>
    <t>Unid.</t>
  </si>
  <si>
    <t>Quantidade Vend. Ano</t>
  </si>
  <si>
    <t>Estoque Mínimo</t>
  </si>
  <si>
    <t>Ponto de Reposição</t>
  </si>
  <si>
    <t>Frequência de Compras</t>
  </si>
  <si>
    <t>Estoque Máximo</t>
  </si>
  <si>
    <t>Seq.</t>
  </si>
  <si>
    <t>PNEU 4.00X8  BORRACHUDO LEVORIN</t>
  </si>
  <si>
    <t>CARRO MAO C/MAD TRAMON PLAST</t>
  </si>
  <si>
    <t>Estoque</t>
  </si>
  <si>
    <t>Estoque Médio</t>
  </si>
  <si>
    <t>Preço por Unidade</t>
  </si>
  <si>
    <t>Tempo de Reposição</t>
  </si>
  <si>
    <t>Demanda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</si>
</sst>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$-416]\ * #,##0.00_-;\-[$R$-416]\ * #,##0.00_-;_-[$R$-416]\ * &quot;-&quot;??_-;_-@_-"/>
    <numFmt numFmtId="165" formatCode="_-[$R$-416]* #,##0.00_-;\-[$R$-416]* #,##0.00_-;_-[$R$-416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/>
    <xf numFmtId="3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0" fontId="0" fillId="0" borderId="0" xfId="0" applyNumberFormat="1" applyBorder="1"/>
    <xf numFmtId="0" fontId="0" fillId="2" borderId="0" xfId="0" applyFill="1"/>
    <xf numFmtId="0" fontId="0" fillId="0" borderId="0" xfId="0"/>
    <xf numFmtId="1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0" borderId="2" xfId="0" applyNumberFormat="1" applyBorder="1"/>
    <xf numFmtId="2" fontId="0" fillId="0" borderId="2" xfId="0" applyNumberFormat="1" applyBorder="1"/>
    <xf numFmtId="1" fontId="0" fillId="0" borderId="2" xfId="0" applyNumberFormat="1" applyBorder="1"/>
    <xf numFmtId="3" fontId="0" fillId="0" borderId="2" xfId="0" applyNumberFormat="1" applyBorder="1"/>
    <xf numFmtId="0" fontId="0" fillId="0" borderId="6" xfId="0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9" xfId="0" applyNumberFormat="1" applyBorder="1"/>
    <xf numFmtId="2" fontId="0" fillId="0" borderId="9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/>
    <xf numFmtId="0" fontId="4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1" fontId="0" fillId="4" borderId="2" xfId="0" applyNumberFormat="1" applyFill="1" applyBorder="1"/>
    <xf numFmtId="1" fontId="0" fillId="4" borderId="9" xfId="0" applyNumberFormat="1" applyFill="1" applyBorder="1"/>
    <xf numFmtId="0" fontId="0" fillId="4" borderId="0" xfId="0" applyFill="1"/>
    <xf numFmtId="0" fontId="0" fillId="5" borderId="6" xfId="0" applyFill="1" applyBorder="1"/>
    <xf numFmtId="0" fontId="0" fillId="0" borderId="6" xfId="0" applyFill="1" applyBorder="1"/>
    <xf numFmtId="0" fontId="0" fillId="0" borderId="2" xfId="0" applyFill="1" applyBorder="1"/>
    <xf numFmtId="0" fontId="4" fillId="0" borderId="13" xfId="0" applyFont="1" applyBorder="1" applyAlignment="1">
      <alignment horizont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tabSelected="1" topLeftCell="B1" workbookViewId="0">
      <selection activeCell="M3" sqref="M3"/>
    </sheetView>
  </sheetViews>
  <sheetFormatPr defaultRowHeight="14.4" x14ac:dyDescent="0.3"/>
  <cols>
    <col min="1" max="1" width="7.109375" bestFit="1" customWidth="1"/>
    <col min="2" max="2" width="47.5546875" bestFit="1" customWidth="1"/>
    <col min="5" max="6" width="12.109375" bestFit="1" customWidth="1"/>
    <col min="7" max="7" width="10.5546875" bestFit="1" customWidth="1"/>
    <col min="10" max="10" width="15" customWidth="1"/>
    <col min="11" max="11" width="16.5546875" customWidth="1"/>
    <col min="12" max="12" width="18.33203125" customWidth="1"/>
    <col min="13" max="13" width="14.5546875" customWidth="1"/>
    <col min="14" max="14" width="9.88671875" customWidth="1"/>
  </cols>
  <sheetData>
    <row r="1" spans="1:14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815</v>
      </c>
      <c r="J1" s="7" t="s">
        <v>816</v>
      </c>
      <c r="K1" s="7" t="s">
        <v>817</v>
      </c>
      <c r="L1" s="7" t="s">
        <v>818</v>
      </c>
      <c r="M1" s="7" t="s">
        <v>819</v>
      </c>
      <c r="N1" s="7" t="s">
        <v>810</v>
      </c>
    </row>
    <row r="2" spans="1:14" x14ac:dyDescent="0.3">
      <c r="A2" s="3">
        <v>35</v>
      </c>
      <c r="B2" s="3" t="s">
        <v>98</v>
      </c>
      <c r="C2" s="3">
        <v>1</v>
      </c>
      <c r="D2" s="3" t="s">
        <v>9</v>
      </c>
      <c r="E2" s="6">
        <v>355</v>
      </c>
      <c r="F2" s="6">
        <v>28.4</v>
      </c>
      <c r="G2" s="6">
        <v>326.60000000000002</v>
      </c>
      <c r="H2" s="5">
        <v>1150</v>
      </c>
      <c r="I2">
        <f ca="1">RANDBETWEEN(40,600)</f>
        <v>486</v>
      </c>
      <c r="J2" s="52">
        <f ca="1">INT(I2+(C2*M2)+N2)</f>
        <v>494</v>
      </c>
      <c r="K2" s="51">
        <f>E2/C2</f>
        <v>355</v>
      </c>
      <c r="L2">
        <f ca="1">RANDBETWEEN(1,30)</f>
        <v>10</v>
      </c>
      <c r="M2" s="52">
        <f>C2/30</f>
        <v>3.3333333333333333E-2</v>
      </c>
      <c r="N2">
        <f ca="1">RANDBETWEEN(1,10)</f>
        <v>8</v>
      </c>
    </row>
    <row r="3" spans="1:14" x14ac:dyDescent="0.3">
      <c r="A3" s="3">
        <v>73</v>
      </c>
      <c r="B3" s="3" t="s">
        <v>211</v>
      </c>
      <c r="C3" s="3">
        <v>1</v>
      </c>
      <c r="D3" s="3" t="s">
        <v>9</v>
      </c>
      <c r="E3" s="6">
        <v>175</v>
      </c>
      <c r="F3" s="6">
        <v>0</v>
      </c>
      <c r="G3" s="6">
        <v>175</v>
      </c>
      <c r="H3" s="5">
        <v>100</v>
      </c>
      <c r="I3" s="13">
        <f t="shared" ref="I3:I66" ca="1" si="0">RANDBETWEEN(40,600)</f>
        <v>273</v>
      </c>
      <c r="J3" s="52">
        <f t="shared" ref="J3:J68" ca="1" si="1">INT(I3+(C3*M3)+N3)</f>
        <v>274</v>
      </c>
      <c r="K3" s="51">
        <f t="shared" ref="K3:K66" si="2">E3/C3</f>
        <v>175</v>
      </c>
      <c r="L3" s="13">
        <f t="shared" ref="L3:L66" ca="1" si="3">RANDBETWEEN(0,30)</f>
        <v>16</v>
      </c>
      <c r="M3" s="52">
        <f t="shared" ref="M3:M66" si="4">C3/30</f>
        <v>3.3333333333333333E-2</v>
      </c>
      <c r="N3" s="13">
        <f t="shared" ref="N3:N31" ca="1" si="5">RANDBETWEEN(1,10)</f>
        <v>1</v>
      </c>
    </row>
    <row r="4" spans="1:14" x14ac:dyDescent="0.3">
      <c r="A4" s="3">
        <v>107</v>
      </c>
      <c r="B4" s="3" t="s">
        <v>180</v>
      </c>
      <c r="C4" s="3">
        <v>1</v>
      </c>
      <c r="D4" s="3" t="s">
        <v>9</v>
      </c>
      <c r="E4" s="6">
        <v>199</v>
      </c>
      <c r="F4" s="6">
        <v>0</v>
      </c>
      <c r="G4" s="6">
        <v>199</v>
      </c>
      <c r="H4" s="5">
        <v>100</v>
      </c>
      <c r="I4" s="13">
        <f t="shared" ca="1" si="0"/>
        <v>596</v>
      </c>
      <c r="J4" s="52">
        <f t="shared" ca="1" si="1"/>
        <v>600</v>
      </c>
      <c r="K4" s="51">
        <f t="shared" si="2"/>
        <v>199</v>
      </c>
      <c r="L4" s="13">
        <f t="shared" ca="1" si="3"/>
        <v>8</v>
      </c>
      <c r="M4" s="52">
        <f t="shared" si="4"/>
        <v>3.3333333333333333E-2</v>
      </c>
      <c r="N4" s="13">
        <f t="shared" ca="1" si="5"/>
        <v>4</v>
      </c>
    </row>
    <row r="5" spans="1:14" x14ac:dyDescent="0.3">
      <c r="A5" s="3">
        <v>150</v>
      </c>
      <c r="B5" s="3" t="s">
        <v>32</v>
      </c>
      <c r="C5" s="3">
        <v>735</v>
      </c>
      <c r="D5" s="3" t="s">
        <v>12</v>
      </c>
      <c r="E5" s="6">
        <v>1131.54</v>
      </c>
      <c r="F5" s="6">
        <v>1139.25</v>
      </c>
      <c r="G5" s="6">
        <v>-7.71</v>
      </c>
      <c r="H5" s="5">
        <v>-0.68</v>
      </c>
      <c r="I5" s="13">
        <f t="shared" ca="1" si="0"/>
        <v>50</v>
      </c>
      <c r="J5" s="52">
        <f t="shared" ca="1" si="1"/>
        <v>18066</v>
      </c>
      <c r="K5" s="51">
        <f t="shared" si="2"/>
        <v>1.5395102040816326</v>
      </c>
      <c r="L5" s="13">
        <f t="shared" ca="1" si="3"/>
        <v>20</v>
      </c>
      <c r="M5" s="52">
        <f t="shared" si="4"/>
        <v>24.5</v>
      </c>
      <c r="N5" s="13">
        <f t="shared" ca="1" si="5"/>
        <v>9</v>
      </c>
    </row>
    <row r="6" spans="1:14" x14ac:dyDescent="0.3">
      <c r="A6" s="3">
        <v>151</v>
      </c>
      <c r="B6" s="3" t="s">
        <v>38</v>
      </c>
      <c r="C6" s="5">
        <v>453.5</v>
      </c>
      <c r="D6" s="3" t="s">
        <v>12</v>
      </c>
      <c r="E6" s="6">
        <v>1009.06</v>
      </c>
      <c r="F6" s="6">
        <v>1020.38</v>
      </c>
      <c r="G6" s="6">
        <v>-11.31</v>
      </c>
      <c r="H6" s="5">
        <v>-1.1100000000000001</v>
      </c>
      <c r="I6" s="13">
        <f t="shared" ca="1" si="0"/>
        <v>66</v>
      </c>
      <c r="J6" s="52">
        <f t="shared" ca="1" si="1"/>
        <v>6923</v>
      </c>
      <c r="K6" s="51">
        <f t="shared" si="2"/>
        <v>2.2250496141124585</v>
      </c>
      <c r="L6" s="13">
        <f t="shared" ca="1" si="3"/>
        <v>5</v>
      </c>
      <c r="M6" s="52">
        <f t="shared" si="4"/>
        <v>15.116666666666667</v>
      </c>
      <c r="N6" s="13">
        <f t="shared" ca="1" si="5"/>
        <v>2</v>
      </c>
    </row>
    <row r="7" spans="1:14" x14ac:dyDescent="0.3">
      <c r="A7" s="3">
        <v>151</v>
      </c>
      <c r="B7" s="3" t="s">
        <v>179</v>
      </c>
      <c r="C7" s="3">
        <v>88</v>
      </c>
      <c r="D7" s="3" t="s">
        <v>12</v>
      </c>
      <c r="E7" s="6">
        <v>199.6</v>
      </c>
      <c r="F7" s="6">
        <v>198</v>
      </c>
      <c r="G7" s="6">
        <v>1.6</v>
      </c>
      <c r="H7" s="5">
        <v>0.81</v>
      </c>
      <c r="I7" s="13">
        <f t="shared" ca="1" si="0"/>
        <v>76</v>
      </c>
      <c r="J7" s="52">
        <f t="shared" ca="1" si="1"/>
        <v>343</v>
      </c>
      <c r="K7" s="51">
        <f t="shared" si="2"/>
        <v>2.2681818181818181</v>
      </c>
      <c r="L7" s="13">
        <f t="shared" ca="1" si="3"/>
        <v>12</v>
      </c>
      <c r="M7" s="52">
        <f t="shared" si="4"/>
        <v>2.9333333333333331</v>
      </c>
      <c r="N7" s="13">
        <f t="shared" ca="1" si="5"/>
        <v>9</v>
      </c>
    </row>
    <row r="8" spans="1:14" x14ac:dyDescent="0.3">
      <c r="A8" s="3">
        <v>152</v>
      </c>
      <c r="B8" s="3" t="s">
        <v>65</v>
      </c>
      <c r="C8" s="3">
        <v>78</v>
      </c>
      <c r="D8" s="3" t="s">
        <v>12</v>
      </c>
      <c r="E8" s="6">
        <v>510.9</v>
      </c>
      <c r="F8" s="6">
        <v>487.5</v>
      </c>
      <c r="G8" s="6">
        <v>23.4</v>
      </c>
      <c r="H8" s="5">
        <v>4.8</v>
      </c>
      <c r="I8" s="13">
        <f t="shared" ca="1" si="0"/>
        <v>86</v>
      </c>
      <c r="J8" s="52">
        <f t="shared" ca="1" si="1"/>
        <v>298</v>
      </c>
      <c r="K8" s="51">
        <f t="shared" si="2"/>
        <v>6.55</v>
      </c>
      <c r="L8" s="13">
        <f t="shared" ca="1" si="3"/>
        <v>4</v>
      </c>
      <c r="M8" s="52">
        <f t="shared" si="4"/>
        <v>2.6</v>
      </c>
      <c r="N8" s="13">
        <f t="shared" ca="1" si="5"/>
        <v>10</v>
      </c>
    </row>
    <row r="9" spans="1:14" x14ac:dyDescent="0.3">
      <c r="A9" s="3">
        <v>153</v>
      </c>
      <c r="B9" s="3" t="s">
        <v>207</v>
      </c>
      <c r="C9" s="3">
        <v>18</v>
      </c>
      <c r="D9" s="3" t="s">
        <v>12</v>
      </c>
      <c r="E9" s="6">
        <v>179.98</v>
      </c>
      <c r="F9" s="6">
        <v>179.1</v>
      </c>
      <c r="G9" s="6">
        <v>0.88</v>
      </c>
      <c r="H9" s="5">
        <v>0.49</v>
      </c>
      <c r="I9" s="13">
        <f t="shared" ca="1" si="0"/>
        <v>455</v>
      </c>
      <c r="J9" s="52">
        <f t="shared" ca="1" si="1"/>
        <v>470</v>
      </c>
      <c r="K9" s="51">
        <f t="shared" si="2"/>
        <v>9.9988888888888887</v>
      </c>
      <c r="L9" s="13">
        <f t="shared" ca="1" si="3"/>
        <v>27</v>
      </c>
      <c r="M9" s="52">
        <f t="shared" si="4"/>
        <v>0.6</v>
      </c>
      <c r="N9" s="13">
        <f t="shared" ca="1" si="5"/>
        <v>5</v>
      </c>
    </row>
    <row r="10" spans="1:14" x14ac:dyDescent="0.3">
      <c r="A10" s="3">
        <v>153</v>
      </c>
      <c r="B10" s="3" t="s">
        <v>210</v>
      </c>
      <c r="C10" s="3">
        <v>76</v>
      </c>
      <c r="D10" s="3" t="s">
        <v>9</v>
      </c>
      <c r="E10" s="6">
        <v>177.78</v>
      </c>
      <c r="F10" s="6">
        <v>0</v>
      </c>
      <c r="G10" s="6">
        <v>177.78</v>
      </c>
      <c r="H10" s="5">
        <v>100</v>
      </c>
      <c r="I10" s="13">
        <f t="shared" ca="1" si="0"/>
        <v>566</v>
      </c>
      <c r="J10" s="52">
        <f t="shared" ca="1" si="1"/>
        <v>764</v>
      </c>
      <c r="K10" s="51">
        <f t="shared" si="2"/>
        <v>2.3392105263157896</v>
      </c>
      <c r="L10" s="13">
        <f t="shared" ca="1" si="3"/>
        <v>6</v>
      </c>
      <c r="M10" s="52">
        <f t="shared" si="4"/>
        <v>2.5333333333333332</v>
      </c>
      <c r="N10" s="13">
        <f t="shared" ca="1" si="5"/>
        <v>6</v>
      </c>
    </row>
    <row r="11" spans="1:14" x14ac:dyDescent="0.3">
      <c r="A11" s="3">
        <v>162</v>
      </c>
      <c r="B11" s="3" t="s">
        <v>68</v>
      </c>
      <c r="C11" s="3">
        <v>270</v>
      </c>
      <c r="D11" s="3" t="s">
        <v>12</v>
      </c>
      <c r="E11" s="6">
        <v>486.91</v>
      </c>
      <c r="F11" s="6">
        <v>513</v>
      </c>
      <c r="G11" s="6">
        <v>-26.09</v>
      </c>
      <c r="H11" s="5">
        <v>-5.09</v>
      </c>
      <c r="I11" s="13">
        <f t="shared" ca="1" si="0"/>
        <v>244</v>
      </c>
      <c r="J11" s="52">
        <f t="shared" ca="1" si="1"/>
        <v>2680</v>
      </c>
      <c r="K11" s="51">
        <f t="shared" si="2"/>
        <v>1.8033703703703705</v>
      </c>
      <c r="L11" s="13">
        <f t="shared" ca="1" si="3"/>
        <v>8</v>
      </c>
      <c r="M11" s="52">
        <f>C11/30</f>
        <v>9</v>
      </c>
      <c r="N11" s="13">
        <f t="shared" ca="1" si="5"/>
        <v>6</v>
      </c>
    </row>
    <row r="12" spans="1:14" x14ac:dyDescent="0.3">
      <c r="A12" s="3">
        <v>163</v>
      </c>
      <c r="B12" s="3" t="s">
        <v>99</v>
      </c>
      <c r="C12" s="3">
        <v>140</v>
      </c>
      <c r="D12" s="3" t="s">
        <v>12</v>
      </c>
      <c r="E12" s="6">
        <v>354.76</v>
      </c>
      <c r="F12" s="6">
        <v>357</v>
      </c>
      <c r="G12" s="6">
        <v>-2.2400000000000002</v>
      </c>
      <c r="H12" s="5">
        <v>-0.63</v>
      </c>
      <c r="I12" s="13">
        <f t="shared" ca="1" si="0"/>
        <v>130</v>
      </c>
      <c r="J12" s="52">
        <f t="shared" ca="1" si="1"/>
        <v>784</v>
      </c>
      <c r="K12" s="51">
        <f t="shared" si="2"/>
        <v>2.5339999999999998</v>
      </c>
      <c r="L12" s="13">
        <f t="shared" ca="1" si="3"/>
        <v>28</v>
      </c>
      <c r="M12" s="52">
        <f t="shared" si="4"/>
        <v>4.666666666666667</v>
      </c>
      <c r="N12" s="13">
        <f t="shared" ca="1" si="5"/>
        <v>1</v>
      </c>
    </row>
    <row r="13" spans="1:14" x14ac:dyDescent="0.3">
      <c r="A13" s="3">
        <v>165</v>
      </c>
      <c r="B13" s="3" t="s">
        <v>55</v>
      </c>
      <c r="C13" s="3">
        <v>379</v>
      </c>
      <c r="D13" s="3" t="s">
        <v>12</v>
      </c>
      <c r="E13" s="6">
        <v>650.82000000000005</v>
      </c>
      <c r="F13" s="6">
        <v>758</v>
      </c>
      <c r="G13" s="6">
        <v>-107.18</v>
      </c>
      <c r="H13" s="5">
        <v>-14.14</v>
      </c>
      <c r="I13" s="13">
        <f t="shared" ca="1" si="0"/>
        <v>180</v>
      </c>
      <c r="J13" s="52">
        <f t="shared" ca="1" si="1"/>
        <v>4976</v>
      </c>
      <c r="K13" s="51">
        <f t="shared" si="2"/>
        <v>1.7172031662269132</v>
      </c>
      <c r="L13" s="13">
        <f t="shared" ca="1" si="3"/>
        <v>26</v>
      </c>
      <c r="M13" s="52">
        <f t="shared" si="4"/>
        <v>12.633333333333333</v>
      </c>
      <c r="N13" s="13">
        <f ca="1">RANDBETWEEN(1,10)</f>
        <v>8</v>
      </c>
    </row>
    <row r="14" spans="1:14" x14ac:dyDescent="0.3">
      <c r="A14" s="3">
        <v>177</v>
      </c>
      <c r="B14" s="3" t="s">
        <v>50</v>
      </c>
      <c r="C14" s="3">
        <v>270</v>
      </c>
      <c r="D14" s="3" t="s">
        <v>12</v>
      </c>
      <c r="E14" s="6">
        <v>756.02</v>
      </c>
      <c r="F14" s="6">
        <v>796.5</v>
      </c>
      <c r="G14" s="6">
        <v>-40.479999999999997</v>
      </c>
      <c r="H14" s="5">
        <v>-5.08</v>
      </c>
      <c r="I14" s="13">
        <f t="shared" ca="1" si="0"/>
        <v>519</v>
      </c>
      <c r="J14" s="52">
        <f t="shared" ca="1" si="1"/>
        <v>2958</v>
      </c>
      <c r="K14" s="51">
        <f t="shared" si="2"/>
        <v>2.8000740740740739</v>
      </c>
      <c r="L14" s="13">
        <f t="shared" ca="1" si="3"/>
        <v>29</v>
      </c>
      <c r="M14" s="52">
        <f t="shared" si="4"/>
        <v>9</v>
      </c>
      <c r="N14" s="13">
        <f t="shared" ca="1" si="5"/>
        <v>9</v>
      </c>
    </row>
    <row r="15" spans="1:14" x14ac:dyDescent="0.3">
      <c r="A15" s="3">
        <v>198</v>
      </c>
      <c r="B15" s="3" t="s">
        <v>137</v>
      </c>
      <c r="C15" s="3">
        <v>5</v>
      </c>
      <c r="D15" s="3" t="s">
        <v>9</v>
      </c>
      <c r="E15" s="6">
        <v>268.94</v>
      </c>
      <c r="F15" s="6">
        <v>0</v>
      </c>
      <c r="G15" s="6">
        <v>268.94</v>
      </c>
      <c r="H15" s="5">
        <v>100</v>
      </c>
      <c r="I15" s="13">
        <f t="shared" ca="1" si="0"/>
        <v>238</v>
      </c>
      <c r="J15" s="52">
        <f t="shared" ca="1" si="1"/>
        <v>242</v>
      </c>
      <c r="K15" s="51">
        <f t="shared" si="2"/>
        <v>53.787999999999997</v>
      </c>
      <c r="L15" s="13">
        <f t="shared" ca="1" si="3"/>
        <v>21</v>
      </c>
      <c r="M15" s="52">
        <f t="shared" si="4"/>
        <v>0.16666666666666666</v>
      </c>
      <c r="N15" s="13">
        <f t="shared" ca="1" si="5"/>
        <v>4</v>
      </c>
    </row>
    <row r="16" spans="1:14" x14ac:dyDescent="0.3">
      <c r="A16" s="3">
        <v>225</v>
      </c>
      <c r="B16" s="3" t="s">
        <v>31</v>
      </c>
      <c r="C16" s="3">
        <v>220</v>
      </c>
      <c r="D16" s="3" t="s">
        <v>9</v>
      </c>
      <c r="E16" s="6">
        <v>1156.6099999999999</v>
      </c>
      <c r="F16" s="6">
        <v>396</v>
      </c>
      <c r="G16" s="6">
        <v>760.61</v>
      </c>
      <c r="H16" s="5">
        <v>192.07</v>
      </c>
      <c r="I16" s="13">
        <f t="shared" ca="1" si="0"/>
        <v>467</v>
      </c>
      <c r="J16" s="52">
        <f t="shared" ca="1" si="1"/>
        <v>2084</v>
      </c>
      <c r="K16" s="51">
        <f t="shared" si="2"/>
        <v>5.2573181818181816</v>
      </c>
      <c r="L16" s="13">
        <f t="shared" ca="1" si="3"/>
        <v>6</v>
      </c>
      <c r="M16" s="52">
        <f t="shared" si="4"/>
        <v>7.333333333333333</v>
      </c>
      <c r="N16" s="13">
        <f t="shared" ca="1" si="5"/>
        <v>4</v>
      </c>
    </row>
    <row r="17" spans="1:14" x14ac:dyDescent="0.3">
      <c r="A17" s="3">
        <v>248</v>
      </c>
      <c r="B17" s="3" t="s">
        <v>62</v>
      </c>
      <c r="C17" s="3">
        <v>1</v>
      </c>
      <c r="D17" s="3" t="s">
        <v>9</v>
      </c>
      <c r="E17" s="6">
        <v>538.20000000000005</v>
      </c>
      <c r="F17" s="6">
        <v>598</v>
      </c>
      <c r="G17" s="6">
        <v>-59.8</v>
      </c>
      <c r="H17" s="5">
        <v>-10</v>
      </c>
      <c r="I17" s="13">
        <f t="shared" ca="1" si="0"/>
        <v>182</v>
      </c>
      <c r="J17" s="52">
        <f t="shared" ca="1" si="1"/>
        <v>183</v>
      </c>
      <c r="K17" s="51">
        <f t="shared" si="2"/>
        <v>538.20000000000005</v>
      </c>
      <c r="L17" s="13">
        <f t="shared" ca="1" si="3"/>
        <v>2</v>
      </c>
      <c r="M17" s="52">
        <f t="shared" si="4"/>
        <v>3.3333333333333333E-2</v>
      </c>
      <c r="N17" s="13">
        <f t="shared" ca="1" si="5"/>
        <v>1</v>
      </c>
    </row>
    <row r="18" spans="1:14" x14ac:dyDescent="0.3">
      <c r="A18" s="3">
        <v>256</v>
      </c>
      <c r="B18" s="3" t="s">
        <v>116</v>
      </c>
      <c r="C18" s="3">
        <v>3</v>
      </c>
      <c r="D18" s="3" t="s">
        <v>9</v>
      </c>
      <c r="E18" s="6">
        <v>304</v>
      </c>
      <c r="F18" s="6">
        <v>287.39999999999998</v>
      </c>
      <c r="G18" s="6">
        <v>16.600000000000001</v>
      </c>
      <c r="H18" s="5">
        <v>5.78</v>
      </c>
      <c r="I18" s="13">
        <f t="shared" ca="1" si="0"/>
        <v>215</v>
      </c>
      <c r="J18" s="52">
        <f t="shared" ca="1" si="1"/>
        <v>224</v>
      </c>
      <c r="K18" s="51">
        <f t="shared" si="2"/>
        <v>101.33333333333333</v>
      </c>
      <c r="L18" s="13">
        <f t="shared" ca="1" si="3"/>
        <v>29</v>
      </c>
      <c r="M18" s="52">
        <f t="shared" si="4"/>
        <v>0.1</v>
      </c>
      <c r="N18" s="13">
        <f t="shared" ca="1" si="5"/>
        <v>9</v>
      </c>
    </row>
    <row r="19" spans="1:14" x14ac:dyDescent="0.3">
      <c r="A19" s="3">
        <v>260</v>
      </c>
      <c r="B19" s="3" t="s">
        <v>42</v>
      </c>
      <c r="C19" s="3">
        <v>1</v>
      </c>
      <c r="D19" s="3" t="s">
        <v>9</v>
      </c>
      <c r="E19" s="6">
        <v>882.53</v>
      </c>
      <c r="F19" s="6">
        <v>0</v>
      </c>
      <c r="G19" s="6">
        <v>882.53</v>
      </c>
      <c r="H19" s="5">
        <v>100</v>
      </c>
      <c r="I19" s="13">
        <f t="shared" ca="1" si="0"/>
        <v>493</v>
      </c>
      <c r="J19" s="52">
        <f t="shared" ca="1" si="1"/>
        <v>494</v>
      </c>
      <c r="K19" s="51">
        <f t="shared" si="2"/>
        <v>882.53</v>
      </c>
      <c r="L19" s="13">
        <f t="shared" ca="1" si="3"/>
        <v>25</v>
      </c>
      <c r="M19" s="52">
        <f t="shared" si="4"/>
        <v>3.3333333333333333E-2</v>
      </c>
      <c r="N19" s="13">
        <f t="shared" ca="1" si="5"/>
        <v>1</v>
      </c>
    </row>
    <row r="20" spans="1:14" x14ac:dyDescent="0.3">
      <c r="A20" s="3">
        <v>280</v>
      </c>
      <c r="B20" s="3" t="s">
        <v>170</v>
      </c>
      <c r="C20" s="3">
        <v>5</v>
      </c>
      <c r="D20" s="3" t="s">
        <v>22</v>
      </c>
      <c r="E20" s="6">
        <v>206.4</v>
      </c>
      <c r="F20" s="6">
        <v>170</v>
      </c>
      <c r="G20" s="6">
        <v>36.4</v>
      </c>
      <c r="H20" s="5">
        <v>21.41</v>
      </c>
      <c r="I20" s="13">
        <f t="shared" ca="1" si="0"/>
        <v>490</v>
      </c>
      <c r="J20" s="52">
        <f t="shared" ca="1" si="1"/>
        <v>494</v>
      </c>
      <c r="K20" s="51">
        <f t="shared" si="2"/>
        <v>41.28</v>
      </c>
      <c r="L20" s="13">
        <f t="shared" ca="1" si="3"/>
        <v>1</v>
      </c>
      <c r="M20" s="52">
        <f t="shared" si="4"/>
        <v>0.16666666666666666</v>
      </c>
      <c r="N20" s="13">
        <f t="shared" ca="1" si="5"/>
        <v>4</v>
      </c>
    </row>
    <row r="21" spans="1:14" x14ac:dyDescent="0.3">
      <c r="A21" s="3">
        <v>287</v>
      </c>
      <c r="B21" s="3" t="s">
        <v>177</v>
      </c>
      <c r="C21" s="3">
        <v>6</v>
      </c>
      <c r="D21" s="3" t="s">
        <v>9</v>
      </c>
      <c r="E21" s="6">
        <v>200.4</v>
      </c>
      <c r="F21" s="6">
        <v>186</v>
      </c>
      <c r="G21" s="6">
        <v>14.4</v>
      </c>
      <c r="H21" s="5">
        <v>7.74</v>
      </c>
      <c r="I21" s="13">
        <f t="shared" ca="1" si="0"/>
        <v>278</v>
      </c>
      <c r="J21" s="52">
        <f t="shared" ca="1" si="1"/>
        <v>283</v>
      </c>
      <c r="K21" s="51">
        <f t="shared" si="2"/>
        <v>33.4</v>
      </c>
      <c r="L21" s="13">
        <f t="shared" ca="1" si="3"/>
        <v>4</v>
      </c>
      <c r="M21" s="52">
        <f t="shared" si="4"/>
        <v>0.2</v>
      </c>
      <c r="N21" s="13">
        <f ca="1">RANDBETWEEN(1,10)</f>
        <v>4</v>
      </c>
    </row>
    <row r="22" spans="1:14" x14ac:dyDescent="0.3">
      <c r="A22" s="3">
        <v>318</v>
      </c>
      <c r="B22" s="3" t="s">
        <v>29</v>
      </c>
      <c r="C22" s="3">
        <v>29</v>
      </c>
      <c r="D22" s="3" t="s">
        <v>9</v>
      </c>
      <c r="E22" s="6">
        <v>1182.4000000000001</v>
      </c>
      <c r="F22" s="6">
        <v>1215.0999999999999</v>
      </c>
      <c r="G22" s="6">
        <v>-32.700000000000003</v>
      </c>
      <c r="H22" s="5">
        <v>-2.69</v>
      </c>
      <c r="I22" s="13">
        <f t="shared" ca="1" si="0"/>
        <v>370</v>
      </c>
      <c r="J22" s="52">
        <f t="shared" ca="1" si="1"/>
        <v>407</v>
      </c>
      <c r="K22" s="51">
        <f t="shared" si="2"/>
        <v>40.772413793103453</v>
      </c>
      <c r="L22" s="13">
        <f t="shared" ca="1" si="3"/>
        <v>14</v>
      </c>
      <c r="M22" s="52">
        <f t="shared" si="4"/>
        <v>0.96666666666666667</v>
      </c>
      <c r="N22" s="13">
        <f t="shared" ca="1" si="5"/>
        <v>9</v>
      </c>
    </row>
    <row r="23" spans="1:14" x14ac:dyDescent="0.3">
      <c r="A23" s="3">
        <v>320</v>
      </c>
      <c r="B23" s="3" t="s">
        <v>59</v>
      </c>
      <c r="C23" s="3">
        <v>12</v>
      </c>
      <c r="D23" s="3" t="s">
        <v>9</v>
      </c>
      <c r="E23" s="6">
        <v>553.79999999999995</v>
      </c>
      <c r="F23" s="6">
        <v>552</v>
      </c>
      <c r="G23" s="6">
        <v>1.8</v>
      </c>
      <c r="H23" s="5">
        <v>0.33</v>
      </c>
      <c r="I23" s="13">
        <f t="shared" ca="1" si="0"/>
        <v>247</v>
      </c>
      <c r="J23" s="52">
        <f t="shared" ca="1" si="1"/>
        <v>255</v>
      </c>
      <c r="K23" s="51">
        <f t="shared" si="2"/>
        <v>46.15</v>
      </c>
      <c r="L23" s="13">
        <f t="shared" ca="1" si="3"/>
        <v>2</v>
      </c>
      <c r="M23" s="52">
        <f t="shared" si="4"/>
        <v>0.4</v>
      </c>
      <c r="N23" s="13">
        <f t="shared" ca="1" si="5"/>
        <v>4</v>
      </c>
    </row>
    <row r="24" spans="1:14" x14ac:dyDescent="0.3">
      <c r="A24" s="3">
        <v>340</v>
      </c>
      <c r="B24" s="3" t="s">
        <v>53</v>
      </c>
      <c r="C24" s="3">
        <v>4</v>
      </c>
      <c r="D24" s="3" t="s">
        <v>9</v>
      </c>
      <c r="E24" s="6">
        <v>695.04</v>
      </c>
      <c r="F24" s="6">
        <v>0</v>
      </c>
      <c r="G24" s="6">
        <v>695.04</v>
      </c>
      <c r="H24" s="5">
        <v>100</v>
      </c>
      <c r="I24" s="13">
        <f t="shared" ca="1" si="0"/>
        <v>137</v>
      </c>
      <c r="J24" s="52">
        <f t="shared" ca="1" si="1"/>
        <v>147</v>
      </c>
      <c r="K24" s="51">
        <f t="shared" si="2"/>
        <v>173.76</v>
      </c>
      <c r="L24" s="13">
        <f t="shared" ca="1" si="3"/>
        <v>27</v>
      </c>
      <c r="M24" s="52">
        <f t="shared" si="4"/>
        <v>0.13333333333333333</v>
      </c>
      <c r="N24" s="13">
        <f t="shared" ca="1" si="5"/>
        <v>10</v>
      </c>
    </row>
    <row r="25" spans="1:14" x14ac:dyDescent="0.3">
      <c r="A25" s="3">
        <v>341</v>
      </c>
      <c r="B25" s="3" t="s">
        <v>89</v>
      </c>
      <c r="C25" s="3">
        <v>4</v>
      </c>
      <c r="D25" s="3" t="s">
        <v>9</v>
      </c>
      <c r="E25" s="6">
        <v>385.67</v>
      </c>
      <c r="F25" s="6">
        <v>0</v>
      </c>
      <c r="G25" s="6">
        <v>385.67</v>
      </c>
      <c r="H25" s="5">
        <v>100</v>
      </c>
      <c r="I25" s="13">
        <f t="shared" ca="1" si="0"/>
        <v>128</v>
      </c>
      <c r="J25" s="52">
        <f t="shared" ca="1" si="1"/>
        <v>137</v>
      </c>
      <c r="K25" s="51">
        <f t="shared" si="2"/>
        <v>96.417500000000004</v>
      </c>
      <c r="L25" s="13">
        <f t="shared" ca="1" si="3"/>
        <v>20</v>
      </c>
      <c r="M25" s="52">
        <f t="shared" si="4"/>
        <v>0.13333333333333333</v>
      </c>
      <c r="N25" s="13">
        <f t="shared" ca="1" si="5"/>
        <v>9</v>
      </c>
    </row>
    <row r="26" spans="1:14" x14ac:dyDescent="0.3">
      <c r="A26" s="3">
        <v>343</v>
      </c>
      <c r="B26" s="3" t="s">
        <v>103</v>
      </c>
      <c r="C26" s="3">
        <v>42</v>
      </c>
      <c r="D26" s="3" t="s">
        <v>22</v>
      </c>
      <c r="E26" s="6">
        <v>345.65</v>
      </c>
      <c r="F26" s="6">
        <v>336</v>
      </c>
      <c r="G26" s="6">
        <v>9.65</v>
      </c>
      <c r="H26" s="5">
        <v>2.87</v>
      </c>
      <c r="I26" s="13">
        <f t="shared" ca="1" si="0"/>
        <v>137</v>
      </c>
      <c r="J26" s="52">
        <f t="shared" ca="1" si="1"/>
        <v>202</v>
      </c>
      <c r="K26" s="51">
        <f t="shared" si="2"/>
        <v>8.2297619047619044</v>
      </c>
      <c r="L26" s="13">
        <f t="shared" ca="1" si="3"/>
        <v>13</v>
      </c>
      <c r="M26" s="52">
        <f t="shared" si="4"/>
        <v>1.4</v>
      </c>
      <c r="N26" s="13">
        <f t="shared" ca="1" si="5"/>
        <v>7</v>
      </c>
    </row>
    <row r="27" spans="1:14" x14ac:dyDescent="0.3">
      <c r="A27" s="3">
        <v>343</v>
      </c>
      <c r="B27" s="3" t="s">
        <v>123</v>
      </c>
      <c r="C27" s="3">
        <v>3</v>
      </c>
      <c r="D27" s="3" t="s">
        <v>9</v>
      </c>
      <c r="E27" s="6">
        <v>294.97000000000003</v>
      </c>
      <c r="F27" s="6">
        <v>0</v>
      </c>
      <c r="G27" s="6">
        <v>294.97000000000003</v>
      </c>
      <c r="H27" s="5">
        <v>100</v>
      </c>
      <c r="I27" s="13">
        <f t="shared" ca="1" si="0"/>
        <v>266</v>
      </c>
      <c r="J27" s="52">
        <f t="shared" ca="1" si="1"/>
        <v>270</v>
      </c>
      <c r="K27" s="51">
        <f t="shared" si="2"/>
        <v>98.323333333333338</v>
      </c>
      <c r="L27" s="13">
        <f t="shared" ca="1" si="3"/>
        <v>18</v>
      </c>
      <c r="M27" s="52">
        <f t="shared" si="4"/>
        <v>0.1</v>
      </c>
      <c r="N27" s="13">
        <f t="shared" ca="1" si="5"/>
        <v>4</v>
      </c>
    </row>
    <row r="28" spans="1:14" x14ac:dyDescent="0.3">
      <c r="A28" s="3">
        <v>345</v>
      </c>
      <c r="B28" s="3" t="s">
        <v>91</v>
      </c>
      <c r="C28" s="3">
        <v>1</v>
      </c>
      <c r="D28" s="3" t="s">
        <v>9</v>
      </c>
      <c r="E28" s="6">
        <v>380</v>
      </c>
      <c r="F28" s="6">
        <v>0</v>
      </c>
      <c r="G28" s="6">
        <v>380</v>
      </c>
      <c r="H28" s="5">
        <v>100</v>
      </c>
      <c r="I28" s="13">
        <f t="shared" ca="1" si="0"/>
        <v>218</v>
      </c>
      <c r="J28" s="52">
        <f ca="1">INT(I28+(C28*M28)+N28)</f>
        <v>221</v>
      </c>
      <c r="K28" s="51">
        <f t="shared" si="2"/>
        <v>380</v>
      </c>
      <c r="L28" s="13">
        <f t="shared" ca="1" si="3"/>
        <v>15</v>
      </c>
      <c r="M28" s="52">
        <f t="shared" si="4"/>
        <v>3.3333333333333333E-2</v>
      </c>
      <c r="N28" s="13">
        <f t="shared" ca="1" si="5"/>
        <v>3</v>
      </c>
    </row>
    <row r="29" spans="1:14" x14ac:dyDescent="0.3">
      <c r="A29" s="3">
        <v>346</v>
      </c>
      <c r="B29" s="3" t="s">
        <v>128</v>
      </c>
      <c r="C29" s="3">
        <v>1</v>
      </c>
      <c r="D29" s="3" t="s">
        <v>9</v>
      </c>
      <c r="E29" s="6">
        <v>290</v>
      </c>
      <c r="F29" s="6">
        <v>0</v>
      </c>
      <c r="G29" s="6">
        <v>290</v>
      </c>
      <c r="H29" s="5">
        <v>100</v>
      </c>
      <c r="I29" s="13">
        <f t="shared" ca="1" si="0"/>
        <v>501</v>
      </c>
      <c r="J29" s="52">
        <f t="shared" ca="1" si="1"/>
        <v>503</v>
      </c>
      <c r="K29" s="51">
        <f t="shared" si="2"/>
        <v>290</v>
      </c>
      <c r="L29" s="13">
        <f t="shared" ca="1" si="3"/>
        <v>29</v>
      </c>
      <c r="M29" s="52">
        <f t="shared" si="4"/>
        <v>3.3333333333333333E-2</v>
      </c>
      <c r="N29" s="13">
        <f t="shared" ca="1" si="5"/>
        <v>2</v>
      </c>
    </row>
    <row r="30" spans="1:14" x14ac:dyDescent="0.3">
      <c r="A30" s="3">
        <v>348</v>
      </c>
      <c r="B30" s="3" t="s">
        <v>153</v>
      </c>
      <c r="C30" s="5">
        <v>56.8</v>
      </c>
      <c r="D30" s="3" t="s">
        <v>12</v>
      </c>
      <c r="E30" s="6">
        <v>243.12</v>
      </c>
      <c r="F30" s="6">
        <v>255.6</v>
      </c>
      <c r="G30" s="6">
        <v>-12.48</v>
      </c>
      <c r="H30" s="5">
        <v>-4.88</v>
      </c>
      <c r="I30" s="13">
        <f t="shared" ca="1" si="0"/>
        <v>331</v>
      </c>
      <c r="J30" s="52">
        <f t="shared" ca="1" si="1"/>
        <v>442</v>
      </c>
      <c r="K30" s="51">
        <f t="shared" si="2"/>
        <v>4.2802816901408454</v>
      </c>
      <c r="L30" s="13">
        <f t="shared" ca="1" si="3"/>
        <v>7</v>
      </c>
      <c r="M30" s="52">
        <f t="shared" si="4"/>
        <v>1.8933333333333333</v>
      </c>
      <c r="N30" s="13">
        <f t="shared" ca="1" si="5"/>
        <v>4</v>
      </c>
    </row>
    <row r="31" spans="1:14" x14ac:dyDescent="0.3">
      <c r="A31" s="3">
        <v>354</v>
      </c>
      <c r="B31" s="3" t="s">
        <v>28</v>
      </c>
      <c r="C31" s="3">
        <v>68</v>
      </c>
      <c r="D31" s="3" t="s">
        <v>16</v>
      </c>
      <c r="E31" s="6">
        <v>1217.2</v>
      </c>
      <c r="F31" s="6">
        <v>1258</v>
      </c>
      <c r="G31" s="6">
        <v>-40.799999999999997</v>
      </c>
      <c r="H31" s="5">
        <v>-3.24</v>
      </c>
      <c r="I31" s="13">
        <f t="shared" ca="1" si="0"/>
        <v>174</v>
      </c>
      <c r="J31" s="52">
        <f t="shared" ca="1" si="1"/>
        <v>337</v>
      </c>
      <c r="K31" s="51">
        <f t="shared" si="2"/>
        <v>17.900000000000002</v>
      </c>
      <c r="L31" s="13">
        <f t="shared" ca="1" si="3"/>
        <v>24</v>
      </c>
      <c r="M31" s="52">
        <f t="shared" si="4"/>
        <v>2.2666666666666666</v>
      </c>
      <c r="N31" s="13">
        <f t="shared" ca="1" si="5"/>
        <v>9</v>
      </c>
    </row>
    <row r="32" spans="1:14" x14ac:dyDescent="0.3">
      <c r="A32" s="3">
        <v>356</v>
      </c>
      <c r="B32" s="3" t="s">
        <v>69</v>
      </c>
      <c r="C32" s="3">
        <v>23</v>
      </c>
      <c r="D32" s="3" t="s">
        <v>16</v>
      </c>
      <c r="E32" s="6">
        <v>477.9</v>
      </c>
      <c r="F32" s="6">
        <v>432.4</v>
      </c>
      <c r="G32" s="6">
        <v>45.5</v>
      </c>
      <c r="H32" s="5">
        <v>10.52</v>
      </c>
      <c r="I32" s="13">
        <f t="shared" ca="1" si="0"/>
        <v>182</v>
      </c>
      <c r="J32" s="52">
        <f t="shared" ca="1" si="1"/>
        <v>204</v>
      </c>
      <c r="K32" s="51">
        <f t="shared" si="2"/>
        <v>20.778260869565216</v>
      </c>
      <c r="L32" s="13">
        <f t="shared" ca="1" si="3"/>
        <v>23</v>
      </c>
      <c r="M32" s="52">
        <f t="shared" si="4"/>
        <v>0.76666666666666672</v>
      </c>
      <c r="N32" s="13">
        <f ca="1">RANDBETWEEN(1,10)</f>
        <v>5</v>
      </c>
    </row>
    <row r="33" spans="1:14" x14ac:dyDescent="0.3">
      <c r="A33" s="3">
        <v>363</v>
      </c>
      <c r="B33" s="3" t="s">
        <v>181</v>
      </c>
      <c r="C33" s="3">
        <v>99</v>
      </c>
      <c r="D33" s="3" t="s">
        <v>9</v>
      </c>
      <c r="E33" s="6">
        <v>198.5</v>
      </c>
      <c r="F33" s="6">
        <v>0</v>
      </c>
      <c r="G33" s="6">
        <v>198.5</v>
      </c>
      <c r="H33" s="5">
        <v>100</v>
      </c>
      <c r="I33" s="13">
        <f t="shared" ca="1" si="0"/>
        <v>438</v>
      </c>
      <c r="J33" s="52">
        <f t="shared" ca="1" si="1"/>
        <v>773</v>
      </c>
      <c r="K33" s="51">
        <f t="shared" si="2"/>
        <v>2.0050505050505052</v>
      </c>
      <c r="L33" s="13">
        <f t="shared" ca="1" si="3"/>
        <v>13</v>
      </c>
      <c r="M33" s="52">
        <f t="shared" si="4"/>
        <v>3.3</v>
      </c>
      <c r="N33" s="13">
        <f ca="1">RANDBETWEEN(1,10)</f>
        <v>9</v>
      </c>
    </row>
    <row r="34" spans="1:14" x14ac:dyDescent="0.3">
      <c r="A34" s="3">
        <v>398</v>
      </c>
      <c r="B34" s="3" t="s">
        <v>93</v>
      </c>
      <c r="C34" s="3">
        <v>84</v>
      </c>
      <c r="D34" s="3" t="s">
        <v>9</v>
      </c>
      <c r="E34" s="6">
        <v>378.01</v>
      </c>
      <c r="F34" s="6">
        <v>0</v>
      </c>
      <c r="G34" s="6">
        <v>378.01</v>
      </c>
      <c r="H34" s="5">
        <v>100</v>
      </c>
      <c r="I34" s="13">
        <f t="shared" ca="1" si="0"/>
        <v>412</v>
      </c>
      <c r="J34" s="52">
        <f t="shared" ca="1" si="1"/>
        <v>649</v>
      </c>
      <c r="K34" s="51">
        <f t="shared" si="2"/>
        <v>4.5001190476190471</v>
      </c>
      <c r="L34" s="13">
        <f t="shared" ca="1" si="3"/>
        <v>14</v>
      </c>
      <c r="M34" s="52">
        <f t="shared" si="4"/>
        <v>2.8</v>
      </c>
      <c r="N34" s="13">
        <f t="shared" ref="N34:N97" ca="1" si="6">RANDBETWEEN(1,10)</f>
        <v>2</v>
      </c>
    </row>
    <row r="35" spans="1:14" x14ac:dyDescent="0.3">
      <c r="A35" s="3">
        <v>402</v>
      </c>
      <c r="B35" s="3" t="s">
        <v>60</v>
      </c>
      <c r="C35" s="3">
        <v>1</v>
      </c>
      <c r="D35" s="3" t="s">
        <v>9</v>
      </c>
      <c r="E35" s="6">
        <v>544.99</v>
      </c>
      <c r="F35" s="6">
        <v>0</v>
      </c>
      <c r="G35" s="6">
        <v>544.99</v>
      </c>
      <c r="H35" s="5">
        <v>100</v>
      </c>
      <c r="I35" s="13">
        <f t="shared" ca="1" si="0"/>
        <v>78</v>
      </c>
      <c r="J35" s="52">
        <f t="shared" ca="1" si="1"/>
        <v>84</v>
      </c>
      <c r="K35" s="51">
        <f t="shared" si="2"/>
        <v>544.99</v>
      </c>
      <c r="L35" s="13">
        <f t="shared" ca="1" si="3"/>
        <v>10</v>
      </c>
      <c r="M35" s="52">
        <f t="shared" si="4"/>
        <v>3.3333333333333333E-2</v>
      </c>
      <c r="N35" s="13">
        <f t="shared" ca="1" si="6"/>
        <v>6</v>
      </c>
    </row>
    <row r="36" spans="1:14" x14ac:dyDescent="0.3">
      <c r="A36" s="3">
        <v>408</v>
      </c>
      <c r="B36" s="3" t="s">
        <v>105</v>
      </c>
      <c r="C36" s="3">
        <v>33</v>
      </c>
      <c r="D36" s="3" t="s">
        <v>9</v>
      </c>
      <c r="E36" s="6">
        <v>338.86</v>
      </c>
      <c r="F36" s="6">
        <v>363</v>
      </c>
      <c r="G36" s="6">
        <v>-24.14</v>
      </c>
      <c r="H36" s="5">
        <v>-6.65</v>
      </c>
      <c r="I36" s="13">
        <f t="shared" ca="1" si="0"/>
        <v>373</v>
      </c>
      <c r="J36" s="52">
        <f t="shared" ca="1" si="1"/>
        <v>416</v>
      </c>
      <c r="K36" s="51">
        <f t="shared" si="2"/>
        <v>10.268484848484849</v>
      </c>
      <c r="L36" s="13">
        <f t="shared" ca="1" si="3"/>
        <v>22</v>
      </c>
      <c r="M36" s="52">
        <f t="shared" si="4"/>
        <v>1.1000000000000001</v>
      </c>
      <c r="N36" s="13">
        <f t="shared" ca="1" si="6"/>
        <v>7</v>
      </c>
    </row>
    <row r="37" spans="1:14" x14ac:dyDescent="0.3">
      <c r="A37" s="3">
        <v>416</v>
      </c>
      <c r="B37" s="3" t="s">
        <v>90</v>
      </c>
      <c r="C37" s="3">
        <v>12</v>
      </c>
      <c r="D37" s="3" t="s">
        <v>9</v>
      </c>
      <c r="E37" s="6">
        <v>381.23</v>
      </c>
      <c r="F37" s="6">
        <v>0</v>
      </c>
      <c r="G37" s="6">
        <v>381.23</v>
      </c>
      <c r="H37" s="5">
        <v>100</v>
      </c>
      <c r="I37" s="13">
        <f t="shared" ca="1" si="0"/>
        <v>238</v>
      </c>
      <c r="J37" s="52">
        <f t="shared" ca="1" si="1"/>
        <v>245</v>
      </c>
      <c r="K37" s="51">
        <f t="shared" si="2"/>
        <v>31.769166666666667</v>
      </c>
      <c r="L37" s="13">
        <f t="shared" ca="1" si="3"/>
        <v>6</v>
      </c>
      <c r="M37" s="52">
        <f t="shared" si="4"/>
        <v>0.4</v>
      </c>
      <c r="N37" s="13">
        <f t="shared" ca="1" si="6"/>
        <v>3</v>
      </c>
    </row>
    <row r="38" spans="1:14" x14ac:dyDescent="0.3">
      <c r="A38" s="3">
        <v>417</v>
      </c>
      <c r="B38" s="3" t="s">
        <v>139</v>
      </c>
      <c r="C38" s="3">
        <v>7</v>
      </c>
      <c r="D38" s="3" t="s">
        <v>9</v>
      </c>
      <c r="E38" s="6">
        <v>266.7</v>
      </c>
      <c r="F38" s="6">
        <v>0</v>
      </c>
      <c r="G38" s="6">
        <v>266.7</v>
      </c>
      <c r="H38" s="5">
        <v>100</v>
      </c>
      <c r="I38" s="13">
        <f t="shared" ca="1" si="0"/>
        <v>574</v>
      </c>
      <c r="J38" s="52">
        <f t="shared" ca="1" si="1"/>
        <v>583</v>
      </c>
      <c r="K38" s="51">
        <f t="shared" si="2"/>
        <v>38.1</v>
      </c>
      <c r="L38" s="13">
        <f t="shared" ca="1" si="3"/>
        <v>15</v>
      </c>
      <c r="M38" s="52">
        <f t="shared" si="4"/>
        <v>0.23333333333333334</v>
      </c>
      <c r="N38" s="13">
        <f t="shared" ca="1" si="6"/>
        <v>8</v>
      </c>
    </row>
    <row r="39" spans="1:14" x14ac:dyDescent="0.3">
      <c r="A39" s="3">
        <v>425</v>
      </c>
      <c r="B39" s="3" t="s">
        <v>56</v>
      </c>
      <c r="C39" s="3">
        <v>3</v>
      </c>
      <c r="D39" s="3" t="s">
        <v>9</v>
      </c>
      <c r="E39" s="6">
        <v>627.26</v>
      </c>
      <c r="F39" s="6">
        <v>0</v>
      </c>
      <c r="G39" s="6">
        <v>627.26</v>
      </c>
      <c r="H39" s="5">
        <v>100</v>
      </c>
      <c r="I39" s="13">
        <f t="shared" ca="1" si="0"/>
        <v>429</v>
      </c>
      <c r="J39" s="52">
        <f t="shared" ca="1" si="1"/>
        <v>436</v>
      </c>
      <c r="K39" s="51">
        <f t="shared" si="2"/>
        <v>209.08666666666667</v>
      </c>
      <c r="L39" s="13">
        <f t="shared" ca="1" si="3"/>
        <v>19</v>
      </c>
      <c r="M39" s="52">
        <f t="shared" si="4"/>
        <v>0.1</v>
      </c>
      <c r="N39" s="13">
        <f t="shared" ca="1" si="6"/>
        <v>7</v>
      </c>
    </row>
    <row r="40" spans="1:14" x14ac:dyDescent="0.3">
      <c r="A40" s="3">
        <v>439</v>
      </c>
      <c r="B40" s="3" t="s">
        <v>168</v>
      </c>
      <c r="C40" s="3">
        <v>45</v>
      </c>
      <c r="D40" s="3" t="s">
        <v>9</v>
      </c>
      <c r="E40" s="6">
        <v>213.19</v>
      </c>
      <c r="F40" s="6">
        <v>180</v>
      </c>
      <c r="G40" s="6">
        <v>33.19</v>
      </c>
      <c r="H40" s="5">
        <v>18.440000000000001</v>
      </c>
      <c r="I40" s="13">
        <f t="shared" ca="1" si="0"/>
        <v>255</v>
      </c>
      <c r="J40" s="52">
        <f t="shared" ca="1" si="1"/>
        <v>330</v>
      </c>
      <c r="K40" s="51">
        <f t="shared" si="2"/>
        <v>4.7375555555555557</v>
      </c>
      <c r="L40" s="13">
        <f t="shared" ca="1" si="3"/>
        <v>17</v>
      </c>
      <c r="M40" s="52">
        <f t="shared" si="4"/>
        <v>1.5</v>
      </c>
      <c r="N40" s="13">
        <f t="shared" ca="1" si="6"/>
        <v>8</v>
      </c>
    </row>
    <row r="41" spans="1:14" x14ac:dyDescent="0.3">
      <c r="A41" s="3">
        <v>453</v>
      </c>
      <c r="B41" s="3" t="s">
        <v>161</v>
      </c>
      <c r="C41" s="3">
        <v>2</v>
      </c>
      <c r="D41" s="3" t="s">
        <v>9</v>
      </c>
      <c r="E41" s="6">
        <v>227.44</v>
      </c>
      <c r="F41" s="6">
        <v>0</v>
      </c>
      <c r="G41" s="6">
        <v>227.44</v>
      </c>
      <c r="H41" s="5">
        <v>100</v>
      </c>
      <c r="I41" s="13">
        <f t="shared" ca="1" si="0"/>
        <v>489</v>
      </c>
      <c r="J41" s="52">
        <f t="shared" ca="1" si="1"/>
        <v>496</v>
      </c>
      <c r="K41" s="51">
        <f t="shared" si="2"/>
        <v>113.72</v>
      </c>
      <c r="L41" s="13">
        <f t="shared" ca="1" si="3"/>
        <v>29</v>
      </c>
      <c r="M41" s="52">
        <f t="shared" si="4"/>
        <v>6.6666666666666666E-2</v>
      </c>
      <c r="N41" s="13">
        <f t="shared" ca="1" si="6"/>
        <v>7</v>
      </c>
    </row>
    <row r="42" spans="1:14" x14ac:dyDescent="0.3">
      <c r="A42" s="3">
        <v>456</v>
      </c>
      <c r="B42" s="3" t="s">
        <v>190</v>
      </c>
      <c r="C42" s="3">
        <v>2</v>
      </c>
      <c r="D42" s="3" t="s">
        <v>9</v>
      </c>
      <c r="E42" s="6">
        <v>190.5</v>
      </c>
      <c r="F42" s="6">
        <v>0</v>
      </c>
      <c r="G42" s="6">
        <v>190.5</v>
      </c>
      <c r="H42" s="5">
        <v>100</v>
      </c>
      <c r="I42" s="13">
        <f t="shared" ca="1" si="0"/>
        <v>240</v>
      </c>
      <c r="J42" s="52">
        <f t="shared" ca="1" si="1"/>
        <v>245</v>
      </c>
      <c r="K42" s="51">
        <f t="shared" si="2"/>
        <v>95.25</v>
      </c>
      <c r="L42" s="13">
        <f t="shared" ca="1" si="3"/>
        <v>15</v>
      </c>
      <c r="M42" s="52">
        <f t="shared" si="4"/>
        <v>6.6666666666666666E-2</v>
      </c>
      <c r="N42" s="13">
        <f t="shared" ca="1" si="6"/>
        <v>5</v>
      </c>
    </row>
    <row r="43" spans="1:14" x14ac:dyDescent="0.3">
      <c r="A43" s="3">
        <v>456</v>
      </c>
      <c r="B43" s="3" t="s">
        <v>214</v>
      </c>
      <c r="C43" s="3">
        <v>66</v>
      </c>
      <c r="D43" s="3" t="s">
        <v>9</v>
      </c>
      <c r="E43" s="6">
        <v>171.11</v>
      </c>
      <c r="F43" s="6">
        <v>138.6</v>
      </c>
      <c r="G43" s="6">
        <v>32.51</v>
      </c>
      <c r="H43" s="5">
        <v>23.46</v>
      </c>
      <c r="I43" s="13">
        <f t="shared" ca="1" si="0"/>
        <v>400</v>
      </c>
      <c r="J43" s="52">
        <f t="shared" ca="1" si="1"/>
        <v>549</v>
      </c>
      <c r="K43" s="51">
        <f t="shared" si="2"/>
        <v>2.5925757575757578</v>
      </c>
      <c r="L43" s="13">
        <f t="shared" ca="1" si="3"/>
        <v>19</v>
      </c>
      <c r="M43" s="52">
        <f t="shared" si="4"/>
        <v>2.2000000000000002</v>
      </c>
      <c r="N43" s="13">
        <f t="shared" ca="1" si="6"/>
        <v>4</v>
      </c>
    </row>
    <row r="44" spans="1:14" x14ac:dyDescent="0.3">
      <c r="A44" s="3">
        <v>459</v>
      </c>
      <c r="B44" s="3" t="s">
        <v>171</v>
      </c>
      <c r="C44" s="3">
        <v>7</v>
      </c>
      <c r="D44" s="3" t="s">
        <v>9</v>
      </c>
      <c r="E44" s="6">
        <v>206.35</v>
      </c>
      <c r="F44" s="6">
        <v>0</v>
      </c>
      <c r="G44" s="6">
        <v>206.35</v>
      </c>
      <c r="H44" s="5">
        <v>100</v>
      </c>
      <c r="I44" s="13">
        <f t="shared" ca="1" si="0"/>
        <v>424</v>
      </c>
      <c r="J44" s="52">
        <f t="shared" ca="1" si="1"/>
        <v>426</v>
      </c>
      <c r="K44" s="51">
        <f t="shared" si="2"/>
        <v>29.478571428571428</v>
      </c>
      <c r="L44" s="13">
        <f t="shared" ca="1" si="3"/>
        <v>15</v>
      </c>
      <c r="M44" s="52">
        <f t="shared" si="4"/>
        <v>0.23333333333333334</v>
      </c>
      <c r="N44" s="13">
        <f ca="1">RANDBETWEEN(1,10)</f>
        <v>1</v>
      </c>
    </row>
    <row r="45" spans="1:14" x14ac:dyDescent="0.3">
      <c r="A45" s="3">
        <v>469</v>
      </c>
      <c r="B45" s="3" t="s">
        <v>220</v>
      </c>
      <c r="C45" s="3">
        <v>37</v>
      </c>
      <c r="D45" s="3" t="s">
        <v>9</v>
      </c>
      <c r="E45" s="6">
        <v>165.64</v>
      </c>
      <c r="F45" s="6">
        <v>166.5</v>
      </c>
      <c r="G45" s="6">
        <v>-0.86</v>
      </c>
      <c r="H45" s="5">
        <v>-0.52</v>
      </c>
      <c r="I45" s="13">
        <f t="shared" ca="1" si="0"/>
        <v>111</v>
      </c>
      <c r="J45" s="52">
        <f t="shared" ca="1" si="1"/>
        <v>164</v>
      </c>
      <c r="K45" s="51">
        <f t="shared" si="2"/>
        <v>4.4767567567567568</v>
      </c>
      <c r="L45" s="13">
        <f t="shared" ca="1" si="3"/>
        <v>16</v>
      </c>
      <c r="M45" s="52">
        <f t="shared" si="4"/>
        <v>1.2333333333333334</v>
      </c>
      <c r="N45" s="13">
        <f t="shared" ca="1" si="6"/>
        <v>8</v>
      </c>
    </row>
    <row r="46" spans="1:14" x14ac:dyDescent="0.3">
      <c r="A46" s="3">
        <v>475</v>
      </c>
      <c r="B46" s="3" t="s">
        <v>78</v>
      </c>
      <c r="C46" s="3">
        <v>5</v>
      </c>
      <c r="D46" s="3" t="s">
        <v>9</v>
      </c>
      <c r="E46" s="6">
        <v>437.69</v>
      </c>
      <c r="F46" s="6">
        <v>0</v>
      </c>
      <c r="G46" s="6">
        <v>437.69</v>
      </c>
      <c r="H46" s="5">
        <v>100</v>
      </c>
      <c r="I46" s="13">
        <f t="shared" ca="1" si="0"/>
        <v>209</v>
      </c>
      <c r="J46" s="52">
        <f t="shared" ca="1" si="1"/>
        <v>211</v>
      </c>
      <c r="K46" s="51">
        <f t="shared" si="2"/>
        <v>87.537999999999997</v>
      </c>
      <c r="L46" s="13">
        <f t="shared" ca="1" si="3"/>
        <v>6</v>
      </c>
      <c r="M46" s="52">
        <f t="shared" si="4"/>
        <v>0.16666666666666666</v>
      </c>
      <c r="N46" s="13">
        <f t="shared" ca="1" si="6"/>
        <v>2</v>
      </c>
    </row>
    <row r="47" spans="1:14" x14ac:dyDescent="0.3">
      <c r="A47" s="3">
        <v>523</v>
      </c>
      <c r="B47" s="3" t="s">
        <v>71</v>
      </c>
      <c r="C47" s="3">
        <v>2</v>
      </c>
      <c r="D47" s="3" t="s">
        <v>9</v>
      </c>
      <c r="E47" s="6">
        <v>473.01</v>
      </c>
      <c r="F47" s="6">
        <v>398</v>
      </c>
      <c r="G47" s="6">
        <v>75.010000000000005</v>
      </c>
      <c r="H47" s="5">
        <v>18.850000000000001</v>
      </c>
      <c r="I47" s="13">
        <f t="shared" ca="1" si="0"/>
        <v>99</v>
      </c>
      <c r="J47" s="52">
        <f t="shared" ca="1" si="1"/>
        <v>102</v>
      </c>
      <c r="K47" s="51">
        <f t="shared" si="2"/>
        <v>236.505</v>
      </c>
      <c r="L47" s="13">
        <f t="shared" ca="1" si="3"/>
        <v>20</v>
      </c>
      <c r="M47" s="52">
        <f t="shared" si="4"/>
        <v>6.6666666666666666E-2</v>
      </c>
      <c r="N47" s="13">
        <f t="shared" ca="1" si="6"/>
        <v>3</v>
      </c>
    </row>
    <row r="48" spans="1:14" x14ac:dyDescent="0.3">
      <c r="A48" s="3">
        <v>535</v>
      </c>
      <c r="B48" s="3" t="s">
        <v>48</v>
      </c>
      <c r="C48" s="3">
        <v>99</v>
      </c>
      <c r="D48" s="3" t="s">
        <v>9</v>
      </c>
      <c r="E48" s="6">
        <v>788.51</v>
      </c>
      <c r="F48" s="6">
        <v>891</v>
      </c>
      <c r="G48" s="6">
        <v>-102.49</v>
      </c>
      <c r="H48" s="5">
        <v>-11.5</v>
      </c>
      <c r="I48" s="13">
        <f t="shared" ca="1" si="0"/>
        <v>194</v>
      </c>
      <c r="J48" s="52">
        <f ca="1">INT(I48+(C48*M48)+N48)</f>
        <v>528</v>
      </c>
      <c r="K48" s="51">
        <f t="shared" si="2"/>
        <v>7.9647474747474742</v>
      </c>
      <c r="L48" s="13">
        <f t="shared" ca="1" si="3"/>
        <v>7</v>
      </c>
      <c r="M48" s="52">
        <f t="shared" si="4"/>
        <v>3.3</v>
      </c>
      <c r="N48" s="13">
        <f t="shared" ca="1" si="6"/>
        <v>8</v>
      </c>
    </row>
    <row r="49" spans="1:14" x14ac:dyDescent="0.3">
      <c r="A49" s="3">
        <v>566</v>
      </c>
      <c r="B49" s="3" t="s">
        <v>84</v>
      </c>
      <c r="C49" s="3">
        <v>33</v>
      </c>
      <c r="D49" s="3" t="s">
        <v>9</v>
      </c>
      <c r="E49" s="6">
        <v>406.5</v>
      </c>
      <c r="F49" s="6">
        <v>396</v>
      </c>
      <c r="G49" s="6">
        <v>10.5</v>
      </c>
      <c r="H49" s="5">
        <v>2.65</v>
      </c>
      <c r="I49" s="13">
        <f t="shared" ca="1" si="0"/>
        <v>258</v>
      </c>
      <c r="J49" s="52">
        <f t="shared" ca="1" si="1"/>
        <v>297</v>
      </c>
      <c r="K49" s="51">
        <f t="shared" si="2"/>
        <v>12.318181818181818</v>
      </c>
      <c r="L49" s="13">
        <f t="shared" ca="1" si="3"/>
        <v>10</v>
      </c>
      <c r="M49" s="52">
        <f t="shared" si="4"/>
        <v>1.1000000000000001</v>
      </c>
      <c r="N49" s="13">
        <f t="shared" ca="1" si="6"/>
        <v>3</v>
      </c>
    </row>
    <row r="50" spans="1:14" x14ac:dyDescent="0.3">
      <c r="A50" s="3">
        <v>569</v>
      </c>
      <c r="B50" s="3" t="s">
        <v>18</v>
      </c>
      <c r="C50" s="3">
        <v>2</v>
      </c>
      <c r="D50" s="3" t="s">
        <v>9</v>
      </c>
      <c r="E50" s="6">
        <v>1598</v>
      </c>
      <c r="F50" s="6">
        <v>1250</v>
      </c>
      <c r="G50" s="6">
        <v>348</v>
      </c>
      <c r="H50" s="5">
        <v>27.84</v>
      </c>
      <c r="I50" s="13">
        <f t="shared" ca="1" si="0"/>
        <v>361</v>
      </c>
      <c r="J50" s="52">
        <f t="shared" ca="1" si="1"/>
        <v>364</v>
      </c>
      <c r="K50" s="51">
        <f t="shared" si="2"/>
        <v>799</v>
      </c>
      <c r="L50" s="13">
        <f t="shared" ca="1" si="3"/>
        <v>12</v>
      </c>
      <c r="M50" s="52">
        <f t="shared" si="4"/>
        <v>6.6666666666666666E-2</v>
      </c>
      <c r="N50" s="13">
        <f t="shared" ca="1" si="6"/>
        <v>3</v>
      </c>
    </row>
    <row r="51" spans="1:14" x14ac:dyDescent="0.3">
      <c r="A51" s="3">
        <v>571</v>
      </c>
      <c r="B51" s="3" t="s">
        <v>35</v>
      </c>
      <c r="C51" s="3">
        <v>1</v>
      </c>
      <c r="D51" s="3" t="s">
        <v>9</v>
      </c>
      <c r="E51" s="6">
        <v>1036.8</v>
      </c>
      <c r="F51" s="6">
        <v>975</v>
      </c>
      <c r="G51" s="6">
        <v>61.8</v>
      </c>
      <c r="H51" s="5">
        <v>6.34</v>
      </c>
      <c r="I51" s="13">
        <f t="shared" ca="1" si="0"/>
        <v>121</v>
      </c>
      <c r="J51" s="52">
        <f t="shared" ca="1" si="1"/>
        <v>122</v>
      </c>
      <c r="K51" s="51">
        <f t="shared" si="2"/>
        <v>1036.8</v>
      </c>
      <c r="L51" s="13">
        <f t="shared" ca="1" si="3"/>
        <v>5</v>
      </c>
      <c r="M51" s="52">
        <f t="shared" si="4"/>
        <v>3.3333333333333333E-2</v>
      </c>
      <c r="N51" s="13">
        <f t="shared" ca="1" si="6"/>
        <v>1</v>
      </c>
    </row>
    <row r="52" spans="1:14" x14ac:dyDescent="0.3">
      <c r="A52" s="3">
        <v>572</v>
      </c>
      <c r="B52" s="3" t="s">
        <v>43</v>
      </c>
      <c r="C52" s="3">
        <v>1</v>
      </c>
      <c r="D52" s="3" t="s">
        <v>9</v>
      </c>
      <c r="E52" s="6">
        <v>879.98</v>
      </c>
      <c r="F52" s="6">
        <v>790</v>
      </c>
      <c r="G52" s="6">
        <v>89.98</v>
      </c>
      <c r="H52" s="5">
        <v>11.39</v>
      </c>
      <c r="I52" s="13">
        <f t="shared" ca="1" si="0"/>
        <v>266</v>
      </c>
      <c r="J52" s="52">
        <f t="shared" ca="1" si="1"/>
        <v>270</v>
      </c>
      <c r="K52" s="51">
        <f t="shared" si="2"/>
        <v>879.98</v>
      </c>
      <c r="L52" s="13">
        <f t="shared" ca="1" si="3"/>
        <v>29</v>
      </c>
      <c r="M52" s="52">
        <f t="shared" si="4"/>
        <v>3.3333333333333333E-2</v>
      </c>
      <c r="N52" s="13">
        <f t="shared" ca="1" si="6"/>
        <v>4</v>
      </c>
    </row>
    <row r="53" spans="1:14" x14ac:dyDescent="0.3">
      <c r="A53" s="3">
        <v>584</v>
      </c>
      <c r="B53" s="3" t="s">
        <v>221</v>
      </c>
      <c r="C53" s="3">
        <v>2</v>
      </c>
      <c r="D53" s="3" t="s">
        <v>9</v>
      </c>
      <c r="E53" s="6">
        <v>164</v>
      </c>
      <c r="F53" s="6">
        <v>79</v>
      </c>
      <c r="G53" s="6">
        <v>85</v>
      </c>
      <c r="H53" s="5">
        <v>107.59</v>
      </c>
      <c r="I53" s="13">
        <f t="shared" ca="1" si="0"/>
        <v>533</v>
      </c>
      <c r="J53" s="52">
        <f t="shared" ca="1" si="1"/>
        <v>541</v>
      </c>
      <c r="K53" s="51">
        <f t="shared" si="2"/>
        <v>82</v>
      </c>
      <c r="L53" s="13">
        <f t="shared" ca="1" si="3"/>
        <v>1</v>
      </c>
      <c r="M53" s="52">
        <f t="shared" si="4"/>
        <v>6.6666666666666666E-2</v>
      </c>
      <c r="N53" s="13">
        <f t="shared" ca="1" si="6"/>
        <v>8</v>
      </c>
    </row>
    <row r="54" spans="1:14" x14ac:dyDescent="0.3">
      <c r="A54" s="3">
        <v>603</v>
      </c>
      <c r="B54" s="3" t="s">
        <v>165</v>
      </c>
      <c r="C54" s="5">
        <v>33.35</v>
      </c>
      <c r="D54" s="3" t="s">
        <v>12</v>
      </c>
      <c r="E54" s="6">
        <v>214.69</v>
      </c>
      <c r="F54" s="6">
        <v>316.82</v>
      </c>
      <c r="G54" s="6">
        <v>-102.14</v>
      </c>
      <c r="H54" s="5">
        <v>-32.24</v>
      </c>
      <c r="I54" s="13">
        <f t="shared" ca="1" si="0"/>
        <v>385</v>
      </c>
      <c r="J54" s="52">
        <f t="shared" ca="1" si="1"/>
        <v>427</v>
      </c>
      <c r="K54" s="51">
        <f t="shared" si="2"/>
        <v>6.4374812593703146</v>
      </c>
      <c r="L54" s="13">
        <f t="shared" ca="1" si="3"/>
        <v>11</v>
      </c>
      <c r="M54" s="52">
        <f t="shared" si="4"/>
        <v>1.1116666666666668</v>
      </c>
      <c r="N54" s="13">
        <f t="shared" ca="1" si="6"/>
        <v>5</v>
      </c>
    </row>
    <row r="55" spans="1:14" x14ac:dyDescent="0.3">
      <c r="A55" s="3">
        <v>692</v>
      </c>
      <c r="B55" s="3" t="s">
        <v>199</v>
      </c>
      <c r="C55" s="3">
        <v>27</v>
      </c>
      <c r="D55" s="3" t="s">
        <v>16</v>
      </c>
      <c r="E55" s="6">
        <v>185.66</v>
      </c>
      <c r="F55" s="6">
        <v>205.2</v>
      </c>
      <c r="G55" s="6">
        <v>-19.54</v>
      </c>
      <c r="H55" s="5">
        <v>-9.52</v>
      </c>
      <c r="I55" s="13">
        <f t="shared" ca="1" si="0"/>
        <v>193</v>
      </c>
      <c r="J55" s="52">
        <f t="shared" ca="1" si="1"/>
        <v>227</v>
      </c>
      <c r="K55" s="51">
        <f t="shared" si="2"/>
        <v>6.8762962962962959</v>
      </c>
      <c r="L55" s="13">
        <f t="shared" ca="1" si="3"/>
        <v>10</v>
      </c>
      <c r="M55" s="52">
        <f t="shared" si="4"/>
        <v>0.9</v>
      </c>
      <c r="N55" s="13">
        <f t="shared" ca="1" si="6"/>
        <v>10</v>
      </c>
    </row>
    <row r="56" spans="1:14" x14ac:dyDescent="0.3">
      <c r="A56" s="3">
        <v>699</v>
      </c>
      <c r="B56" s="3" t="s">
        <v>117</v>
      </c>
      <c r="C56" s="5">
        <v>48.3</v>
      </c>
      <c r="D56" s="3" t="s">
        <v>16</v>
      </c>
      <c r="E56" s="6">
        <v>303.33999999999997</v>
      </c>
      <c r="F56" s="6">
        <v>318.77999999999997</v>
      </c>
      <c r="G56" s="6">
        <v>-15.44</v>
      </c>
      <c r="H56" s="5">
        <v>-4.84</v>
      </c>
      <c r="I56" s="13">
        <f t="shared" ca="1" si="0"/>
        <v>395</v>
      </c>
      <c r="J56" s="52">
        <f t="shared" ca="1" si="1"/>
        <v>482</v>
      </c>
      <c r="K56" s="51">
        <f t="shared" si="2"/>
        <v>6.2803312629399581</v>
      </c>
      <c r="L56" s="13">
        <f t="shared" ca="1" si="3"/>
        <v>10</v>
      </c>
      <c r="M56" s="52">
        <f t="shared" si="4"/>
        <v>1.6099999999999999</v>
      </c>
      <c r="N56" s="13">
        <f t="shared" ca="1" si="6"/>
        <v>10</v>
      </c>
    </row>
    <row r="57" spans="1:14" x14ac:dyDescent="0.3">
      <c r="A57" s="3">
        <v>739</v>
      </c>
      <c r="B57" s="3" t="s">
        <v>15</v>
      </c>
      <c r="C57" s="4">
        <v>156655</v>
      </c>
      <c r="D57" s="3" t="s">
        <v>16</v>
      </c>
      <c r="E57" s="6">
        <v>1709.01</v>
      </c>
      <c r="F57" s="6">
        <v>1723.2</v>
      </c>
      <c r="G57" s="6">
        <v>-14.2</v>
      </c>
      <c r="H57" s="5">
        <v>-0.82</v>
      </c>
      <c r="I57" s="13">
        <f t="shared" ca="1" si="0"/>
        <v>571</v>
      </c>
      <c r="J57" s="52">
        <f t="shared" ca="1" si="1"/>
        <v>818026876</v>
      </c>
      <c r="K57" s="51">
        <f t="shared" si="2"/>
        <v>1.0909386869234943E-2</v>
      </c>
      <c r="L57" s="13">
        <f t="shared" ca="1" si="3"/>
        <v>17</v>
      </c>
      <c r="M57" s="52">
        <f t="shared" si="4"/>
        <v>5221.833333333333</v>
      </c>
      <c r="N57" s="13">
        <f t="shared" ca="1" si="6"/>
        <v>5</v>
      </c>
    </row>
    <row r="58" spans="1:14" x14ac:dyDescent="0.3">
      <c r="A58" s="3">
        <v>771</v>
      </c>
      <c r="B58" s="3" t="s">
        <v>58</v>
      </c>
      <c r="C58" s="3">
        <v>11</v>
      </c>
      <c r="D58" s="3" t="s">
        <v>9</v>
      </c>
      <c r="E58" s="6">
        <v>556.17999999999995</v>
      </c>
      <c r="F58" s="6">
        <v>572</v>
      </c>
      <c r="G58" s="6">
        <v>-15.82</v>
      </c>
      <c r="H58" s="5">
        <v>-2.77</v>
      </c>
      <c r="I58" s="13">
        <f t="shared" ca="1" si="0"/>
        <v>248</v>
      </c>
      <c r="J58" s="52">
        <f t="shared" ca="1" si="1"/>
        <v>255</v>
      </c>
      <c r="K58" s="51">
        <f t="shared" si="2"/>
        <v>50.561818181818175</v>
      </c>
      <c r="L58" s="13">
        <f t="shared" ca="1" si="3"/>
        <v>28</v>
      </c>
      <c r="M58" s="52">
        <f t="shared" si="4"/>
        <v>0.36666666666666664</v>
      </c>
      <c r="N58" s="13">
        <f t="shared" ca="1" si="6"/>
        <v>3</v>
      </c>
    </row>
    <row r="59" spans="1:14" x14ac:dyDescent="0.3">
      <c r="A59" s="3">
        <v>785</v>
      </c>
      <c r="B59" s="3" t="s">
        <v>115</v>
      </c>
      <c r="C59" s="3">
        <v>1</v>
      </c>
      <c r="D59" s="3" t="s">
        <v>9</v>
      </c>
      <c r="E59" s="6">
        <v>308.25</v>
      </c>
      <c r="F59" s="6">
        <v>330</v>
      </c>
      <c r="G59" s="6">
        <v>-21.75</v>
      </c>
      <c r="H59" s="5">
        <v>-6.59</v>
      </c>
      <c r="I59" s="13">
        <f t="shared" ca="1" si="0"/>
        <v>51</v>
      </c>
      <c r="J59" s="52">
        <f t="shared" ca="1" si="1"/>
        <v>56</v>
      </c>
      <c r="K59" s="51">
        <f t="shared" si="2"/>
        <v>308.25</v>
      </c>
      <c r="L59" s="13">
        <f t="shared" ca="1" si="3"/>
        <v>26</v>
      </c>
      <c r="M59" s="52">
        <f t="shared" si="4"/>
        <v>3.3333333333333333E-2</v>
      </c>
      <c r="N59" s="13">
        <f t="shared" ca="1" si="6"/>
        <v>5</v>
      </c>
    </row>
    <row r="60" spans="1:14" x14ac:dyDescent="0.3">
      <c r="A60" s="3">
        <v>828</v>
      </c>
      <c r="B60" s="3" t="s">
        <v>73</v>
      </c>
      <c r="C60" s="3">
        <v>1</v>
      </c>
      <c r="D60" s="3" t="s">
        <v>9</v>
      </c>
      <c r="E60" s="6">
        <v>467.61</v>
      </c>
      <c r="F60" s="6">
        <v>378</v>
      </c>
      <c r="G60" s="6">
        <v>89.61</v>
      </c>
      <c r="H60" s="5">
        <v>23.71</v>
      </c>
      <c r="I60" s="13">
        <f t="shared" ca="1" si="0"/>
        <v>497</v>
      </c>
      <c r="J60" s="52">
        <f t="shared" ca="1" si="1"/>
        <v>504</v>
      </c>
      <c r="K60" s="51">
        <f t="shared" si="2"/>
        <v>467.61</v>
      </c>
      <c r="L60" s="13">
        <f t="shared" ca="1" si="3"/>
        <v>6</v>
      </c>
      <c r="M60" s="52">
        <f t="shared" si="4"/>
        <v>3.3333333333333333E-2</v>
      </c>
      <c r="N60" s="13">
        <f t="shared" ca="1" si="6"/>
        <v>7</v>
      </c>
    </row>
    <row r="61" spans="1:14" x14ac:dyDescent="0.3">
      <c r="A61" s="3">
        <v>857</v>
      </c>
      <c r="B61" s="3" t="s">
        <v>208</v>
      </c>
      <c r="C61" s="3">
        <v>13</v>
      </c>
      <c r="D61" s="3" t="s">
        <v>9</v>
      </c>
      <c r="E61" s="6">
        <v>178.12</v>
      </c>
      <c r="F61" s="6">
        <v>162.5</v>
      </c>
      <c r="G61" s="6">
        <v>15.62</v>
      </c>
      <c r="H61" s="5">
        <v>9.61</v>
      </c>
      <c r="I61" s="13">
        <f t="shared" ca="1" si="0"/>
        <v>159</v>
      </c>
      <c r="J61" s="52">
        <f t="shared" ca="1" si="1"/>
        <v>166</v>
      </c>
      <c r="K61" s="51">
        <f t="shared" si="2"/>
        <v>13.701538461538462</v>
      </c>
      <c r="L61" s="13">
        <f t="shared" ca="1" si="3"/>
        <v>29</v>
      </c>
      <c r="M61" s="52">
        <f t="shared" si="4"/>
        <v>0.43333333333333335</v>
      </c>
      <c r="N61" s="13">
        <f t="shared" ca="1" si="6"/>
        <v>2</v>
      </c>
    </row>
    <row r="62" spans="1:14" x14ac:dyDescent="0.3">
      <c r="A62" s="3">
        <v>861</v>
      </c>
      <c r="B62" s="3" t="s">
        <v>112</v>
      </c>
      <c r="C62" s="3">
        <v>83</v>
      </c>
      <c r="D62" s="3" t="s">
        <v>9</v>
      </c>
      <c r="E62" s="6">
        <v>317.68</v>
      </c>
      <c r="F62" s="6">
        <v>323.7</v>
      </c>
      <c r="G62" s="6">
        <v>-6.02</v>
      </c>
      <c r="H62" s="5">
        <v>-1.86</v>
      </c>
      <c r="I62" s="13">
        <f t="shared" ca="1" si="0"/>
        <v>412</v>
      </c>
      <c r="J62" s="52">
        <f t="shared" ca="1" si="1"/>
        <v>647</v>
      </c>
      <c r="K62" s="51">
        <f t="shared" si="2"/>
        <v>3.8274698795180724</v>
      </c>
      <c r="L62" s="13">
        <f t="shared" ca="1" si="3"/>
        <v>19</v>
      </c>
      <c r="M62" s="52">
        <f t="shared" si="4"/>
        <v>2.7666666666666666</v>
      </c>
      <c r="N62" s="13">
        <f t="shared" ca="1" si="6"/>
        <v>6</v>
      </c>
    </row>
    <row r="63" spans="1:14" x14ac:dyDescent="0.3">
      <c r="A63" s="3">
        <v>876</v>
      </c>
      <c r="B63" s="3" t="s">
        <v>87</v>
      </c>
      <c r="C63" s="3">
        <v>10</v>
      </c>
      <c r="D63" s="3" t="s">
        <v>9</v>
      </c>
      <c r="E63" s="6">
        <v>388.8</v>
      </c>
      <c r="F63" s="6">
        <v>320</v>
      </c>
      <c r="G63" s="6">
        <v>68.8</v>
      </c>
      <c r="H63" s="5">
        <v>21.5</v>
      </c>
      <c r="I63" s="13">
        <f t="shared" ca="1" si="0"/>
        <v>190</v>
      </c>
      <c r="J63" s="52">
        <f t="shared" ca="1" si="1"/>
        <v>201</v>
      </c>
      <c r="K63" s="51">
        <f t="shared" si="2"/>
        <v>38.880000000000003</v>
      </c>
      <c r="L63" s="13">
        <f t="shared" ca="1" si="3"/>
        <v>8</v>
      </c>
      <c r="M63" s="52">
        <f t="shared" si="4"/>
        <v>0.33333333333333331</v>
      </c>
      <c r="N63" s="13">
        <f t="shared" ca="1" si="6"/>
        <v>8</v>
      </c>
    </row>
    <row r="64" spans="1:14" x14ac:dyDescent="0.3">
      <c r="A64" s="3">
        <v>893</v>
      </c>
      <c r="B64" s="3" t="s">
        <v>97</v>
      </c>
      <c r="C64" s="3">
        <v>13</v>
      </c>
      <c r="D64" s="3" t="s">
        <v>9</v>
      </c>
      <c r="E64" s="6">
        <v>355.93</v>
      </c>
      <c r="F64" s="6">
        <v>260</v>
      </c>
      <c r="G64" s="6">
        <v>95.93</v>
      </c>
      <c r="H64" s="5">
        <v>36.9</v>
      </c>
      <c r="I64" s="13">
        <f t="shared" ca="1" si="0"/>
        <v>128</v>
      </c>
      <c r="J64" s="52">
        <f t="shared" ca="1" si="1"/>
        <v>140</v>
      </c>
      <c r="K64" s="51">
        <f t="shared" si="2"/>
        <v>27.379230769230769</v>
      </c>
      <c r="L64" s="13">
        <f t="shared" ca="1" si="3"/>
        <v>29</v>
      </c>
      <c r="M64" s="52">
        <f t="shared" si="4"/>
        <v>0.43333333333333335</v>
      </c>
      <c r="N64" s="13">
        <f t="shared" ca="1" si="6"/>
        <v>7</v>
      </c>
    </row>
    <row r="65" spans="1:14" x14ac:dyDescent="0.3">
      <c r="A65" s="3">
        <v>1016</v>
      </c>
      <c r="B65" s="3" t="s">
        <v>106</v>
      </c>
      <c r="C65" s="3">
        <v>621</v>
      </c>
      <c r="D65" s="3" t="s">
        <v>9</v>
      </c>
      <c r="E65" s="6">
        <v>334.09</v>
      </c>
      <c r="F65" s="6">
        <v>372.6</v>
      </c>
      <c r="G65" s="6">
        <v>-38.51</v>
      </c>
      <c r="H65" s="5">
        <v>-10.34</v>
      </c>
      <c r="I65" s="13">
        <f t="shared" ca="1" si="0"/>
        <v>419</v>
      </c>
      <c r="J65" s="52">
        <f t="shared" ca="1" si="1"/>
        <v>13283</v>
      </c>
      <c r="K65" s="51">
        <f t="shared" si="2"/>
        <v>0.53798711755233486</v>
      </c>
      <c r="L65" s="13">
        <f t="shared" ca="1" si="3"/>
        <v>23</v>
      </c>
      <c r="M65" s="52">
        <f t="shared" si="4"/>
        <v>20.7</v>
      </c>
      <c r="N65" s="13">
        <f t="shared" ca="1" si="6"/>
        <v>10</v>
      </c>
    </row>
    <row r="66" spans="1:14" x14ac:dyDescent="0.3">
      <c r="A66" s="3">
        <v>1018</v>
      </c>
      <c r="B66" s="3" t="s">
        <v>167</v>
      </c>
      <c r="C66" s="3">
        <v>306</v>
      </c>
      <c r="D66" s="3" t="s">
        <v>9</v>
      </c>
      <c r="E66" s="6">
        <v>213.57</v>
      </c>
      <c r="F66" s="6">
        <v>214.2</v>
      </c>
      <c r="G66" s="6">
        <v>-0.63</v>
      </c>
      <c r="H66" s="5">
        <v>-0.28999999999999998</v>
      </c>
      <c r="I66" s="13">
        <f t="shared" ca="1" si="0"/>
        <v>513</v>
      </c>
      <c r="J66" s="52">
        <f t="shared" ca="1" si="1"/>
        <v>3642</v>
      </c>
      <c r="K66" s="51">
        <f t="shared" si="2"/>
        <v>0.69794117647058818</v>
      </c>
      <c r="L66" s="13">
        <f t="shared" ca="1" si="3"/>
        <v>25</v>
      </c>
      <c r="M66" s="52">
        <f t="shared" si="4"/>
        <v>10.199999999999999</v>
      </c>
      <c r="N66" s="13">
        <f t="shared" ca="1" si="6"/>
        <v>8</v>
      </c>
    </row>
    <row r="67" spans="1:14" x14ac:dyDescent="0.3">
      <c r="A67" s="3">
        <v>1027</v>
      </c>
      <c r="B67" s="3" t="s">
        <v>219</v>
      </c>
      <c r="C67" s="3">
        <v>585</v>
      </c>
      <c r="D67" s="3" t="s">
        <v>9</v>
      </c>
      <c r="E67" s="6">
        <v>166.23</v>
      </c>
      <c r="F67" s="6">
        <v>181.35</v>
      </c>
      <c r="G67" s="6">
        <v>-15.12</v>
      </c>
      <c r="H67" s="5">
        <v>-8.34</v>
      </c>
      <c r="I67" s="13">
        <f t="shared" ref="I67:I130" ca="1" si="7">RANDBETWEEN(40,600)</f>
        <v>399</v>
      </c>
      <c r="J67" s="52">
        <f t="shared" ref="J67" ca="1" si="8">INT(I67+(C67*M67)+N67)</f>
        <v>11811</v>
      </c>
      <c r="K67" s="51">
        <f t="shared" ref="K67:K130" si="9">E67/C67</f>
        <v>0.28415384615384615</v>
      </c>
      <c r="L67" s="13">
        <f t="shared" ref="L67:L130" ca="1" si="10">RANDBETWEEN(0,30)</f>
        <v>6</v>
      </c>
      <c r="M67" s="52">
        <f t="shared" ref="M67:M130" si="11">C67/30</f>
        <v>19.5</v>
      </c>
      <c r="N67" s="13">
        <f t="shared" ca="1" si="6"/>
        <v>5</v>
      </c>
    </row>
    <row r="68" spans="1:14" x14ac:dyDescent="0.3">
      <c r="A68" s="3">
        <v>1037</v>
      </c>
      <c r="B68" s="3" t="s">
        <v>129</v>
      </c>
      <c r="C68" s="3">
        <v>2</v>
      </c>
      <c r="D68" s="3" t="s">
        <v>25</v>
      </c>
      <c r="E68" s="6">
        <v>286</v>
      </c>
      <c r="F68" s="6">
        <v>270</v>
      </c>
      <c r="G68" s="6">
        <v>16</v>
      </c>
      <c r="H68" s="5">
        <v>5.93</v>
      </c>
      <c r="I68" s="13">
        <f t="shared" ca="1" si="7"/>
        <v>99</v>
      </c>
      <c r="J68" s="52">
        <f t="shared" ca="1" si="1"/>
        <v>106</v>
      </c>
      <c r="K68" s="51">
        <f t="shared" si="9"/>
        <v>143</v>
      </c>
      <c r="L68" s="13">
        <f t="shared" ca="1" si="10"/>
        <v>16</v>
      </c>
      <c r="M68" s="52">
        <f t="shared" si="11"/>
        <v>6.6666666666666666E-2</v>
      </c>
      <c r="N68" s="13">
        <f t="shared" ca="1" si="6"/>
        <v>7</v>
      </c>
    </row>
    <row r="69" spans="1:14" x14ac:dyDescent="0.3">
      <c r="A69" s="3">
        <v>1039</v>
      </c>
      <c r="B69" s="3" t="s">
        <v>114</v>
      </c>
      <c r="C69" s="3">
        <v>688</v>
      </c>
      <c r="D69" s="3" t="s">
        <v>9</v>
      </c>
      <c r="E69" s="6">
        <v>313.35000000000002</v>
      </c>
      <c r="F69" s="6">
        <v>344</v>
      </c>
      <c r="G69" s="6">
        <v>-30.65</v>
      </c>
      <c r="H69" s="5">
        <v>-8.91</v>
      </c>
      <c r="I69" s="13">
        <f t="shared" ca="1" si="7"/>
        <v>167</v>
      </c>
      <c r="J69" s="52">
        <f t="shared" ref="J69:J132" ca="1" si="12">INT(I69+(C69*M69)+N69)</f>
        <v>15953</v>
      </c>
      <c r="K69" s="51">
        <f t="shared" si="9"/>
        <v>0.45545058139534889</v>
      </c>
      <c r="L69" s="13">
        <f t="shared" ca="1" si="10"/>
        <v>9</v>
      </c>
      <c r="M69" s="52">
        <f t="shared" si="11"/>
        <v>22.933333333333334</v>
      </c>
      <c r="N69" s="13">
        <f t="shared" ca="1" si="6"/>
        <v>8</v>
      </c>
    </row>
    <row r="70" spans="1:14" x14ac:dyDescent="0.3">
      <c r="A70" s="3">
        <v>1140</v>
      </c>
      <c r="B70" s="3" t="s">
        <v>216</v>
      </c>
      <c r="C70" s="3">
        <v>5</v>
      </c>
      <c r="D70" s="3" t="s">
        <v>9</v>
      </c>
      <c r="E70" s="6">
        <v>169.55</v>
      </c>
      <c r="F70" s="6">
        <v>217.5</v>
      </c>
      <c r="G70" s="6">
        <v>-47.95</v>
      </c>
      <c r="H70" s="5">
        <v>-22.05</v>
      </c>
      <c r="I70" s="13">
        <f t="shared" ca="1" si="7"/>
        <v>420</v>
      </c>
      <c r="J70" s="52">
        <f t="shared" ca="1" si="12"/>
        <v>428</v>
      </c>
      <c r="K70" s="51">
        <f t="shared" si="9"/>
        <v>33.910000000000004</v>
      </c>
      <c r="L70" s="13">
        <f t="shared" ca="1" si="10"/>
        <v>20</v>
      </c>
      <c r="M70" s="52">
        <f t="shared" si="11"/>
        <v>0.16666666666666666</v>
      </c>
      <c r="N70" s="13">
        <f t="shared" ca="1" si="6"/>
        <v>8</v>
      </c>
    </row>
    <row r="71" spans="1:14" x14ac:dyDescent="0.3">
      <c r="A71" s="3">
        <v>1163</v>
      </c>
      <c r="B71" s="3" t="s">
        <v>183</v>
      </c>
      <c r="C71" s="3">
        <v>1</v>
      </c>
      <c r="D71" s="3" t="s">
        <v>9</v>
      </c>
      <c r="E71" s="6">
        <v>195</v>
      </c>
      <c r="F71" s="6">
        <v>195</v>
      </c>
      <c r="G71" s="6">
        <v>0</v>
      </c>
      <c r="H71" s="5">
        <v>0</v>
      </c>
      <c r="I71" s="13">
        <f t="shared" ca="1" si="7"/>
        <v>557</v>
      </c>
      <c r="J71" s="52">
        <f t="shared" ca="1" si="12"/>
        <v>561</v>
      </c>
      <c r="K71" s="51">
        <f t="shared" si="9"/>
        <v>195</v>
      </c>
      <c r="L71" s="13">
        <f t="shared" ca="1" si="10"/>
        <v>5</v>
      </c>
      <c r="M71" s="52">
        <f t="shared" si="11"/>
        <v>3.3333333333333333E-2</v>
      </c>
      <c r="N71" s="13">
        <f t="shared" ca="1" si="6"/>
        <v>4</v>
      </c>
    </row>
    <row r="72" spans="1:14" x14ac:dyDescent="0.3">
      <c r="A72" s="3">
        <v>1164</v>
      </c>
      <c r="B72" s="3" t="s">
        <v>133</v>
      </c>
      <c r="C72" s="3">
        <v>11</v>
      </c>
      <c r="D72" s="3" t="s">
        <v>34</v>
      </c>
      <c r="E72" s="6">
        <v>275.08</v>
      </c>
      <c r="F72" s="6">
        <v>363</v>
      </c>
      <c r="G72" s="6">
        <v>-87.92</v>
      </c>
      <c r="H72" s="5">
        <v>-24.22</v>
      </c>
      <c r="I72" s="13">
        <f t="shared" ca="1" si="7"/>
        <v>454</v>
      </c>
      <c r="J72" s="52">
        <f t="shared" ca="1" si="12"/>
        <v>464</v>
      </c>
      <c r="K72" s="51">
        <f t="shared" si="9"/>
        <v>25.007272727272724</v>
      </c>
      <c r="L72" s="13">
        <f t="shared" ca="1" si="10"/>
        <v>20</v>
      </c>
      <c r="M72" s="52">
        <f t="shared" si="11"/>
        <v>0.36666666666666664</v>
      </c>
      <c r="N72" s="13">
        <f t="shared" ca="1" si="6"/>
        <v>6</v>
      </c>
    </row>
    <row r="73" spans="1:14" x14ac:dyDescent="0.3">
      <c r="A73" s="3">
        <v>1169</v>
      </c>
      <c r="B73" s="3" t="s">
        <v>30</v>
      </c>
      <c r="C73" s="5">
        <v>295.5</v>
      </c>
      <c r="D73" s="3" t="s">
        <v>12</v>
      </c>
      <c r="E73" s="6">
        <v>1163.8900000000001</v>
      </c>
      <c r="F73" s="6">
        <v>1167.22</v>
      </c>
      <c r="G73" s="6">
        <v>-3.34</v>
      </c>
      <c r="H73" s="5">
        <v>-0.28999999999999998</v>
      </c>
      <c r="I73" s="13">
        <f t="shared" ca="1" si="7"/>
        <v>410</v>
      </c>
      <c r="J73" s="52">
        <f t="shared" ca="1" si="12"/>
        <v>3328</v>
      </c>
      <c r="K73" s="51">
        <f t="shared" si="9"/>
        <v>3.9387140439932322</v>
      </c>
      <c r="L73" s="13">
        <f t="shared" ca="1" si="10"/>
        <v>19</v>
      </c>
      <c r="M73" s="52">
        <f t="shared" si="11"/>
        <v>9.85</v>
      </c>
      <c r="N73" s="13">
        <f t="shared" ca="1" si="6"/>
        <v>8</v>
      </c>
    </row>
    <row r="74" spans="1:14" x14ac:dyDescent="0.3">
      <c r="A74" s="3">
        <v>1192</v>
      </c>
      <c r="B74" s="3" t="s">
        <v>75</v>
      </c>
      <c r="C74" s="5">
        <v>26.78</v>
      </c>
      <c r="D74" s="3" t="s">
        <v>16</v>
      </c>
      <c r="E74" s="6">
        <v>457.55</v>
      </c>
      <c r="F74" s="6">
        <v>495.43</v>
      </c>
      <c r="G74" s="6">
        <v>-37.880000000000003</v>
      </c>
      <c r="H74" s="5">
        <v>-7.65</v>
      </c>
      <c r="I74" s="13">
        <f t="shared" ca="1" si="7"/>
        <v>124</v>
      </c>
      <c r="J74" s="52">
        <f t="shared" ca="1" si="12"/>
        <v>157</v>
      </c>
      <c r="K74" s="51">
        <f t="shared" si="9"/>
        <v>17.085511575802837</v>
      </c>
      <c r="L74" s="13">
        <f t="shared" ca="1" si="10"/>
        <v>15</v>
      </c>
      <c r="M74" s="52">
        <f t="shared" si="11"/>
        <v>0.89266666666666672</v>
      </c>
      <c r="N74" s="13">
        <f t="shared" ca="1" si="6"/>
        <v>10</v>
      </c>
    </row>
    <row r="75" spans="1:14" x14ac:dyDescent="0.3">
      <c r="A75" s="3">
        <v>1228</v>
      </c>
      <c r="B75" s="3" t="s">
        <v>164</v>
      </c>
      <c r="C75" s="3">
        <v>1</v>
      </c>
      <c r="D75" s="3" t="s">
        <v>9</v>
      </c>
      <c r="E75" s="6">
        <v>220.13</v>
      </c>
      <c r="F75" s="6">
        <v>232</v>
      </c>
      <c r="G75" s="6">
        <v>-11.87</v>
      </c>
      <c r="H75" s="5">
        <v>-5.12</v>
      </c>
      <c r="I75" s="13">
        <f t="shared" ca="1" si="7"/>
        <v>182</v>
      </c>
      <c r="J75" s="52">
        <f t="shared" ca="1" si="12"/>
        <v>184</v>
      </c>
      <c r="K75" s="51">
        <f t="shared" si="9"/>
        <v>220.13</v>
      </c>
      <c r="L75" s="13">
        <f t="shared" ca="1" si="10"/>
        <v>26</v>
      </c>
      <c r="M75" s="52">
        <f t="shared" si="11"/>
        <v>3.3333333333333333E-2</v>
      </c>
      <c r="N75" s="13">
        <f t="shared" ca="1" si="6"/>
        <v>2</v>
      </c>
    </row>
    <row r="76" spans="1:14" x14ac:dyDescent="0.3">
      <c r="A76" s="3">
        <v>1240</v>
      </c>
      <c r="B76" s="3" t="s">
        <v>47</v>
      </c>
      <c r="C76" s="3">
        <v>1</v>
      </c>
      <c r="D76" s="3" t="s">
        <v>9</v>
      </c>
      <c r="E76" s="6">
        <v>822.77</v>
      </c>
      <c r="F76" s="6">
        <v>880</v>
      </c>
      <c r="G76" s="6">
        <v>-57.23</v>
      </c>
      <c r="H76" s="5">
        <v>-6.5</v>
      </c>
      <c r="I76" s="13">
        <f t="shared" ca="1" si="7"/>
        <v>342</v>
      </c>
      <c r="J76" s="52">
        <f t="shared" ca="1" si="12"/>
        <v>346</v>
      </c>
      <c r="K76" s="51">
        <f t="shared" si="9"/>
        <v>822.77</v>
      </c>
      <c r="L76" s="13">
        <f t="shared" ca="1" si="10"/>
        <v>7</v>
      </c>
      <c r="M76" s="52">
        <f t="shared" si="11"/>
        <v>3.3333333333333333E-2</v>
      </c>
      <c r="N76" s="13">
        <f t="shared" ca="1" si="6"/>
        <v>4</v>
      </c>
    </row>
    <row r="77" spans="1:14" x14ac:dyDescent="0.3">
      <c r="A77" s="3">
        <v>1268</v>
      </c>
      <c r="B77" s="3" t="s">
        <v>24</v>
      </c>
      <c r="C77" s="3">
        <v>19</v>
      </c>
      <c r="D77" s="3" t="s">
        <v>25</v>
      </c>
      <c r="E77" s="6">
        <v>1420.25</v>
      </c>
      <c r="F77" s="6">
        <v>1178</v>
      </c>
      <c r="G77" s="6">
        <v>242.25</v>
      </c>
      <c r="H77" s="5">
        <v>20.56</v>
      </c>
      <c r="I77" s="13">
        <f t="shared" ca="1" si="7"/>
        <v>417</v>
      </c>
      <c r="J77" s="52">
        <f t="shared" ca="1" si="12"/>
        <v>430</v>
      </c>
      <c r="K77" s="51">
        <f t="shared" si="9"/>
        <v>74.75</v>
      </c>
      <c r="L77" s="13">
        <f t="shared" ca="1" si="10"/>
        <v>17</v>
      </c>
      <c r="M77" s="52">
        <f t="shared" si="11"/>
        <v>0.6333333333333333</v>
      </c>
      <c r="N77" s="13">
        <f t="shared" ca="1" si="6"/>
        <v>1</v>
      </c>
    </row>
    <row r="78" spans="1:14" x14ac:dyDescent="0.3">
      <c r="A78" s="3">
        <v>1270</v>
      </c>
      <c r="B78" s="3" t="s">
        <v>101</v>
      </c>
      <c r="C78" s="3">
        <v>20</v>
      </c>
      <c r="D78" s="3" t="s">
        <v>9</v>
      </c>
      <c r="E78" s="6">
        <v>352.27</v>
      </c>
      <c r="F78" s="6">
        <v>298</v>
      </c>
      <c r="G78" s="6">
        <v>54.27</v>
      </c>
      <c r="H78" s="5">
        <v>18.21</v>
      </c>
      <c r="I78" s="13">
        <f t="shared" ca="1" si="7"/>
        <v>318</v>
      </c>
      <c r="J78" s="52">
        <f t="shared" ca="1" si="12"/>
        <v>334</v>
      </c>
      <c r="K78" s="51">
        <f t="shared" si="9"/>
        <v>17.613499999999998</v>
      </c>
      <c r="L78" s="13">
        <f t="shared" ca="1" si="10"/>
        <v>25</v>
      </c>
      <c r="M78" s="52">
        <f t="shared" si="11"/>
        <v>0.66666666666666663</v>
      </c>
      <c r="N78" s="13">
        <f t="shared" ca="1" si="6"/>
        <v>3</v>
      </c>
    </row>
    <row r="79" spans="1:14" x14ac:dyDescent="0.3">
      <c r="A79" s="3">
        <v>1302</v>
      </c>
      <c r="B79" s="3" t="s">
        <v>27</v>
      </c>
      <c r="C79" s="3">
        <v>6</v>
      </c>
      <c r="D79" s="3" t="s">
        <v>9</v>
      </c>
      <c r="E79" s="6">
        <v>1308.1099999999999</v>
      </c>
      <c r="F79" s="6">
        <v>1332</v>
      </c>
      <c r="G79" s="6">
        <v>-23.89</v>
      </c>
      <c r="H79" s="5">
        <v>-1.79</v>
      </c>
      <c r="I79" s="13">
        <f t="shared" ca="1" si="7"/>
        <v>349</v>
      </c>
      <c r="J79" s="52">
        <f t="shared" ca="1" si="12"/>
        <v>351</v>
      </c>
      <c r="K79" s="51">
        <f t="shared" si="9"/>
        <v>218.01833333333332</v>
      </c>
      <c r="L79" s="13">
        <f t="shared" ca="1" si="10"/>
        <v>29</v>
      </c>
      <c r="M79" s="52">
        <f t="shared" si="11"/>
        <v>0.2</v>
      </c>
      <c r="N79" s="13">
        <f t="shared" ca="1" si="6"/>
        <v>1</v>
      </c>
    </row>
    <row r="80" spans="1:14" x14ac:dyDescent="0.3">
      <c r="A80" s="3">
        <v>1305</v>
      </c>
      <c r="B80" s="3" t="s">
        <v>192</v>
      </c>
      <c r="C80" s="3">
        <v>52</v>
      </c>
      <c r="D80" s="3" t="s">
        <v>12</v>
      </c>
      <c r="E80" s="6">
        <v>188.38</v>
      </c>
      <c r="F80" s="6">
        <v>208</v>
      </c>
      <c r="G80" s="6">
        <v>-19.62</v>
      </c>
      <c r="H80" s="5">
        <v>-9.43</v>
      </c>
      <c r="I80" s="13">
        <f t="shared" ca="1" si="7"/>
        <v>65</v>
      </c>
      <c r="J80" s="52">
        <f t="shared" ca="1" si="12"/>
        <v>165</v>
      </c>
      <c r="K80" s="51">
        <f t="shared" si="9"/>
        <v>3.6226923076923074</v>
      </c>
      <c r="L80" s="13">
        <f t="shared" ca="1" si="10"/>
        <v>24</v>
      </c>
      <c r="M80" s="52">
        <f t="shared" si="11"/>
        <v>1.7333333333333334</v>
      </c>
      <c r="N80" s="13">
        <f t="shared" ca="1" si="6"/>
        <v>10</v>
      </c>
    </row>
    <row r="81" spans="1:14" x14ac:dyDescent="0.3">
      <c r="A81" s="3">
        <v>1351</v>
      </c>
      <c r="B81" s="3" t="s">
        <v>108</v>
      </c>
      <c r="C81" s="3">
        <v>1</v>
      </c>
      <c r="D81" s="3" t="s">
        <v>9</v>
      </c>
      <c r="E81" s="6">
        <v>333</v>
      </c>
      <c r="F81" s="6">
        <v>330</v>
      </c>
      <c r="G81" s="6">
        <v>3</v>
      </c>
      <c r="H81" s="5">
        <v>0.91</v>
      </c>
      <c r="I81" s="13">
        <f t="shared" ca="1" si="7"/>
        <v>406</v>
      </c>
      <c r="J81" s="52">
        <f t="shared" ca="1" si="12"/>
        <v>409</v>
      </c>
      <c r="K81" s="51">
        <f t="shared" si="9"/>
        <v>333</v>
      </c>
      <c r="L81" s="13">
        <f t="shared" ca="1" si="10"/>
        <v>19</v>
      </c>
      <c r="M81" s="52">
        <f t="shared" si="11"/>
        <v>3.3333333333333333E-2</v>
      </c>
      <c r="N81" s="13">
        <f t="shared" ca="1" si="6"/>
        <v>3</v>
      </c>
    </row>
    <row r="82" spans="1:14" x14ac:dyDescent="0.3">
      <c r="A82" s="3">
        <v>1356</v>
      </c>
      <c r="B82" s="3" t="s">
        <v>76</v>
      </c>
      <c r="C82" s="3">
        <v>100</v>
      </c>
      <c r="D82" s="3" t="s">
        <v>12</v>
      </c>
      <c r="E82" s="6">
        <v>450</v>
      </c>
      <c r="F82" s="6">
        <v>490</v>
      </c>
      <c r="G82" s="6">
        <v>-40</v>
      </c>
      <c r="H82" s="5">
        <v>-8.16</v>
      </c>
      <c r="I82" s="13">
        <f t="shared" ca="1" si="7"/>
        <v>190</v>
      </c>
      <c r="J82" s="52">
        <f t="shared" ca="1" si="12"/>
        <v>528</v>
      </c>
      <c r="K82" s="51">
        <f t="shared" si="9"/>
        <v>4.5</v>
      </c>
      <c r="L82" s="13">
        <f t="shared" ca="1" si="10"/>
        <v>6</v>
      </c>
      <c r="M82" s="52">
        <f t="shared" si="11"/>
        <v>3.3333333333333335</v>
      </c>
      <c r="N82" s="13">
        <f t="shared" ca="1" si="6"/>
        <v>5</v>
      </c>
    </row>
    <row r="83" spans="1:14" x14ac:dyDescent="0.3">
      <c r="A83" s="3">
        <v>1371</v>
      </c>
      <c r="B83" s="3" t="s">
        <v>160</v>
      </c>
      <c r="C83" s="3">
        <v>3</v>
      </c>
      <c r="D83" s="3" t="s">
        <v>9</v>
      </c>
      <c r="E83" s="6">
        <v>230.72</v>
      </c>
      <c r="F83" s="6">
        <v>255</v>
      </c>
      <c r="G83" s="6">
        <v>-24.28</v>
      </c>
      <c r="H83" s="5">
        <v>-9.52</v>
      </c>
      <c r="I83" s="13">
        <f t="shared" ca="1" si="7"/>
        <v>45</v>
      </c>
      <c r="J83" s="52">
        <f t="shared" ca="1" si="12"/>
        <v>51</v>
      </c>
      <c r="K83" s="51">
        <f t="shared" si="9"/>
        <v>76.906666666666666</v>
      </c>
      <c r="L83" s="13">
        <f t="shared" ca="1" si="10"/>
        <v>26</v>
      </c>
      <c r="M83" s="52">
        <f t="shared" si="11"/>
        <v>0.1</v>
      </c>
      <c r="N83" s="13">
        <f t="shared" ca="1" si="6"/>
        <v>6</v>
      </c>
    </row>
    <row r="84" spans="1:14" x14ac:dyDescent="0.3">
      <c r="A84" s="3">
        <v>1380</v>
      </c>
      <c r="B84" s="3" t="s">
        <v>118</v>
      </c>
      <c r="C84" s="3">
        <v>13</v>
      </c>
      <c r="D84" s="3" t="s">
        <v>9</v>
      </c>
      <c r="E84" s="6">
        <v>301.26</v>
      </c>
      <c r="F84" s="6">
        <v>296.39999999999998</v>
      </c>
      <c r="G84" s="6">
        <v>4.8600000000000003</v>
      </c>
      <c r="H84" s="5">
        <v>1.64</v>
      </c>
      <c r="I84" s="13">
        <f t="shared" ca="1" si="7"/>
        <v>413</v>
      </c>
      <c r="J84" s="52">
        <f t="shared" ca="1" si="12"/>
        <v>424</v>
      </c>
      <c r="K84" s="51">
        <f t="shared" si="9"/>
        <v>23.173846153846153</v>
      </c>
      <c r="L84" s="13">
        <f t="shared" ca="1" si="10"/>
        <v>2</v>
      </c>
      <c r="M84" s="52">
        <f t="shared" si="11"/>
        <v>0.43333333333333335</v>
      </c>
      <c r="N84" s="13">
        <f t="shared" ca="1" si="6"/>
        <v>6</v>
      </c>
    </row>
    <row r="85" spans="1:14" x14ac:dyDescent="0.3">
      <c r="A85" s="3">
        <v>1387</v>
      </c>
      <c r="B85" s="3" t="s">
        <v>8</v>
      </c>
      <c r="C85" s="3">
        <v>57</v>
      </c>
      <c r="D85" s="3" t="s">
        <v>9</v>
      </c>
      <c r="E85" s="6">
        <v>2571.59</v>
      </c>
      <c r="F85" s="6">
        <v>2394</v>
      </c>
      <c r="G85" s="6">
        <v>177.59</v>
      </c>
      <c r="H85" s="5">
        <v>7.42</v>
      </c>
      <c r="I85" s="13">
        <f t="shared" ca="1" si="7"/>
        <v>220</v>
      </c>
      <c r="J85" s="52">
        <f t="shared" ca="1" si="12"/>
        <v>336</v>
      </c>
      <c r="K85" s="51">
        <f t="shared" si="9"/>
        <v>45.115614035087724</v>
      </c>
      <c r="L85" s="13">
        <f t="shared" ca="1" si="10"/>
        <v>20</v>
      </c>
      <c r="M85" s="52">
        <f t="shared" si="11"/>
        <v>1.9</v>
      </c>
      <c r="N85" s="13">
        <f t="shared" ca="1" si="6"/>
        <v>8</v>
      </c>
    </row>
    <row r="86" spans="1:14" x14ac:dyDescent="0.3">
      <c r="A86" s="3">
        <v>1400</v>
      </c>
      <c r="B86" s="3" t="s">
        <v>191</v>
      </c>
      <c r="C86" s="3">
        <v>4</v>
      </c>
      <c r="D86" s="3" t="s">
        <v>9</v>
      </c>
      <c r="E86" s="6">
        <v>190.34</v>
      </c>
      <c r="F86" s="6">
        <v>190.8</v>
      </c>
      <c r="G86" s="6">
        <v>-0.46</v>
      </c>
      <c r="H86" s="5">
        <v>-0.24</v>
      </c>
      <c r="I86" s="13">
        <f t="shared" ca="1" si="7"/>
        <v>547</v>
      </c>
      <c r="J86" s="52">
        <f t="shared" ca="1" si="12"/>
        <v>554</v>
      </c>
      <c r="K86" s="51">
        <f t="shared" si="9"/>
        <v>47.585000000000001</v>
      </c>
      <c r="L86" s="13">
        <f t="shared" ca="1" si="10"/>
        <v>12</v>
      </c>
      <c r="M86" s="52">
        <f t="shared" si="11"/>
        <v>0.13333333333333333</v>
      </c>
      <c r="N86" s="13">
        <f t="shared" ca="1" si="6"/>
        <v>7</v>
      </c>
    </row>
    <row r="87" spans="1:14" x14ac:dyDescent="0.3">
      <c r="A87" s="3">
        <v>1451</v>
      </c>
      <c r="B87" s="3" t="s">
        <v>196</v>
      </c>
      <c r="C87" s="3">
        <v>2</v>
      </c>
      <c r="D87" s="3" t="s">
        <v>9</v>
      </c>
      <c r="E87" s="6">
        <v>186.95</v>
      </c>
      <c r="F87" s="6">
        <v>185</v>
      </c>
      <c r="G87" s="6">
        <v>1.95</v>
      </c>
      <c r="H87" s="5">
        <v>1.05</v>
      </c>
      <c r="I87" s="13">
        <f t="shared" ca="1" si="7"/>
        <v>128</v>
      </c>
      <c r="J87" s="52">
        <f t="shared" ca="1" si="12"/>
        <v>137</v>
      </c>
      <c r="K87" s="51">
        <f t="shared" si="9"/>
        <v>93.474999999999994</v>
      </c>
      <c r="L87" s="13">
        <f t="shared" ca="1" si="10"/>
        <v>9</v>
      </c>
      <c r="M87" s="52">
        <f t="shared" si="11"/>
        <v>6.6666666666666666E-2</v>
      </c>
      <c r="N87" s="13">
        <f t="shared" ca="1" si="6"/>
        <v>9</v>
      </c>
    </row>
    <row r="88" spans="1:14" x14ac:dyDescent="0.3">
      <c r="A88" s="3">
        <v>1456</v>
      </c>
      <c r="B88" s="3" t="s">
        <v>124</v>
      </c>
      <c r="C88" s="3">
        <v>40</v>
      </c>
      <c r="D88" s="3" t="s">
        <v>125</v>
      </c>
      <c r="E88" s="6">
        <v>294.60000000000002</v>
      </c>
      <c r="F88" s="6">
        <v>312</v>
      </c>
      <c r="G88" s="6">
        <v>-17.399999999999999</v>
      </c>
      <c r="H88" s="5">
        <v>-5.58</v>
      </c>
      <c r="I88" s="13">
        <f t="shared" ca="1" si="7"/>
        <v>445</v>
      </c>
      <c r="J88" s="52">
        <f t="shared" ca="1" si="12"/>
        <v>507</v>
      </c>
      <c r="K88" s="51">
        <f t="shared" si="9"/>
        <v>7.3650000000000002</v>
      </c>
      <c r="L88" s="13">
        <f t="shared" ca="1" si="10"/>
        <v>4</v>
      </c>
      <c r="M88" s="52">
        <f t="shared" si="11"/>
        <v>1.3333333333333333</v>
      </c>
      <c r="N88" s="13">
        <f t="shared" ca="1" si="6"/>
        <v>9</v>
      </c>
    </row>
    <row r="89" spans="1:14" x14ac:dyDescent="0.3">
      <c r="A89" s="3">
        <v>1465</v>
      </c>
      <c r="B89" s="3" t="s">
        <v>26</v>
      </c>
      <c r="C89" s="3">
        <v>35</v>
      </c>
      <c r="D89" s="3" t="s">
        <v>9</v>
      </c>
      <c r="E89" s="6">
        <v>1378.5</v>
      </c>
      <c r="F89" s="6">
        <v>1354.5</v>
      </c>
      <c r="G89" s="6">
        <v>24</v>
      </c>
      <c r="H89" s="5">
        <v>1.77</v>
      </c>
      <c r="I89" s="13">
        <f t="shared" ca="1" si="7"/>
        <v>339</v>
      </c>
      <c r="J89" s="52">
        <f t="shared" ca="1" si="12"/>
        <v>388</v>
      </c>
      <c r="K89" s="51">
        <f t="shared" si="9"/>
        <v>39.385714285714286</v>
      </c>
      <c r="L89" s="13">
        <f t="shared" ca="1" si="10"/>
        <v>8</v>
      </c>
      <c r="M89" s="52">
        <f t="shared" si="11"/>
        <v>1.1666666666666667</v>
      </c>
      <c r="N89" s="13">
        <f t="shared" ca="1" si="6"/>
        <v>9</v>
      </c>
    </row>
    <row r="90" spans="1:14" x14ac:dyDescent="0.3">
      <c r="A90" s="3">
        <v>1509</v>
      </c>
      <c r="B90" s="3" t="s">
        <v>130</v>
      </c>
      <c r="C90" s="5">
        <v>444.5</v>
      </c>
      <c r="D90" s="3" t="s">
        <v>12</v>
      </c>
      <c r="E90" s="6">
        <v>280.97000000000003</v>
      </c>
      <c r="F90" s="6">
        <v>288.93</v>
      </c>
      <c r="G90" s="6">
        <v>-7.95</v>
      </c>
      <c r="H90" s="5">
        <v>-2.75</v>
      </c>
      <c r="I90" s="13">
        <f t="shared" ca="1" si="7"/>
        <v>418</v>
      </c>
      <c r="J90" s="52">
        <f t="shared" ca="1" si="12"/>
        <v>7012</v>
      </c>
      <c r="K90" s="51">
        <f t="shared" si="9"/>
        <v>0.63210348706411701</v>
      </c>
      <c r="L90" s="13">
        <f t="shared" ca="1" si="10"/>
        <v>11</v>
      </c>
      <c r="M90" s="52">
        <f t="shared" si="11"/>
        <v>14.816666666666666</v>
      </c>
      <c r="N90" s="13">
        <f t="shared" ca="1" si="6"/>
        <v>8</v>
      </c>
    </row>
    <row r="91" spans="1:14" x14ac:dyDescent="0.3">
      <c r="A91" s="3">
        <v>1560</v>
      </c>
      <c r="B91" s="3" t="s">
        <v>102</v>
      </c>
      <c r="C91" s="5">
        <v>7.5</v>
      </c>
      <c r="D91" s="3" t="s">
        <v>9</v>
      </c>
      <c r="E91" s="6">
        <v>349.44</v>
      </c>
      <c r="F91" s="6">
        <v>321.75</v>
      </c>
      <c r="G91" s="6">
        <v>27.69</v>
      </c>
      <c r="H91" s="5">
        <v>8.61</v>
      </c>
      <c r="I91" s="13">
        <f t="shared" ca="1" si="7"/>
        <v>346</v>
      </c>
      <c r="J91" s="52">
        <f t="shared" ca="1" si="12"/>
        <v>351</v>
      </c>
      <c r="K91" s="51">
        <f t="shared" si="9"/>
        <v>46.591999999999999</v>
      </c>
      <c r="L91" s="13">
        <f t="shared" ca="1" si="10"/>
        <v>8</v>
      </c>
      <c r="M91" s="52">
        <f t="shared" si="11"/>
        <v>0.25</v>
      </c>
      <c r="N91" s="13">
        <f t="shared" ca="1" si="6"/>
        <v>4</v>
      </c>
    </row>
    <row r="92" spans="1:14" x14ac:dyDescent="0.3">
      <c r="A92" s="3">
        <v>1566</v>
      </c>
      <c r="B92" s="3" t="s">
        <v>205</v>
      </c>
      <c r="C92" s="3">
        <v>1</v>
      </c>
      <c r="D92" s="3" t="s">
        <v>206</v>
      </c>
      <c r="E92" s="6">
        <v>180.01</v>
      </c>
      <c r="F92" s="6">
        <v>195</v>
      </c>
      <c r="G92" s="6">
        <v>-14.99</v>
      </c>
      <c r="H92" s="5">
        <v>-7.69</v>
      </c>
      <c r="I92" s="13">
        <f t="shared" ca="1" si="7"/>
        <v>264</v>
      </c>
      <c r="J92" s="52">
        <f t="shared" ca="1" si="12"/>
        <v>266</v>
      </c>
      <c r="K92" s="51">
        <f t="shared" si="9"/>
        <v>180.01</v>
      </c>
      <c r="L92" s="13">
        <f t="shared" ca="1" si="10"/>
        <v>1</v>
      </c>
      <c r="M92" s="52">
        <f t="shared" si="11"/>
        <v>3.3333333333333333E-2</v>
      </c>
      <c r="N92" s="13">
        <f t="shared" ca="1" si="6"/>
        <v>2</v>
      </c>
    </row>
    <row r="93" spans="1:14" x14ac:dyDescent="0.3">
      <c r="A93" s="3">
        <v>1602</v>
      </c>
      <c r="B93" s="3" t="s">
        <v>107</v>
      </c>
      <c r="C93" s="3">
        <v>10</v>
      </c>
      <c r="D93" s="3" t="s">
        <v>9</v>
      </c>
      <c r="E93" s="6">
        <v>334</v>
      </c>
      <c r="F93" s="6">
        <v>310</v>
      </c>
      <c r="G93" s="6">
        <v>24</v>
      </c>
      <c r="H93" s="5">
        <v>7.74</v>
      </c>
      <c r="I93" s="13">
        <f t="shared" ca="1" si="7"/>
        <v>117</v>
      </c>
      <c r="J93" s="52">
        <f t="shared" ca="1" si="12"/>
        <v>121</v>
      </c>
      <c r="K93" s="51">
        <f t="shared" si="9"/>
        <v>33.4</v>
      </c>
      <c r="L93" s="13">
        <f t="shared" ca="1" si="10"/>
        <v>10</v>
      </c>
      <c r="M93" s="52">
        <f t="shared" si="11"/>
        <v>0.33333333333333331</v>
      </c>
      <c r="N93" s="13">
        <f t="shared" ca="1" si="6"/>
        <v>1</v>
      </c>
    </row>
    <row r="94" spans="1:14" x14ac:dyDescent="0.3">
      <c r="A94" s="3">
        <v>1615</v>
      </c>
      <c r="B94" s="3" t="s">
        <v>215</v>
      </c>
      <c r="C94" s="3">
        <v>6</v>
      </c>
      <c r="D94" s="3" t="s">
        <v>34</v>
      </c>
      <c r="E94" s="6">
        <v>169.66</v>
      </c>
      <c r="F94" s="6">
        <v>168</v>
      </c>
      <c r="G94" s="6">
        <v>1.66</v>
      </c>
      <c r="H94" s="5">
        <v>0.99</v>
      </c>
      <c r="I94" s="13">
        <f t="shared" ca="1" si="7"/>
        <v>421</v>
      </c>
      <c r="J94" s="52">
        <f t="shared" ca="1" si="12"/>
        <v>432</v>
      </c>
      <c r="K94" s="51">
        <f t="shared" si="9"/>
        <v>28.276666666666667</v>
      </c>
      <c r="L94" s="13">
        <f t="shared" ca="1" si="10"/>
        <v>18</v>
      </c>
      <c r="M94" s="52">
        <f t="shared" si="11"/>
        <v>0.2</v>
      </c>
      <c r="N94" s="13">
        <f t="shared" ca="1" si="6"/>
        <v>10</v>
      </c>
    </row>
    <row r="95" spans="1:14" x14ac:dyDescent="0.3">
      <c r="A95" s="3">
        <v>1634</v>
      </c>
      <c r="B95" s="3" t="s">
        <v>212</v>
      </c>
      <c r="C95" s="3">
        <v>6</v>
      </c>
      <c r="D95" s="3" t="s">
        <v>34</v>
      </c>
      <c r="E95" s="6">
        <v>172.02</v>
      </c>
      <c r="F95" s="6">
        <v>168</v>
      </c>
      <c r="G95" s="6">
        <v>4.0199999999999996</v>
      </c>
      <c r="H95" s="5">
        <v>2.39</v>
      </c>
      <c r="I95" s="13">
        <f t="shared" ca="1" si="7"/>
        <v>123</v>
      </c>
      <c r="J95" s="52">
        <f t="shared" ca="1" si="12"/>
        <v>132</v>
      </c>
      <c r="K95" s="51">
        <f t="shared" si="9"/>
        <v>28.67</v>
      </c>
      <c r="L95" s="13">
        <f t="shared" ca="1" si="10"/>
        <v>23</v>
      </c>
      <c r="M95" s="52">
        <f t="shared" si="11"/>
        <v>0.2</v>
      </c>
      <c r="N95" s="13">
        <f t="shared" ca="1" si="6"/>
        <v>8</v>
      </c>
    </row>
    <row r="96" spans="1:14" x14ac:dyDescent="0.3">
      <c r="A96" s="3">
        <v>1641</v>
      </c>
      <c r="B96" s="3" t="s">
        <v>33</v>
      </c>
      <c r="C96" s="3">
        <v>22</v>
      </c>
      <c r="D96" s="3" t="s">
        <v>34</v>
      </c>
      <c r="E96" s="6">
        <v>1041.22</v>
      </c>
      <c r="F96" s="6">
        <v>1056</v>
      </c>
      <c r="G96" s="6">
        <v>-14.78</v>
      </c>
      <c r="H96" s="5">
        <v>-1.4</v>
      </c>
      <c r="I96" s="13">
        <f t="shared" ca="1" si="7"/>
        <v>425</v>
      </c>
      <c r="J96" s="52">
        <f t="shared" ca="1" si="12"/>
        <v>446</v>
      </c>
      <c r="K96" s="51">
        <f t="shared" si="9"/>
        <v>47.328181818181818</v>
      </c>
      <c r="L96" s="13">
        <f t="shared" ca="1" si="10"/>
        <v>7</v>
      </c>
      <c r="M96" s="52">
        <f t="shared" si="11"/>
        <v>0.73333333333333328</v>
      </c>
      <c r="N96" s="13">
        <f t="shared" ca="1" si="6"/>
        <v>5</v>
      </c>
    </row>
    <row r="97" spans="1:14" x14ac:dyDescent="0.3">
      <c r="A97" s="3">
        <v>1642</v>
      </c>
      <c r="B97" s="3" t="s">
        <v>72</v>
      </c>
      <c r="C97" s="3">
        <v>10</v>
      </c>
      <c r="D97" s="3" t="s">
        <v>34</v>
      </c>
      <c r="E97" s="6">
        <v>472.68</v>
      </c>
      <c r="F97" s="6">
        <v>480</v>
      </c>
      <c r="G97" s="6">
        <v>-7.32</v>
      </c>
      <c r="H97" s="5">
        <v>-1.52</v>
      </c>
      <c r="I97" s="13">
        <f t="shared" ca="1" si="7"/>
        <v>84</v>
      </c>
      <c r="J97" s="52">
        <f t="shared" ca="1" si="12"/>
        <v>92</v>
      </c>
      <c r="K97" s="51">
        <f t="shared" si="9"/>
        <v>47.268000000000001</v>
      </c>
      <c r="L97" s="13">
        <f t="shared" ca="1" si="10"/>
        <v>22</v>
      </c>
      <c r="M97" s="52">
        <f t="shared" si="11"/>
        <v>0.33333333333333331</v>
      </c>
      <c r="N97" s="13">
        <f t="shared" ca="1" si="6"/>
        <v>5</v>
      </c>
    </row>
    <row r="98" spans="1:14" x14ac:dyDescent="0.3">
      <c r="A98" s="3">
        <v>1662</v>
      </c>
      <c r="B98" s="3" t="s">
        <v>82</v>
      </c>
      <c r="C98" s="3">
        <v>2</v>
      </c>
      <c r="D98" s="3" t="s">
        <v>25</v>
      </c>
      <c r="E98" s="6">
        <v>426</v>
      </c>
      <c r="F98" s="6">
        <v>370</v>
      </c>
      <c r="G98" s="6">
        <v>56</v>
      </c>
      <c r="H98" s="5">
        <v>15.14</v>
      </c>
      <c r="I98" s="13">
        <f t="shared" ca="1" si="7"/>
        <v>365</v>
      </c>
      <c r="J98" s="52">
        <f t="shared" ca="1" si="12"/>
        <v>369</v>
      </c>
      <c r="K98" s="51">
        <f t="shared" si="9"/>
        <v>213</v>
      </c>
      <c r="L98" s="13">
        <f t="shared" ca="1" si="10"/>
        <v>7</v>
      </c>
      <c r="M98" s="52">
        <f t="shared" si="11"/>
        <v>6.6666666666666666E-2</v>
      </c>
      <c r="N98" s="13">
        <f t="shared" ref="N98:N161" ca="1" si="13">RANDBETWEEN(1,10)</f>
        <v>4</v>
      </c>
    </row>
    <row r="99" spans="1:14" x14ac:dyDescent="0.3">
      <c r="A99" s="3">
        <v>1670</v>
      </c>
      <c r="B99" s="3" t="s">
        <v>88</v>
      </c>
      <c r="C99" s="3">
        <v>8</v>
      </c>
      <c r="D99" s="3" t="s">
        <v>34</v>
      </c>
      <c r="E99" s="6">
        <v>388.7</v>
      </c>
      <c r="F99" s="6">
        <v>360</v>
      </c>
      <c r="G99" s="6">
        <v>28.7</v>
      </c>
      <c r="H99" s="5">
        <v>7.97</v>
      </c>
      <c r="I99" s="13">
        <f t="shared" ca="1" si="7"/>
        <v>517</v>
      </c>
      <c r="J99" s="52">
        <f t="shared" ca="1" si="12"/>
        <v>529</v>
      </c>
      <c r="K99" s="51">
        <f t="shared" si="9"/>
        <v>48.587499999999999</v>
      </c>
      <c r="L99" s="13">
        <f t="shared" ca="1" si="10"/>
        <v>28</v>
      </c>
      <c r="M99" s="52">
        <f t="shared" si="11"/>
        <v>0.26666666666666666</v>
      </c>
      <c r="N99" s="13">
        <f t="shared" ca="1" si="13"/>
        <v>10</v>
      </c>
    </row>
    <row r="100" spans="1:14" x14ac:dyDescent="0.3">
      <c r="A100" s="3">
        <v>1671</v>
      </c>
      <c r="B100" s="3" t="s">
        <v>141</v>
      </c>
      <c r="C100" s="3">
        <v>29</v>
      </c>
      <c r="D100" s="3" t="s">
        <v>25</v>
      </c>
      <c r="E100" s="6">
        <v>263.08</v>
      </c>
      <c r="F100" s="6">
        <v>255.2</v>
      </c>
      <c r="G100" s="6">
        <v>7.88</v>
      </c>
      <c r="H100" s="5">
        <v>3.09</v>
      </c>
      <c r="I100" s="13">
        <f t="shared" ca="1" si="7"/>
        <v>552</v>
      </c>
      <c r="J100" s="52">
        <f t="shared" ca="1" si="12"/>
        <v>588</v>
      </c>
      <c r="K100" s="51">
        <f t="shared" si="9"/>
        <v>9.0717241379310334</v>
      </c>
      <c r="L100" s="13">
        <f t="shared" ca="1" si="10"/>
        <v>25</v>
      </c>
      <c r="M100" s="52">
        <f t="shared" si="11"/>
        <v>0.96666666666666667</v>
      </c>
      <c r="N100" s="13">
        <f t="shared" ca="1" si="13"/>
        <v>8</v>
      </c>
    </row>
    <row r="101" spans="1:14" x14ac:dyDescent="0.3">
      <c r="A101" s="3">
        <v>1681</v>
      </c>
      <c r="B101" s="3" t="s">
        <v>146</v>
      </c>
      <c r="C101" s="3">
        <v>32</v>
      </c>
      <c r="D101" s="3" t="s">
        <v>16</v>
      </c>
      <c r="E101" s="6">
        <v>255.56</v>
      </c>
      <c r="F101" s="6">
        <v>230.4</v>
      </c>
      <c r="G101" s="6">
        <v>25.16</v>
      </c>
      <c r="H101" s="5">
        <v>10.92</v>
      </c>
      <c r="I101" s="13">
        <f t="shared" ca="1" si="7"/>
        <v>549</v>
      </c>
      <c r="J101" s="52">
        <f t="shared" ca="1" si="12"/>
        <v>593</v>
      </c>
      <c r="K101" s="51">
        <f t="shared" si="9"/>
        <v>7.9862500000000001</v>
      </c>
      <c r="L101" s="13">
        <f t="shared" ca="1" si="10"/>
        <v>14</v>
      </c>
      <c r="M101" s="52">
        <f t="shared" si="11"/>
        <v>1.0666666666666667</v>
      </c>
      <c r="N101" s="13">
        <f t="shared" ca="1" si="13"/>
        <v>10</v>
      </c>
    </row>
    <row r="102" spans="1:14" x14ac:dyDescent="0.3">
      <c r="A102" s="3">
        <v>1715</v>
      </c>
      <c r="B102" s="3" t="s">
        <v>151</v>
      </c>
      <c r="C102" s="3">
        <v>4</v>
      </c>
      <c r="D102" s="3" t="s">
        <v>9</v>
      </c>
      <c r="E102" s="6">
        <v>244</v>
      </c>
      <c r="F102" s="6">
        <v>244</v>
      </c>
      <c r="G102" s="6">
        <v>0</v>
      </c>
      <c r="H102" s="5">
        <v>0</v>
      </c>
      <c r="I102" s="13">
        <f t="shared" ca="1" si="7"/>
        <v>302</v>
      </c>
      <c r="J102" s="52">
        <f t="shared" ca="1" si="12"/>
        <v>311</v>
      </c>
      <c r="K102" s="51">
        <f t="shared" si="9"/>
        <v>61</v>
      </c>
      <c r="L102" s="13">
        <f t="shared" ca="1" si="10"/>
        <v>23</v>
      </c>
      <c r="M102" s="52">
        <f t="shared" si="11"/>
        <v>0.13333333333333333</v>
      </c>
      <c r="N102" s="13">
        <f t="shared" ca="1" si="13"/>
        <v>9</v>
      </c>
    </row>
    <row r="103" spans="1:14" x14ac:dyDescent="0.3">
      <c r="A103" s="3">
        <v>1808</v>
      </c>
      <c r="B103" s="3" t="s">
        <v>185</v>
      </c>
      <c r="C103" s="3">
        <v>15</v>
      </c>
      <c r="D103" s="3" t="s">
        <v>9</v>
      </c>
      <c r="E103" s="6">
        <v>194.4</v>
      </c>
      <c r="F103" s="6">
        <v>217.5</v>
      </c>
      <c r="G103" s="6">
        <v>-23.1</v>
      </c>
      <c r="H103" s="5">
        <v>-10.62</v>
      </c>
      <c r="I103" s="13">
        <f t="shared" ca="1" si="7"/>
        <v>413</v>
      </c>
      <c r="J103" s="52">
        <f t="shared" ca="1" si="12"/>
        <v>428</v>
      </c>
      <c r="K103" s="51">
        <f t="shared" si="9"/>
        <v>12.96</v>
      </c>
      <c r="L103" s="13">
        <f t="shared" ca="1" si="10"/>
        <v>22</v>
      </c>
      <c r="M103" s="52">
        <f t="shared" si="11"/>
        <v>0.5</v>
      </c>
      <c r="N103" s="13">
        <f t="shared" ca="1" si="13"/>
        <v>8</v>
      </c>
    </row>
    <row r="104" spans="1:14" x14ac:dyDescent="0.3">
      <c r="A104" s="3">
        <v>1867</v>
      </c>
      <c r="B104" s="3" t="s">
        <v>154</v>
      </c>
      <c r="C104" s="3">
        <v>4</v>
      </c>
      <c r="D104" s="3" t="s">
        <v>9</v>
      </c>
      <c r="E104" s="6">
        <v>241.82</v>
      </c>
      <c r="F104" s="6">
        <v>164</v>
      </c>
      <c r="G104" s="6">
        <v>77.819999999999993</v>
      </c>
      <c r="H104" s="5">
        <v>47.45</v>
      </c>
      <c r="I104" s="13">
        <f t="shared" ca="1" si="7"/>
        <v>259</v>
      </c>
      <c r="J104" s="52">
        <f t="shared" ca="1" si="12"/>
        <v>267</v>
      </c>
      <c r="K104" s="51">
        <f t="shared" si="9"/>
        <v>60.454999999999998</v>
      </c>
      <c r="L104" s="13">
        <f t="shared" ca="1" si="10"/>
        <v>5</v>
      </c>
      <c r="M104" s="52">
        <f t="shared" si="11"/>
        <v>0.13333333333333333</v>
      </c>
      <c r="N104" s="13">
        <f t="shared" ca="1" si="13"/>
        <v>8</v>
      </c>
    </row>
    <row r="105" spans="1:14" x14ac:dyDescent="0.3">
      <c r="A105" s="3">
        <v>1907</v>
      </c>
      <c r="B105" s="3" t="s">
        <v>52</v>
      </c>
      <c r="C105" s="3">
        <v>2</v>
      </c>
      <c r="D105" s="3" t="s">
        <v>9</v>
      </c>
      <c r="E105" s="6">
        <v>699.03</v>
      </c>
      <c r="F105" s="6">
        <v>580</v>
      </c>
      <c r="G105" s="6">
        <v>119.03</v>
      </c>
      <c r="H105" s="5">
        <v>20.52</v>
      </c>
      <c r="I105" s="13">
        <f t="shared" ca="1" si="7"/>
        <v>363</v>
      </c>
      <c r="J105" s="52">
        <f t="shared" ca="1" si="12"/>
        <v>373</v>
      </c>
      <c r="K105" s="51">
        <f t="shared" si="9"/>
        <v>349.51499999999999</v>
      </c>
      <c r="L105" s="13">
        <f t="shared" ca="1" si="10"/>
        <v>23</v>
      </c>
      <c r="M105" s="52">
        <f t="shared" si="11"/>
        <v>6.6666666666666666E-2</v>
      </c>
      <c r="N105" s="13">
        <f t="shared" ca="1" si="13"/>
        <v>10</v>
      </c>
    </row>
    <row r="106" spans="1:14" x14ac:dyDescent="0.3">
      <c r="A106" s="3">
        <v>1909</v>
      </c>
      <c r="B106" s="3" t="s">
        <v>120</v>
      </c>
      <c r="C106" s="3">
        <v>53</v>
      </c>
      <c r="D106" s="3" t="s">
        <v>9</v>
      </c>
      <c r="E106" s="6">
        <v>299.5</v>
      </c>
      <c r="F106" s="6">
        <v>312.7</v>
      </c>
      <c r="G106" s="6">
        <v>-13.2</v>
      </c>
      <c r="H106" s="5">
        <v>-4.22</v>
      </c>
      <c r="I106" s="13">
        <f t="shared" ca="1" si="7"/>
        <v>427</v>
      </c>
      <c r="J106" s="52">
        <f t="shared" ca="1" si="12"/>
        <v>524</v>
      </c>
      <c r="K106" s="51">
        <f t="shared" si="9"/>
        <v>5.6509433962264151</v>
      </c>
      <c r="L106" s="13">
        <f t="shared" ca="1" si="10"/>
        <v>5</v>
      </c>
      <c r="M106" s="52">
        <f t="shared" si="11"/>
        <v>1.7666666666666666</v>
      </c>
      <c r="N106" s="13">
        <f t="shared" ca="1" si="13"/>
        <v>4</v>
      </c>
    </row>
    <row r="107" spans="1:14" x14ac:dyDescent="0.3">
      <c r="A107" s="3">
        <v>1951</v>
      </c>
      <c r="B107" s="3" t="s">
        <v>201</v>
      </c>
      <c r="C107" s="3">
        <v>1</v>
      </c>
      <c r="D107" s="3" t="s">
        <v>9</v>
      </c>
      <c r="E107" s="6">
        <v>184.99</v>
      </c>
      <c r="F107" s="6">
        <v>198</v>
      </c>
      <c r="G107" s="6">
        <v>-13.01</v>
      </c>
      <c r="H107" s="5">
        <v>-6.57</v>
      </c>
      <c r="I107" s="13">
        <f t="shared" ca="1" si="7"/>
        <v>525</v>
      </c>
      <c r="J107" s="52">
        <f t="shared" ca="1" si="12"/>
        <v>530</v>
      </c>
      <c r="K107" s="51">
        <f t="shared" si="9"/>
        <v>184.99</v>
      </c>
      <c r="L107" s="13">
        <f t="shared" ca="1" si="10"/>
        <v>19</v>
      </c>
      <c r="M107" s="52">
        <f t="shared" si="11"/>
        <v>3.3333333333333333E-2</v>
      </c>
      <c r="N107" s="13">
        <f t="shared" ca="1" si="13"/>
        <v>5</v>
      </c>
    </row>
    <row r="108" spans="1:14" x14ac:dyDescent="0.3">
      <c r="A108" s="3">
        <v>2063</v>
      </c>
      <c r="B108" s="3" t="s">
        <v>44</v>
      </c>
      <c r="C108" s="3">
        <v>3</v>
      </c>
      <c r="D108" s="3" t="s">
        <v>9</v>
      </c>
      <c r="E108" s="6">
        <v>868</v>
      </c>
      <c r="F108" s="6">
        <v>894</v>
      </c>
      <c r="G108" s="6">
        <v>-26</v>
      </c>
      <c r="H108" s="5">
        <v>-2.91</v>
      </c>
      <c r="I108" s="13">
        <f t="shared" ca="1" si="7"/>
        <v>123</v>
      </c>
      <c r="J108" s="52">
        <f t="shared" ca="1" si="12"/>
        <v>125</v>
      </c>
      <c r="K108" s="51">
        <f t="shared" si="9"/>
        <v>289.33333333333331</v>
      </c>
      <c r="L108" s="13">
        <f t="shared" ca="1" si="10"/>
        <v>6</v>
      </c>
      <c r="M108" s="52">
        <f t="shared" si="11"/>
        <v>0.1</v>
      </c>
      <c r="N108" s="13">
        <f t="shared" ca="1" si="13"/>
        <v>2</v>
      </c>
    </row>
    <row r="109" spans="1:14" x14ac:dyDescent="0.3">
      <c r="A109" s="3">
        <v>2103</v>
      </c>
      <c r="B109" s="3" t="s">
        <v>126</v>
      </c>
      <c r="C109" s="3">
        <v>9</v>
      </c>
      <c r="D109" s="3" t="s">
        <v>9</v>
      </c>
      <c r="E109" s="6">
        <v>293.5</v>
      </c>
      <c r="F109" s="6">
        <v>279</v>
      </c>
      <c r="G109" s="6">
        <v>14.5</v>
      </c>
      <c r="H109" s="5">
        <v>5.2</v>
      </c>
      <c r="I109" s="13">
        <f t="shared" ca="1" si="7"/>
        <v>79</v>
      </c>
      <c r="J109" s="52">
        <f t="shared" ca="1" si="12"/>
        <v>83</v>
      </c>
      <c r="K109" s="51">
        <f t="shared" si="9"/>
        <v>32.611111111111114</v>
      </c>
      <c r="L109" s="13">
        <f t="shared" ca="1" si="10"/>
        <v>5</v>
      </c>
      <c r="M109" s="52">
        <f t="shared" si="11"/>
        <v>0.3</v>
      </c>
      <c r="N109" s="13">
        <f t="shared" ca="1" si="13"/>
        <v>2</v>
      </c>
    </row>
    <row r="110" spans="1:14" x14ac:dyDescent="0.3">
      <c r="A110" s="3">
        <v>2150</v>
      </c>
      <c r="B110" s="3" t="s">
        <v>202</v>
      </c>
      <c r="C110" s="3">
        <v>1</v>
      </c>
      <c r="D110" s="3" t="s">
        <v>9</v>
      </c>
      <c r="E110" s="6">
        <v>184.08</v>
      </c>
      <c r="F110" s="6">
        <v>165</v>
      </c>
      <c r="G110" s="6">
        <v>19.079999999999998</v>
      </c>
      <c r="H110" s="5">
        <v>11.56</v>
      </c>
      <c r="I110" s="13">
        <f t="shared" ca="1" si="7"/>
        <v>478</v>
      </c>
      <c r="J110" s="52">
        <f t="shared" ca="1" si="12"/>
        <v>486</v>
      </c>
      <c r="K110" s="51">
        <f t="shared" si="9"/>
        <v>184.08</v>
      </c>
      <c r="L110" s="13">
        <f t="shared" ca="1" si="10"/>
        <v>11</v>
      </c>
      <c r="M110" s="52">
        <f t="shared" si="11"/>
        <v>3.3333333333333333E-2</v>
      </c>
      <c r="N110" s="13">
        <f t="shared" ca="1" si="13"/>
        <v>8</v>
      </c>
    </row>
    <row r="111" spans="1:14" x14ac:dyDescent="0.3">
      <c r="A111" s="3">
        <v>2153</v>
      </c>
      <c r="B111" s="3" t="s">
        <v>10</v>
      </c>
      <c r="C111" s="3">
        <v>100</v>
      </c>
      <c r="D111" s="3" t="s">
        <v>9</v>
      </c>
      <c r="E111" s="6">
        <v>2548.5</v>
      </c>
      <c r="F111" s="6">
        <v>2720</v>
      </c>
      <c r="G111" s="6">
        <v>-171.5</v>
      </c>
      <c r="H111" s="5">
        <v>-6.31</v>
      </c>
      <c r="I111" s="13">
        <f t="shared" ca="1" si="7"/>
        <v>71</v>
      </c>
      <c r="J111" s="52">
        <f t="shared" ca="1" si="12"/>
        <v>414</v>
      </c>
      <c r="K111" s="51">
        <f t="shared" si="9"/>
        <v>25.484999999999999</v>
      </c>
      <c r="L111" s="13">
        <f t="shared" ca="1" si="10"/>
        <v>0</v>
      </c>
      <c r="M111" s="52">
        <f t="shared" si="11"/>
        <v>3.3333333333333335</v>
      </c>
      <c r="N111" s="13">
        <f t="shared" ca="1" si="13"/>
        <v>10</v>
      </c>
    </row>
    <row r="112" spans="1:14" x14ac:dyDescent="0.3">
      <c r="A112" s="3">
        <v>2216</v>
      </c>
      <c r="B112" s="3" t="s">
        <v>173</v>
      </c>
      <c r="C112" s="3">
        <v>6</v>
      </c>
      <c r="D112" s="3" t="s">
        <v>9</v>
      </c>
      <c r="E112" s="6">
        <v>204.58</v>
      </c>
      <c r="F112" s="6">
        <v>198</v>
      </c>
      <c r="G112" s="6">
        <v>6.58</v>
      </c>
      <c r="H112" s="5">
        <v>3.32</v>
      </c>
      <c r="I112" s="13">
        <f t="shared" ca="1" si="7"/>
        <v>417</v>
      </c>
      <c r="J112" s="52">
        <f t="shared" ca="1" si="12"/>
        <v>419</v>
      </c>
      <c r="K112" s="51">
        <f t="shared" si="9"/>
        <v>34.096666666666671</v>
      </c>
      <c r="L112" s="13">
        <f t="shared" ca="1" si="10"/>
        <v>7</v>
      </c>
      <c r="M112" s="52">
        <f t="shared" si="11"/>
        <v>0.2</v>
      </c>
      <c r="N112" s="13">
        <f t="shared" ca="1" si="13"/>
        <v>1</v>
      </c>
    </row>
    <row r="113" spans="1:14" x14ac:dyDescent="0.3">
      <c r="A113" s="3">
        <v>2455</v>
      </c>
      <c r="B113" s="3" t="s">
        <v>39</v>
      </c>
      <c r="C113" s="3">
        <v>5</v>
      </c>
      <c r="D113" s="3" t="s">
        <v>9</v>
      </c>
      <c r="E113" s="6">
        <v>991.71</v>
      </c>
      <c r="F113" s="6">
        <v>1050</v>
      </c>
      <c r="G113" s="6">
        <v>-58.29</v>
      </c>
      <c r="H113" s="5">
        <v>-5.55</v>
      </c>
      <c r="I113" s="13">
        <f t="shared" ca="1" si="7"/>
        <v>552</v>
      </c>
      <c r="J113" s="52">
        <f t="shared" ca="1" si="12"/>
        <v>553</v>
      </c>
      <c r="K113" s="51">
        <f t="shared" si="9"/>
        <v>198.34200000000001</v>
      </c>
      <c r="L113" s="13">
        <f t="shared" ca="1" si="10"/>
        <v>4</v>
      </c>
      <c r="M113" s="52">
        <f t="shared" si="11"/>
        <v>0.16666666666666666</v>
      </c>
      <c r="N113" s="13">
        <f t="shared" ca="1" si="13"/>
        <v>1</v>
      </c>
    </row>
    <row r="114" spans="1:14" x14ac:dyDescent="0.3">
      <c r="A114" s="3">
        <v>2472</v>
      </c>
      <c r="B114" s="3" t="s">
        <v>193</v>
      </c>
      <c r="C114" s="5">
        <v>79.7</v>
      </c>
      <c r="D114" s="3" t="s">
        <v>12</v>
      </c>
      <c r="E114" s="6">
        <v>188.03</v>
      </c>
      <c r="F114" s="6">
        <v>175.34</v>
      </c>
      <c r="G114" s="6">
        <v>12.69</v>
      </c>
      <c r="H114" s="5">
        <v>7.24</v>
      </c>
      <c r="I114" s="13">
        <f t="shared" ca="1" si="7"/>
        <v>343</v>
      </c>
      <c r="J114" s="52">
        <f t="shared" ca="1" si="12"/>
        <v>562</v>
      </c>
      <c r="K114" s="51">
        <f t="shared" si="9"/>
        <v>2.3592220828105392</v>
      </c>
      <c r="L114" s="13">
        <f t="shared" ca="1" si="10"/>
        <v>22</v>
      </c>
      <c r="M114" s="52">
        <f t="shared" si="11"/>
        <v>2.6566666666666667</v>
      </c>
      <c r="N114" s="13">
        <f t="shared" ca="1" si="13"/>
        <v>8</v>
      </c>
    </row>
    <row r="115" spans="1:14" x14ac:dyDescent="0.3">
      <c r="A115" s="3">
        <v>2514</v>
      </c>
      <c r="B115" s="3" t="s">
        <v>127</v>
      </c>
      <c r="C115" s="3">
        <v>83</v>
      </c>
      <c r="D115" s="3" t="s">
        <v>9</v>
      </c>
      <c r="E115" s="6">
        <v>290.5</v>
      </c>
      <c r="F115" s="6">
        <v>290.5</v>
      </c>
      <c r="G115" s="6">
        <v>0</v>
      </c>
      <c r="H115" s="5">
        <v>0</v>
      </c>
      <c r="I115" s="13">
        <f t="shared" ca="1" si="7"/>
        <v>477</v>
      </c>
      <c r="J115" s="52">
        <f t="shared" ca="1" si="12"/>
        <v>707</v>
      </c>
      <c r="K115" s="51">
        <f t="shared" si="9"/>
        <v>3.5</v>
      </c>
      <c r="L115" s="13">
        <f t="shared" ca="1" si="10"/>
        <v>16</v>
      </c>
      <c r="M115" s="52">
        <f t="shared" si="11"/>
        <v>2.7666666666666666</v>
      </c>
      <c r="N115" s="13">
        <f t="shared" ca="1" si="13"/>
        <v>1</v>
      </c>
    </row>
    <row r="116" spans="1:14" x14ac:dyDescent="0.3">
      <c r="A116" s="3">
        <v>2528</v>
      </c>
      <c r="B116" s="3" t="s">
        <v>41</v>
      </c>
      <c r="C116" s="3">
        <v>1</v>
      </c>
      <c r="D116" s="3" t="s">
        <v>9</v>
      </c>
      <c r="E116" s="6">
        <v>954.44</v>
      </c>
      <c r="F116" s="6">
        <v>835</v>
      </c>
      <c r="G116" s="6">
        <v>119.44</v>
      </c>
      <c r="H116" s="5">
        <v>14.3</v>
      </c>
      <c r="I116" s="13">
        <f t="shared" ca="1" si="7"/>
        <v>195</v>
      </c>
      <c r="J116" s="52">
        <f t="shared" ca="1" si="12"/>
        <v>202</v>
      </c>
      <c r="K116" s="51">
        <f t="shared" si="9"/>
        <v>954.44</v>
      </c>
      <c r="L116" s="13">
        <f t="shared" ca="1" si="10"/>
        <v>27</v>
      </c>
      <c r="M116" s="52">
        <f t="shared" si="11"/>
        <v>3.3333333333333333E-2</v>
      </c>
      <c r="N116" s="13">
        <f t="shared" ca="1" si="13"/>
        <v>7</v>
      </c>
    </row>
    <row r="117" spans="1:14" x14ac:dyDescent="0.3">
      <c r="A117" s="3">
        <v>2684</v>
      </c>
      <c r="B117" s="3" t="s">
        <v>63</v>
      </c>
      <c r="C117" s="3">
        <v>1</v>
      </c>
      <c r="D117" s="3" t="s">
        <v>9</v>
      </c>
      <c r="E117" s="6">
        <v>527.04</v>
      </c>
      <c r="F117" s="6">
        <v>399</v>
      </c>
      <c r="G117" s="6">
        <v>128.04</v>
      </c>
      <c r="H117" s="5">
        <v>32.090000000000003</v>
      </c>
      <c r="I117" s="13">
        <f t="shared" ca="1" si="7"/>
        <v>73</v>
      </c>
      <c r="J117" s="52">
        <f t="shared" ca="1" si="12"/>
        <v>75</v>
      </c>
      <c r="K117" s="51">
        <f t="shared" si="9"/>
        <v>527.04</v>
      </c>
      <c r="L117" s="13">
        <f t="shared" ca="1" si="10"/>
        <v>8</v>
      </c>
      <c r="M117" s="52">
        <f t="shared" si="11"/>
        <v>3.3333333333333333E-2</v>
      </c>
      <c r="N117" s="13">
        <f t="shared" ca="1" si="13"/>
        <v>2</v>
      </c>
    </row>
    <row r="118" spans="1:14" x14ac:dyDescent="0.3">
      <c r="A118" s="3">
        <v>2819</v>
      </c>
      <c r="B118" s="3" t="s">
        <v>57</v>
      </c>
      <c r="C118" s="3">
        <v>6</v>
      </c>
      <c r="D118" s="3" t="s">
        <v>9</v>
      </c>
      <c r="E118" s="6">
        <v>558</v>
      </c>
      <c r="F118" s="6">
        <v>510</v>
      </c>
      <c r="G118" s="6">
        <v>48</v>
      </c>
      <c r="H118" s="5">
        <v>9.41</v>
      </c>
      <c r="I118" s="13">
        <f t="shared" ca="1" si="7"/>
        <v>223</v>
      </c>
      <c r="J118" s="52">
        <f t="shared" ca="1" si="12"/>
        <v>230</v>
      </c>
      <c r="K118" s="51">
        <f t="shared" si="9"/>
        <v>93</v>
      </c>
      <c r="L118" s="13">
        <f t="shared" ca="1" si="10"/>
        <v>29</v>
      </c>
      <c r="M118" s="52">
        <f t="shared" si="11"/>
        <v>0.2</v>
      </c>
      <c r="N118" s="13">
        <f t="shared" ca="1" si="13"/>
        <v>6</v>
      </c>
    </row>
    <row r="119" spans="1:14" x14ac:dyDescent="0.3">
      <c r="A119" s="3">
        <v>2888</v>
      </c>
      <c r="B119" s="3" t="s">
        <v>149</v>
      </c>
      <c r="C119" s="5">
        <v>16.36</v>
      </c>
      <c r="D119" s="3" t="s">
        <v>16</v>
      </c>
      <c r="E119" s="6">
        <v>246.19</v>
      </c>
      <c r="F119" s="6">
        <v>250.31</v>
      </c>
      <c r="G119" s="6">
        <v>-4.12</v>
      </c>
      <c r="H119" s="5">
        <v>-1.65</v>
      </c>
      <c r="I119" s="13">
        <f t="shared" ca="1" si="7"/>
        <v>592</v>
      </c>
      <c r="J119" s="52">
        <f t="shared" ca="1" si="12"/>
        <v>603</v>
      </c>
      <c r="K119" s="51">
        <f t="shared" si="9"/>
        <v>15.048288508557457</v>
      </c>
      <c r="L119" s="13">
        <f t="shared" ca="1" si="10"/>
        <v>25</v>
      </c>
      <c r="M119" s="52">
        <f t="shared" si="11"/>
        <v>0.54533333333333334</v>
      </c>
      <c r="N119" s="13">
        <f t="shared" ca="1" si="13"/>
        <v>3</v>
      </c>
    </row>
    <row r="120" spans="1:14" x14ac:dyDescent="0.3">
      <c r="A120" s="3">
        <v>2973</v>
      </c>
      <c r="B120" s="3" t="s">
        <v>11</v>
      </c>
      <c r="C120" s="3">
        <v>2413</v>
      </c>
      <c r="D120" s="3" t="s">
        <v>12</v>
      </c>
      <c r="E120" s="6">
        <v>2260.94</v>
      </c>
      <c r="F120" s="6">
        <v>2388.87</v>
      </c>
      <c r="G120" s="6">
        <v>-127.93</v>
      </c>
      <c r="H120" s="5">
        <v>-5.36</v>
      </c>
      <c r="I120" s="13">
        <f t="shared" ca="1" si="7"/>
        <v>377</v>
      </c>
      <c r="J120" s="52">
        <f t="shared" ca="1" si="12"/>
        <v>194469</v>
      </c>
      <c r="K120" s="51">
        <f t="shared" si="9"/>
        <v>0.93698300870285955</v>
      </c>
      <c r="L120" s="13">
        <f t="shared" ca="1" si="10"/>
        <v>23</v>
      </c>
      <c r="M120" s="52">
        <f t="shared" si="11"/>
        <v>80.433333333333337</v>
      </c>
      <c r="N120" s="13">
        <f t="shared" ca="1" si="13"/>
        <v>7</v>
      </c>
    </row>
    <row r="121" spans="1:14" x14ac:dyDescent="0.3">
      <c r="A121" s="3">
        <v>2996</v>
      </c>
      <c r="B121" s="3" t="s">
        <v>46</v>
      </c>
      <c r="C121" s="3">
        <v>2</v>
      </c>
      <c r="D121" s="3" t="s">
        <v>9</v>
      </c>
      <c r="E121" s="6">
        <v>854.72</v>
      </c>
      <c r="F121" s="6">
        <v>950</v>
      </c>
      <c r="G121" s="6">
        <v>-95.28</v>
      </c>
      <c r="H121" s="5">
        <v>-10.029999999999999</v>
      </c>
      <c r="I121" s="13">
        <f t="shared" ca="1" si="7"/>
        <v>159</v>
      </c>
      <c r="J121" s="52">
        <f t="shared" ca="1" si="12"/>
        <v>164</v>
      </c>
      <c r="K121" s="51">
        <f t="shared" si="9"/>
        <v>427.36</v>
      </c>
      <c r="L121" s="13">
        <f t="shared" ca="1" si="10"/>
        <v>27</v>
      </c>
      <c r="M121" s="52">
        <f t="shared" si="11"/>
        <v>6.6666666666666666E-2</v>
      </c>
      <c r="N121" s="13">
        <f t="shared" ca="1" si="13"/>
        <v>5</v>
      </c>
    </row>
    <row r="122" spans="1:14" x14ac:dyDescent="0.3">
      <c r="A122" s="3">
        <v>3102</v>
      </c>
      <c r="B122" s="3" t="s">
        <v>178</v>
      </c>
      <c r="C122" s="3">
        <v>4</v>
      </c>
      <c r="D122" s="3" t="s">
        <v>34</v>
      </c>
      <c r="E122" s="6">
        <v>200</v>
      </c>
      <c r="F122" s="6">
        <v>220</v>
      </c>
      <c r="G122" s="6">
        <v>-20</v>
      </c>
      <c r="H122" s="5">
        <v>-9.09</v>
      </c>
      <c r="I122" s="13">
        <f t="shared" ca="1" si="7"/>
        <v>518</v>
      </c>
      <c r="J122" s="52">
        <f t="shared" ca="1" si="12"/>
        <v>520</v>
      </c>
      <c r="K122" s="51">
        <f t="shared" si="9"/>
        <v>50</v>
      </c>
      <c r="L122" s="13">
        <f t="shared" ca="1" si="10"/>
        <v>3</v>
      </c>
      <c r="M122" s="52">
        <f t="shared" si="11"/>
        <v>0.13333333333333333</v>
      </c>
      <c r="N122" s="13">
        <f t="shared" ca="1" si="13"/>
        <v>2</v>
      </c>
    </row>
    <row r="123" spans="1:14" x14ac:dyDescent="0.3">
      <c r="A123" s="3">
        <v>3198</v>
      </c>
      <c r="B123" s="3" t="s">
        <v>188</v>
      </c>
      <c r="C123" s="5">
        <v>16.98</v>
      </c>
      <c r="D123" s="3" t="s">
        <v>16</v>
      </c>
      <c r="E123" s="6">
        <v>191.53</v>
      </c>
      <c r="F123" s="6">
        <v>212.25</v>
      </c>
      <c r="G123" s="6">
        <v>-20.72</v>
      </c>
      <c r="H123" s="5">
        <v>-9.76</v>
      </c>
      <c r="I123" s="13">
        <f t="shared" ca="1" si="7"/>
        <v>409</v>
      </c>
      <c r="J123" s="52">
        <f t="shared" ca="1" si="12"/>
        <v>419</v>
      </c>
      <c r="K123" s="51">
        <f t="shared" si="9"/>
        <v>11.279740871613663</v>
      </c>
      <c r="L123" s="13">
        <f t="shared" ca="1" si="10"/>
        <v>13</v>
      </c>
      <c r="M123" s="52">
        <f t="shared" si="11"/>
        <v>0.56600000000000006</v>
      </c>
      <c r="N123" s="13">
        <f t="shared" ca="1" si="13"/>
        <v>1</v>
      </c>
    </row>
    <row r="124" spans="1:14" x14ac:dyDescent="0.3">
      <c r="A124" s="3">
        <v>3207</v>
      </c>
      <c r="B124" s="3" t="s">
        <v>74</v>
      </c>
      <c r="C124" s="3">
        <v>169</v>
      </c>
      <c r="D124" s="3" t="s">
        <v>12</v>
      </c>
      <c r="E124" s="6">
        <v>459.89</v>
      </c>
      <c r="F124" s="6">
        <v>405.6</v>
      </c>
      <c r="G124" s="6">
        <v>54.29</v>
      </c>
      <c r="H124" s="5">
        <v>13.39</v>
      </c>
      <c r="I124" s="13">
        <f t="shared" ca="1" si="7"/>
        <v>278</v>
      </c>
      <c r="J124" s="52">
        <f t="shared" ca="1" si="12"/>
        <v>1239</v>
      </c>
      <c r="K124" s="51">
        <f t="shared" si="9"/>
        <v>2.7212426035502957</v>
      </c>
      <c r="L124" s="13">
        <f t="shared" ca="1" si="10"/>
        <v>2</v>
      </c>
      <c r="M124" s="52">
        <f t="shared" si="11"/>
        <v>5.6333333333333337</v>
      </c>
      <c r="N124" s="13">
        <f t="shared" ca="1" si="13"/>
        <v>9</v>
      </c>
    </row>
    <row r="125" spans="1:14" x14ac:dyDescent="0.3">
      <c r="A125" s="3">
        <v>3219</v>
      </c>
      <c r="B125" s="3" t="s">
        <v>189</v>
      </c>
      <c r="C125" s="3">
        <v>16</v>
      </c>
      <c r="D125" s="3" t="s">
        <v>9</v>
      </c>
      <c r="E125" s="6">
        <v>190.99</v>
      </c>
      <c r="F125" s="6">
        <v>190.4</v>
      </c>
      <c r="G125" s="6">
        <v>0.59</v>
      </c>
      <c r="H125" s="5">
        <v>0.31</v>
      </c>
      <c r="I125" s="13">
        <f t="shared" ca="1" si="7"/>
        <v>263</v>
      </c>
      <c r="J125" s="52">
        <f t="shared" ca="1" si="12"/>
        <v>272</v>
      </c>
      <c r="K125" s="51">
        <f t="shared" si="9"/>
        <v>11.936875000000001</v>
      </c>
      <c r="L125" s="13">
        <f t="shared" ca="1" si="10"/>
        <v>27</v>
      </c>
      <c r="M125" s="52">
        <f t="shared" si="11"/>
        <v>0.53333333333333333</v>
      </c>
      <c r="N125" s="13">
        <f t="shared" ca="1" si="13"/>
        <v>1</v>
      </c>
    </row>
    <row r="126" spans="1:14" x14ac:dyDescent="0.3">
      <c r="A126" s="3">
        <v>3255</v>
      </c>
      <c r="B126" s="3" t="s">
        <v>155</v>
      </c>
      <c r="C126" s="3">
        <v>4</v>
      </c>
      <c r="D126" s="3" t="s">
        <v>9</v>
      </c>
      <c r="E126" s="6">
        <v>240</v>
      </c>
      <c r="F126" s="6">
        <v>302.8</v>
      </c>
      <c r="G126" s="6">
        <v>-62.8</v>
      </c>
      <c r="H126" s="5">
        <v>-20.74</v>
      </c>
      <c r="I126" s="13">
        <f t="shared" ca="1" si="7"/>
        <v>374</v>
      </c>
      <c r="J126" s="52">
        <f t="shared" ca="1" si="12"/>
        <v>381</v>
      </c>
      <c r="K126" s="51">
        <f t="shared" si="9"/>
        <v>60</v>
      </c>
      <c r="L126" s="13">
        <f t="shared" ca="1" si="10"/>
        <v>23</v>
      </c>
      <c r="M126" s="52">
        <f t="shared" si="11"/>
        <v>0.13333333333333333</v>
      </c>
      <c r="N126" s="13">
        <f t="shared" ca="1" si="13"/>
        <v>7</v>
      </c>
    </row>
    <row r="127" spans="1:14" x14ac:dyDescent="0.3">
      <c r="A127" s="3">
        <v>3256</v>
      </c>
      <c r="B127" s="3" t="s">
        <v>110</v>
      </c>
      <c r="C127" s="3">
        <v>8</v>
      </c>
      <c r="D127" s="3" t="s">
        <v>9</v>
      </c>
      <c r="E127" s="6">
        <v>322.60000000000002</v>
      </c>
      <c r="F127" s="6">
        <v>332</v>
      </c>
      <c r="G127" s="6">
        <v>-9.4</v>
      </c>
      <c r="H127" s="5">
        <v>-2.83</v>
      </c>
      <c r="I127" s="13">
        <f t="shared" ca="1" si="7"/>
        <v>338</v>
      </c>
      <c r="J127" s="52">
        <f t="shared" ca="1" si="12"/>
        <v>347</v>
      </c>
      <c r="K127" s="51">
        <f t="shared" si="9"/>
        <v>40.325000000000003</v>
      </c>
      <c r="L127" s="13">
        <f t="shared" ca="1" si="10"/>
        <v>22</v>
      </c>
      <c r="M127" s="52">
        <f t="shared" si="11"/>
        <v>0.26666666666666666</v>
      </c>
      <c r="N127" s="13">
        <f t="shared" ca="1" si="13"/>
        <v>7</v>
      </c>
    </row>
    <row r="128" spans="1:14" x14ac:dyDescent="0.3">
      <c r="A128" s="3">
        <v>3279</v>
      </c>
      <c r="B128" s="3" t="s">
        <v>162</v>
      </c>
      <c r="C128" s="3">
        <v>14</v>
      </c>
      <c r="D128" s="3" t="s">
        <v>9</v>
      </c>
      <c r="E128" s="6">
        <v>224</v>
      </c>
      <c r="F128" s="6">
        <v>231</v>
      </c>
      <c r="G128" s="6">
        <v>-7</v>
      </c>
      <c r="H128" s="5">
        <v>-3.03</v>
      </c>
      <c r="I128" s="13">
        <f t="shared" ca="1" si="7"/>
        <v>253</v>
      </c>
      <c r="J128" s="52">
        <f t="shared" ca="1" si="12"/>
        <v>266</v>
      </c>
      <c r="K128" s="51">
        <f t="shared" si="9"/>
        <v>16</v>
      </c>
      <c r="L128" s="13">
        <f t="shared" ca="1" si="10"/>
        <v>22</v>
      </c>
      <c r="M128" s="52">
        <f t="shared" si="11"/>
        <v>0.46666666666666667</v>
      </c>
      <c r="N128" s="13">
        <f t="shared" ca="1" si="13"/>
        <v>7</v>
      </c>
    </row>
    <row r="129" spans="1:14" x14ac:dyDescent="0.3">
      <c r="A129" s="3">
        <v>3305</v>
      </c>
      <c r="B129" s="3" t="s">
        <v>19</v>
      </c>
      <c r="C129" s="3">
        <v>3</v>
      </c>
      <c r="D129" s="3" t="s">
        <v>9</v>
      </c>
      <c r="E129" s="6">
        <v>1585.04</v>
      </c>
      <c r="F129" s="6">
        <v>1650</v>
      </c>
      <c r="G129" s="6">
        <v>-64.959999999999994</v>
      </c>
      <c r="H129" s="5">
        <v>-3.94</v>
      </c>
      <c r="I129" s="13">
        <f t="shared" ca="1" si="7"/>
        <v>286</v>
      </c>
      <c r="J129" s="52">
        <f t="shared" ca="1" si="12"/>
        <v>294</v>
      </c>
      <c r="K129" s="51">
        <f t="shared" si="9"/>
        <v>528.34666666666669</v>
      </c>
      <c r="L129" s="13">
        <f t="shared" ca="1" si="10"/>
        <v>28</v>
      </c>
      <c r="M129" s="52">
        <f t="shared" si="11"/>
        <v>0.1</v>
      </c>
      <c r="N129" s="13">
        <f t="shared" ca="1" si="13"/>
        <v>8</v>
      </c>
    </row>
    <row r="130" spans="1:14" x14ac:dyDescent="0.3">
      <c r="A130" s="3">
        <v>3360</v>
      </c>
      <c r="B130" s="3" t="s">
        <v>163</v>
      </c>
      <c r="C130" s="3">
        <v>4</v>
      </c>
      <c r="D130" s="3" t="s">
        <v>34</v>
      </c>
      <c r="E130" s="6">
        <v>220.85</v>
      </c>
      <c r="F130" s="6">
        <v>222.24</v>
      </c>
      <c r="G130" s="6">
        <v>-1.39</v>
      </c>
      <c r="H130" s="5">
        <v>-0.63</v>
      </c>
      <c r="I130" s="13">
        <f t="shared" ca="1" si="7"/>
        <v>308</v>
      </c>
      <c r="J130" s="52">
        <f t="shared" ca="1" si="12"/>
        <v>309</v>
      </c>
      <c r="K130" s="51">
        <f t="shared" si="9"/>
        <v>55.212499999999999</v>
      </c>
      <c r="L130" s="13">
        <f t="shared" ca="1" si="10"/>
        <v>5</v>
      </c>
      <c r="M130" s="52">
        <f t="shared" si="11"/>
        <v>0.13333333333333333</v>
      </c>
      <c r="N130" s="13">
        <f t="shared" ca="1" si="13"/>
        <v>1</v>
      </c>
    </row>
    <row r="131" spans="1:14" x14ac:dyDescent="0.3">
      <c r="A131" s="3">
        <v>3369</v>
      </c>
      <c r="B131" s="3" t="s">
        <v>20</v>
      </c>
      <c r="C131" s="3">
        <v>91</v>
      </c>
      <c r="D131" s="3" t="s">
        <v>9</v>
      </c>
      <c r="E131" s="6">
        <v>1561.47</v>
      </c>
      <c r="F131" s="6">
        <v>1547</v>
      </c>
      <c r="G131" s="6">
        <v>14.47</v>
      </c>
      <c r="H131" s="5">
        <v>0.94</v>
      </c>
      <c r="I131" s="13">
        <f t="shared" ref="I131:I194" ca="1" si="14">RANDBETWEEN(40,600)</f>
        <v>479</v>
      </c>
      <c r="J131" s="52">
        <f t="shared" ca="1" si="12"/>
        <v>759</v>
      </c>
      <c r="K131" s="51">
        <f t="shared" ref="K131:K194" si="15">E131/C131</f>
        <v>17.159010989010991</v>
      </c>
      <c r="L131" s="13">
        <f t="shared" ref="L131:L194" ca="1" si="16">RANDBETWEEN(0,30)</f>
        <v>4</v>
      </c>
      <c r="M131" s="52">
        <f t="shared" ref="M131:M194" si="17">C131/30</f>
        <v>3.0333333333333332</v>
      </c>
      <c r="N131" s="13">
        <f t="shared" ca="1" si="13"/>
        <v>4</v>
      </c>
    </row>
    <row r="132" spans="1:14" x14ac:dyDescent="0.3">
      <c r="A132" s="3">
        <v>3379</v>
      </c>
      <c r="B132" s="3" t="s">
        <v>217</v>
      </c>
      <c r="C132" s="3">
        <v>2</v>
      </c>
      <c r="D132" s="3" t="s">
        <v>9</v>
      </c>
      <c r="E132" s="6">
        <v>168.54</v>
      </c>
      <c r="F132" s="6">
        <v>163.4</v>
      </c>
      <c r="G132" s="6">
        <v>5.14</v>
      </c>
      <c r="H132" s="5">
        <v>3.15</v>
      </c>
      <c r="I132" s="13">
        <f t="shared" ca="1" si="14"/>
        <v>499</v>
      </c>
      <c r="J132" s="52">
        <f t="shared" ca="1" si="12"/>
        <v>501</v>
      </c>
      <c r="K132" s="51">
        <f t="shared" si="15"/>
        <v>84.27</v>
      </c>
      <c r="L132" s="13">
        <f t="shared" ca="1" si="16"/>
        <v>3</v>
      </c>
      <c r="M132" s="52">
        <f t="shared" si="17"/>
        <v>6.6666666666666666E-2</v>
      </c>
      <c r="N132" s="13">
        <f t="shared" ca="1" si="13"/>
        <v>2</v>
      </c>
    </row>
    <row r="133" spans="1:14" x14ac:dyDescent="0.3">
      <c r="A133" s="3">
        <v>3403</v>
      </c>
      <c r="B133" s="3" t="s">
        <v>140</v>
      </c>
      <c r="C133" s="3">
        <v>5</v>
      </c>
      <c r="D133" s="3" t="s">
        <v>22</v>
      </c>
      <c r="E133" s="6">
        <v>266.37</v>
      </c>
      <c r="F133" s="6">
        <v>297.5</v>
      </c>
      <c r="G133" s="6">
        <v>-31.13</v>
      </c>
      <c r="H133" s="5">
        <v>-10.46</v>
      </c>
      <c r="I133" s="13">
        <f t="shared" ca="1" si="14"/>
        <v>511</v>
      </c>
      <c r="J133" s="52">
        <f t="shared" ref="J133:J196" ca="1" si="18">INT(I133+(C133*M133)+N133)</f>
        <v>514</v>
      </c>
      <c r="K133" s="51">
        <f t="shared" si="15"/>
        <v>53.274000000000001</v>
      </c>
      <c r="L133" s="13">
        <f t="shared" ca="1" si="16"/>
        <v>7</v>
      </c>
      <c r="M133" s="52">
        <f t="shared" si="17"/>
        <v>0.16666666666666666</v>
      </c>
      <c r="N133" s="13">
        <f t="shared" ca="1" si="13"/>
        <v>3</v>
      </c>
    </row>
    <row r="134" spans="1:14" x14ac:dyDescent="0.3">
      <c r="A134" s="3">
        <v>3478</v>
      </c>
      <c r="B134" s="3" t="s">
        <v>92</v>
      </c>
      <c r="C134" s="3">
        <v>15</v>
      </c>
      <c r="D134" s="3" t="s">
        <v>9</v>
      </c>
      <c r="E134" s="6">
        <v>379.6</v>
      </c>
      <c r="F134" s="6">
        <v>325.5</v>
      </c>
      <c r="G134" s="6">
        <v>54.1</v>
      </c>
      <c r="H134" s="5">
        <v>16.62</v>
      </c>
      <c r="I134" s="13">
        <f t="shared" ca="1" si="14"/>
        <v>365</v>
      </c>
      <c r="J134" s="52">
        <f t="shared" ca="1" si="18"/>
        <v>381</v>
      </c>
      <c r="K134" s="51">
        <f t="shared" si="15"/>
        <v>25.306666666666668</v>
      </c>
      <c r="L134" s="13">
        <f t="shared" ca="1" si="16"/>
        <v>1</v>
      </c>
      <c r="M134" s="52">
        <f t="shared" si="17"/>
        <v>0.5</v>
      </c>
      <c r="N134" s="13">
        <f t="shared" ca="1" si="13"/>
        <v>9</v>
      </c>
    </row>
    <row r="135" spans="1:14" x14ac:dyDescent="0.3">
      <c r="A135" s="3">
        <v>3479</v>
      </c>
      <c r="B135" s="3" t="s">
        <v>49</v>
      </c>
      <c r="C135" s="3">
        <v>23</v>
      </c>
      <c r="D135" s="3" t="s">
        <v>25</v>
      </c>
      <c r="E135" s="6">
        <v>758.26</v>
      </c>
      <c r="F135" s="6">
        <v>779.7</v>
      </c>
      <c r="G135" s="6">
        <v>-21.44</v>
      </c>
      <c r="H135" s="5">
        <v>-2.75</v>
      </c>
      <c r="I135" s="13">
        <f t="shared" ca="1" si="14"/>
        <v>310</v>
      </c>
      <c r="J135" s="52">
        <f t="shared" ca="1" si="18"/>
        <v>329</v>
      </c>
      <c r="K135" s="51">
        <f t="shared" si="15"/>
        <v>32.967826086956521</v>
      </c>
      <c r="L135" s="13">
        <f t="shared" ca="1" si="16"/>
        <v>12</v>
      </c>
      <c r="M135" s="52">
        <f t="shared" si="17"/>
        <v>0.76666666666666672</v>
      </c>
      <c r="N135" s="13">
        <f t="shared" ca="1" si="13"/>
        <v>2</v>
      </c>
    </row>
    <row r="136" spans="1:14" x14ac:dyDescent="0.3">
      <c r="A136" s="3">
        <v>3483</v>
      </c>
      <c r="B136" s="3" t="s">
        <v>197</v>
      </c>
      <c r="C136" s="3">
        <v>2</v>
      </c>
      <c r="D136" s="3" t="s">
        <v>9</v>
      </c>
      <c r="E136" s="6">
        <v>186.04</v>
      </c>
      <c r="F136" s="6">
        <v>191.6</v>
      </c>
      <c r="G136" s="6">
        <v>-5.56</v>
      </c>
      <c r="H136" s="5">
        <v>-2.9</v>
      </c>
      <c r="I136" s="13">
        <f t="shared" ca="1" si="14"/>
        <v>330</v>
      </c>
      <c r="J136" s="52">
        <f t="shared" ca="1" si="18"/>
        <v>335</v>
      </c>
      <c r="K136" s="51">
        <f t="shared" si="15"/>
        <v>93.02</v>
      </c>
      <c r="L136" s="13">
        <f t="shared" ca="1" si="16"/>
        <v>19</v>
      </c>
      <c r="M136" s="52">
        <f t="shared" si="17"/>
        <v>6.6666666666666666E-2</v>
      </c>
      <c r="N136" s="13">
        <f t="shared" ca="1" si="13"/>
        <v>5</v>
      </c>
    </row>
    <row r="137" spans="1:14" x14ac:dyDescent="0.3">
      <c r="A137" s="3">
        <v>3495</v>
      </c>
      <c r="B137" s="3" t="s">
        <v>66</v>
      </c>
      <c r="C137" s="5">
        <v>48.93</v>
      </c>
      <c r="D137" s="3" t="s">
        <v>16</v>
      </c>
      <c r="E137" s="6">
        <v>504.91</v>
      </c>
      <c r="F137" s="6">
        <v>538.23</v>
      </c>
      <c r="G137" s="6">
        <v>-33.32</v>
      </c>
      <c r="H137" s="5">
        <v>-6.19</v>
      </c>
      <c r="I137" s="13">
        <f t="shared" ca="1" si="14"/>
        <v>41</v>
      </c>
      <c r="J137" s="52">
        <f t="shared" ca="1" si="18"/>
        <v>128</v>
      </c>
      <c r="K137" s="51">
        <f t="shared" si="15"/>
        <v>10.319027181688126</v>
      </c>
      <c r="L137" s="13">
        <f t="shared" ca="1" si="16"/>
        <v>4</v>
      </c>
      <c r="M137" s="52">
        <f t="shared" si="17"/>
        <v>1.631</v>
      </c>
      <c r="N137" s="13">
        <f t="shared" ca="1" si="13"/>
        <v>8</v>
      </c>
    </row>
    <row r="138" spans="1:14" x14ac:dyDescent="0.3">
      <c r="A138" s="3">
        <v>3531</v>
      </c>
      <c r="B138" s="3" t="s">
        <v>13</v>
      </c>
      <c r="C138" s="3">
        <v>3</v>
      </c>
      <c r="D138" s="3" t="s">
        <v>9</v>
      </c>
      <c r="E138" s="6">
        <v>2039.63</v>
      </c>
      <c r="F138" s="6">
        <v>2250</v>
      </c>
      <c r="G138" s="6">
        <v>-210.37</v>
      </c>
      <c r="H138" s="5">
        <v>-9.35</v>
      </c>
      <c r="I138" s="13">
        <f t="shared" ca="1" si="14"/>
        <v>590</v>
      </c>
      <c r="J138" s="52">
        <f t="shared" ca="1" si="18"/>
        <v>600</v>
      </c>
      <c r="K138" s="51">
        <f t="shared" si="15"/>
        <v>679.87666666666667</v>
      </c>
      <c r="L138" s="13">
        <f t="shared" ca="1" si="16"/>
        <v>22</v>
      </c>
      <c r="M138" s="52">
        <f t="shared" si="17"/>
        <v>0.1</v>
      </c>
      <c r="N138" s="13">
        <f t="shared" ca="1" si="13"/>
        <v>10</v>
      </c>
    </row>
    <row r="139" spans="1:14" x14ac:dyDescent="0.3">
      <c r="A139" s="3">
        <v>3581</v>
      </c>
      <c r="B139" s="3" t="s">
        <v>204</v>
      </c>
      <c r="C139" s="3">
        <v>7</v>
      </c>
      <c r="D139" s="3" t="s">
        <v>22</v>
      </c>
      <c r="E139" s="6">
        <v>180.02</v>
      </c>
      <c r="F139" s="6">
        <v>185.5</v>
      </c>
      <c r="G139" s="6">
        <v>-5.48</v>
      </c>
      <c r="H139" s="5">
        <v>-2.95</v>
      </c>
      <c r="I139" s="13">
        <f t="shared" ca="1" si="14"/>
        <v>404</v>
      </c>
      <c r="J139" s="52">
        <f t="shared" ca="1" si="18"/>
        <v>413</v>
      </c>
      <c r="K139" s="51">
        <f t="shared" si="15"/>
        <v>25.717142857142857</v>
      </c>
      <c r="L139" s="13">
        <f t="shared" ca="1" si="16"/>
        <v>1</v>
      </c>
      <c r="M139" s="52">
        <f t="shared" si="17"/>
        <v>0.23333333333333334</v>
      </c>
      <c r="N139" s="13">
        <f t="shared" ca="1" si="13"/>
        <v>8</v>
      </c>
    </row>
    <row r="140" spans="1:14" x14ac:dyDescent="0.3">
      <c r="A140" s="3">
        <v>3621</v>
      </c>
      <c r="B140" s="3" t="s">
        <v>182</v>
      </c>
      <c r="C140" s="3">
        <v>1</v>
      </c>
      <c r="D140" s="3" t="s">
        <v>9</v>
      </c>
      <c r="E140" s="6">
        <v>197.86</v>
      </c>
      <c r="F140" s="6">
        <v>167.5</v>
      </c>
      <c r="G140" s="6">
        <v>30.36</v>
      </c>
      <c r="H140" s="5">
        <v>18.13</v>
      </c>
      <c r="I140" s="13">
        <f t="shared" ca="1" si="14"/>
        <v>41</v>
      </c>
      <c r="J140" s="52">
        <f t="shared" ca="1" si="18"/>
        <v>50</v>
      </c>
      <c r="K140" s="51">
        <f t="shared" si="15"/>
        <v>197.86</v>
      </c>
      <c r="L140" s="13">
        <f t="shared" ca="1" si="16"/>
        <v>16</v>
      </c>
      <c r="M140" s="52">
        <f t="shared" si="17"/>
        <v>3.3333333333333333E-2</v>
      </c>
      <c r="N140" s="13">
        <f t="shared" ca="1" si="13"/>
        <v>9</v>
      </c>
    </row>
    <row r="141" spans="1:14" x14ac:dyDescent="0.3">
      <c r="A141" s="3">
        <v>3636</v>
      </c>
      <c r="B141" s="3" t="s">
        <v>77</v>
      </c>
      <c r="C141" s="3">
        <v>11</v>
      </c>
      <c r="D141" s="3" t="s">
        <v>22</v>
      </c>
      <c r="E141" s="6">
        <v>449.39</v>
      </c>
      <c r="F141" s="6">
        <v>374</v>
      </c>
      <c r="G141" s="6">
        <v>75.39</v>
      </c>
      <c r="H141" s="5">
        <v>20.16</v>
      </c>
      <c r="I141" s="13">
        <f t="shared" ca="1" si="14"/>
        <v>126</v>
      </c>
      <c r="J141" s="52">
        <f t="shared" ca="1" si="18"/>
        <v>134</v>
      </c>
      <c r="K141" s="51">
        <f t="shared" si="15"/>
        <v>40.853636363636362</v>
      </c>
      <c r="L141" s="13">
        <f t="shared" ca="1" si="16"/>
        <v>30</v>
      </c>
      <c r="M141" s="52">
        <f t="shared" si="17"/>
        <v>0.36666666666666664</v>
      </c>
      <c r="N141" s="13">
        <f t="shared" ca="1" si="13"/>
        <v>4</v>
      </c>
    </row>
    <row r="142" spans="1:14" x14ac:dyDescent="0.3">
      <c r="A142" s="3">
        <v>3641</v>
      </c>
      <c r="B142" s="3" t="s">
        <v>157</v>
      </c>
      <c r="C142" s="3">
        <v>6</v>
      </c>
      <c r="D142" s="3" t="s">
        <v>22</v>
      </c>
      <c r="E142" s="6">
        <v>237.29</v>
      </c>
      <c r="F142" s="6">
        <v>204</v>
      </c>
      <c r="G142" s="6">
        <v>33.29</v>
      </c>
      <c r="H142" s="5">
        <v>16.32</v>
      </c>
      <c r="I142" s="13">
        <f t="shared" ca="1" si="14"/>
        <v>132</v>
      </c>
      <c r="J142" s="52">
        <f t="shared" ca="1" si="18"/>
        <v>139</v>
      </c>
      <c r="K142" s="51">
        <f t="shared" si="15"/>
        <v>39.548333333333332</v>
      </c>
      <c r="L142" s="13">
        <f t="shared" ca="1" si="16"/>
        <v>23</v>
      </c>
      <c r="M142" s="52">
        <f t="shared" si="17"/>
        <v>0.2</v>
      </c>
      <c r="N142" s="13">
        <f t="shared" ca="1" si="13"/>
        <v>6</v>
      </c>
    </row>
    <row r="143" spans="1:14" x14ac:dyDescent="0.3">
      <c r="A143" s="3">
        <v>3656</v>
      </c>
      <c r="B143" s="3" t="s">
        <v>159</v>
      </c>
      <c r="C143" s="3">
        <v>6</v>
      </c>
      <c r="D143" s="3" t="s">
        <v>9</v>
      </c>
      <c r="E143" s="6">
        <v>235.67</v>
      </c>
      <c r="F143" s="6">
        <v>135.24</v>
      </c>
      <c r="G143" s="6">
        <v>100.43</v>
      </c>
      <c r="H143" s="5">
        <v>74.260000000000005</v>
      </c>
      <c r="I143" s="13">
        <f t="shared" ca="1" si="14"/>
        <v>464</v>
      </c>
      <c r="J143" s="52">
        <f t="shared" ca="1" si="18"/>
        <v>466</v>
      </c>
      <c r="K143" s="51">
        <f t="shared" si="15"/>
        <v>39.278333333333329</v>
      </c>
      <c r="L143" s="13">
        <f t="shared" ca="1" si="16"/>
        <v>5</v>
      </c>
      <c r="M143" s="52">
        <f t="shared" si="17"/>
        <v>0.2</v>
      </c>
      <c r="N143" s="13">
        <f t="shared" ca="1" si="13"/>
        <v>1</v>
      </c>
    </row>
    <row r="144" spans="1:14" x14ac:dyDescent="0.3">
      <c r="A144" s="3">
        <v>3660</v>
      </c>
      <c r="B144" s="3" t="s">
        <v>144</v>
      </c>
      <c r="C144" s="3">
        <v>310</v>
      </c>
      <c r="D144" s="3" t="s">
        <v>12</v>
      </c>
      <c r="E144" s="6">
        <v>260.7</v>
      </c>
      <c r="F144" s="6">
        <v>279</v>
      </c>
      <c r="G144" s="6">
        <v>-18.3</v>
      </c>
      <c r="H144" s="5">
        <v>-6.56</v>
      </c>
      <c r="I144" s="13">
        <f t="shared" ca="1" si="14"/>
        <v>55</v>
      </c>
      <c r="J144" s="52">
        <f t="shared" ca="1" si="18"/>
        <v>3261</v>
      </c>
      <c r="K144" s="51">
        <f t="shared" si="15"/>
        <v>0.84096774193548385</v>
      </c>
      <c r="L144" s="13">
        <f t="shared" ca="1" si="16"/>
        <v>24</v>
      </c>
      <c r="M144" s="52">
        <f t="shared" si="17"/>
        <v>10.333333333333334</v>
      </c>
      <c r="N144" s="13">
        <f t="shared" ca="1" si="13"/>
        <v>3</v>
      </c>
    </row>
    <row r="145" spans="1:14" x14ac:dyDescent="0.3">
      <c r="A145" s="3">
        <v>3669</v>
      </c>
      <c r="B145" s="3" t="s">
        <v>134</v>
      </c>
      <c r="C145" s="3">
        <v>4</v>
      </c>
      <c r="D145" s="3" t="s">
        <v>9</v>
      </c>
      <c r="E145" s="6">
        <v>271.85000000000002</v>
      </c>
      <c r="F145" s="6">
        <v>274</v>
      </c>
      <c r="G145" s="6">
        <v>-2.15</v>
      </c>
      <c r="H145" s="5">
        <v>-0.78</v>
      </c>
      <c r="I145" s="13">
        <f t="shared" ca="1" si="14"/>
        <v>163</v>
      </c>
      <c r="J145" s="52">
        <f t="shared" ca="1" si="18"/>
        <v>172</v>
      </c>
      <c r="K145" s="51">
        <f t="shared" si="15"/>
        <v>67.962500000000006</v>
      </c>
      <c r="L145" s="13">
        <f t="shared" ca="1" si="16"/>
        <v>22</v>
      </c>
      <c r="M145" s="52">
        <f t="shared" si="17"/>
        <v>0.13333333333333333</v>
      </c>
      <c r="N145" s="13">
        <f t="shared" ca="1" si="13"/>
        <v>9</v>
      </c>
    </row>
    <row r="146" spans="1:14" x14ac:dyDescent="0.3">
      <c r="A146" s="3">
        <v>3680</v>
      </c>
      <c r="B146" s="3" t="s">
        <v>200</v>
      </c>
      <c r="C146" s="3">
        <v>29</v>
      </c>
      <c r="D146" s="3" t="s">
        <v>9</v>
      </c>
      <c r="E146" s="6">
        <v>185.11</v>
      </c>
      <c r="F146" s="6">
        <v>159.5</v>
      </c>
      <c r="G146" s="6">
        <v>25.61</v>
      </c>
      <c r="H146" s="5">
        <v>16.059999999999999</v>
      </c>
      <c r="I146" s="13">
        <f t="shared" ca="1" si="14"/>
        <v>417</v>
      </c>
      <c r="J146" s="52">
        <f t="shared" ca="1" si="18"/>
        <v>451</v>
      </c>
      <c r="K146" s="51">
        <f t="shared" si="15"/>
        <v>6.3831034482758628</v>
      </c>
      <c r="L146" s="13">
        <f t="shared" ca="1" si="16"/>
        <v>26</v>
      </c>
      <c r="M146" s="52">
        <f t="shared" si="17"/>
        <v>0.96666666666666667</v>
      </c>
      <c r="N146" s="13">
        <f t="shared" ca="1" si="13"/>
        <v>6</v>
      </c>
    </row>
    <row r="147" spans="1:14" x14ac:dyDescent="0.3">
      <c r="A147" s="3">
        <v>3708</v>
      </c>
      <c r="B147" s="3" t="s">
        <v>194</v>
      </c>
      <c r="C147" s="3">
        <v>2</v>
      </c>
      <c r="D147" s="3" t="s">
        <v>9</v>
      </c>
      <c r="E147" s="6">
        <v>187.97</v>
      </c>
      <c r="F147" s="6">
        <v>189</v>
      </c>
      <c r="G147" s="6">
        <v>-1.03</v>
      </c>
      <c r="H147" s="5">
        <v>-0.54</v>
      </c>
      <c r="I147" s="13">
        <f t="shared" ca="1" si="14"/>
        <v>467</v>
      </c>
      <c r="J147" s="52">
        <f t="shared" ca="1" si="18"/>
        <v>473</v>
      </c>
      <c r="K147" s="51">
        <f t="shared" si="15"/>
        <v>93.984999999999999</v>
      </c>
      <c r="L147" s="13">
        <f t="shared" ca="1" si="16"/>
        <v>30</v>
      </c>
      <c r="M147" s="52">
        <f t="shared" si="17"/>
        <v>6.6666666666666666E-2</v>
      </c>
      <c r="N147" s="13">
        <f t="shared" ca="1" si="13"/>
        <v>6</v>
      </c>
    </row>
    <row r="148" spans="1:14" x14ac:dyDescent="0.3">
      <c r="A148" s="3">
        <v>3720</v>
      </c>
      <c r="B148" s="3" t="s">
        <v>203</v>
      </c>
      <c r="C148" s="3">
        <v>54</v>
      </c>
      <c r="D148" s="3" t="s">
        <v>12</v>
      </c>
      <c r="E148" s="6">
        <v>183.95</v>
      </c>
      <c r="F148" s="6">
        <v>183.6</v>
      </c>
      <c r="G148" s="6">
        <v>0.35</v>
      </c>
      <c r="H148" s="5">
        <v>0.19</v>
      </c>
      <c r="I148" s="13">
        <f t="shared" ca="1" si="14"/>
        <v>111</v>
      </c>
      <c r="J148" s="52">
        <f t="shared" ca="1" si="18"/>
        <v>212</v>
      </c>
      <c r="K148" s="51">
        <f t="shared" si="15"/>
        <v>3.4064814814814812</v>
      </c>
      <c r="L148" s="13">
        <f t="shared" ca="1" si="16"/>
        <v>6</v>
      </c>
      <c r="M148" s="52">
        <f t="shared" si="17"/>
        <v>1.8</v>
      </c>
      <c r="N148" s="13">
        <f t="shared" ca="1" si="13"/>
        <v>4</v>
      </c>
    </row>
    <row r="149" spans="1:14" x14ac:dyDescent="0.3">
      <c r="A149" s="3">
        <v>3723</v>
      </c>
      <c r="B149" s="3" t="s">
        <v>186</v>
      </c>
      <c r="C149" s="3">
        <v>99</v>
      </c>
      <c r="D149" s="3" t="s">
        <v>9</v>
      </c>
      <c r="E149" s="6">
        <v>192</v>
      </c>
      <c r="F149" s="6">
        <v>188.1</v>
      </c>
      <c r="G149" s="6">
        <v>3.9</v>
      </c>
      <c r="H149" s="5">
        <v>2.0699999999999998</v>
      </c>
      <c r="I149" s="13">
        <f t="shared" ca="1" si="14"/>
        <v>414</v>
      </c>
      <c r="J149" s="52">
        <f t="shared" ca="1" si="18"/>
        <v>746</v>
      </c>
      <c r="K149" s="51">
        <f t="shared" si="15"/>
        <v>1.9393939393939394</v>
      </c>
      <c r="L149" s="13">
        <f t="shared" ca="1" si="16"/>
        <v>0</v>
      </c>
      <c r="M149" s="52">
        <f t="shared" si="17"/>
        <v>3.3</v>
      </c>
      <c r="N149" s="13">
        <f t="shared" ca="1" si="13"/>
        <v>6</v>
      </c>
    </row>
    <row r="150" spans="1:14" x14ac:dyDescent="0.3">
      <c r="A150" s="3">
        <v>3734</v>
      </c>
      <c r="B150" s="3" t="s">
        <v>169</v>
      </c>
      <c r="C150" s="3">
        <v>3</v>
      </c>
      <c r="D150" s="3" t="s">
        <v>9</v>
      </c>
      <c r="E150" s="6">
        <v>208.5</v>
      </c>
      <c r="F150" s="6">
        <v>188.1</v>
      </c>
      <c r="G150" s="6">
        <v>20.399999999999999</v>
      </c>
      <c r="H150" s="5">
        <v>10.85</v>
      </c>
      <c r="I150" s="13">
        <f t="shared" ca="1" si="14"/>
        <v>253</v>
      </c>
      <c r="J150" s="52">
        <f t="shared" ca="1" si="18"/>
        <v>259</v>
      </c>
      <c r="K150" s="51">
        <f t="shared" si="15"/>
        <v>69.5</v>
      </c>
      <c r="L150" s="13">
        <f t="shared" ca="1" si="16"/>
        <v>11</v>
      </c>
      <c r="M150" s="52">
        <f t="shared" si="17"/>
        <v>0.1</v>
      </c>
      <c r="N150" s="13">
        <f t="shared" ca="1" si="13"/>
        <v>6</v>
      </c>
    </row>
    <row r="151" spans="1:14" x14ac:dyDescent="0.3">
      <c r="A151" s="3">
        <v>3747</v>
      </c>
      <c r="B151" s="3" t="s">
        <v>122</v>
      </c>
      <c r="C151" s="3">
        <v>9</v>
      </c>
      <c r="D151" s="3" t="s">
        <v>9</v>
      </c>
      <c r="E151" s="6">
        <v>297</v>
      </c>
      <c r="F151" s="6">
        <v>128.69999999999999</v>
      </c>
      <c r="G151" s="6">
        <v>168.3</v>
      </c>
      <c r="H151" s="5">
        <v>130.77000000000001</v>
      </c>
      <c r="I151" s="13">
        <f t="shared" ca="1" si="14"/>
        <v>526</v>
      </c>
      <c r="J151" s="52">
        <f t="shared" ca="1" si="18"/>
        <v>535</v>
      </c>
      <c r="K151" s="51">
        <f t="shared" si="15"/>
        <v>33</v>
      </c>
      <c r="L151" s="13">
        <f t="shared" ca="1" si="16"/>
        <v>27</v>
      </c>
      <c r="M151" s="52">
        <f t="shared" si="17"/>
        <v>0.3</v>
      </c>
      <c r="N151" s="13">
        <f t="shared" ca="1" si="13"/>
        <v>7</v>
      </c>
    </row>
    <row r="152" spans="1:14" x14ac:dyDescent="0.3">
      <c r="A152" s="3">
        <v>3788</v>
      </c>
      <c r="B152" s="3" t="s">
        <v>175</v>
      </c>
      <c r="C152" s="3">
        <v>4</v>
      </c>
      <c r="D152" s="3" t="s">
        <v>9</v>
      </c>
      <c r="E152" s="6">
        <v>200.73</v>
      </c>
      <c r="F152" s="6">
        <v>200</v>
      </c>
      <c r="G152" s="6">
        <v>0.73</v>
      </c>
      <c r="H152" s="5">
        <v>0.37</v>
      </c>
      <c r="I152" s="13">
        <f t="shared" ca="1" si="14"/>
        <v>232</v>
      </c>
      <c r="J152" s="52">
        <f t="shared" ca="1" si="18"/>
        <v>241</v>
      </c>
      <c r="K152" s="51">
        <f t="shared" si="15"/>
        <v>50.182499999999997</v>
      </c>
      <c r="L152" s="13">
        <f t="shared" ca="1" si="16"/>
        <v>27</v>
      </c>
      <c r="M152" s="52">
        <f t="shared" si="17"/>
        <v>0.13333333333333333</v>
      </c>
      <c r="N152" s="13">
        <f t="shared" ca="1" si="13"/>
        <v>9</v>
      </c>
    </row>
    <row r="153" spans="1:14" x14ac:dyDescent="0.3">
      <c r="A153" s="3">
        <v>3837</v>
      </c>
      <c r="B153" s="3" t="s">
        <v>195</v>
      </c>
      <c r="C153" s="3">
        <v>2</v>
      </c>
      <c r="D153" s="3" t="s">
        <v>9</v>
      </c>
      <c r="E153" s="6">
        <v>187.03</v>
      </c>
      <c r="F153" s="6">
        <v>163</v>
      </c>
      <c r="G153" s="6">
        <v>24.03</v>
      </c>
      <c r="H153" s="5">
        <v>14.74</v>
      </c>
      <c r="I153" s="13">
        <f t="shared" ca="1" si="14"/>
        <v>580</v>
      </c>
      <c r="J153" s="52">
        <f t="shared" ca="1" si="18"/>
        <v>582</v>
      </c>
      <c r="K153" s="51">
        <f t="shared" si="15"/>
        <v>93.515000000000001</v>
      </c>
      <c r="L153" s="13">
        <f t="shared" ca="1" si="16"/>
        <v>17</v>
      </c>
      <c r="M153" s="52">
        <f t="shared" si="17"/>
        <v>6.6666666666666666E-2</v>
      </c>
      <c r="N153" s="13">
        <f t="shared" ca="1" si="13"/>
        <v>2</v>
      </c>
    </row>
    <row r="154" spans="1:14" x14ac:dyDescent="0.3">
      <c r="A154" s="3">
        <v>3840</v>
      </c>
      <c r="B154" s="3" t="s">
        <v>51</v>
      </c>
      <c r="C154" s="3">
        <v>1</v>
      </c>
      <c r="D154" s="3" t="s">
        <v>9</v>
      </c>
      <c r="E154" s="6">
        <v>724</v>
      </c>
      <c r="F154" s="6">
        <v>599</v>
      </c>
      <c r="G154" s="6">
        <v>125</v>
      </c>
      <c r="H154" s="5">
        <v>20.87</v>
      </c>
      <c r="I154" s="13">
        <f t="shared" ca="1" si="14"/>
        <v>291</v>
      </c>
      <c r="J154" s="52">
        <f t="shared" ca="1" si="18"/>
        <v>300</v>
      </c>
      <c r="K154" s="51">
        <f t="shared" si="15"/>
        <v>724</v>
      </c>
      <c r="L154" s="13">
        <f t="shared" ca="1" si="16"/>
        <v>0</v>
      </c>
      <c r="M154" s="52">
        <f t="shared" si="17"/>
        <v>3.3333333333333333E-2</v>
      </c>
      <c r="N154" s="13">
        <f t="shared" ca="1" si="13"/>
        <v>9</v>
      </c>
    </row>
    <row r="155" spans="1:14" x14ac:dyDescent="0.3">
      <c r="A155" s="3">
        <v>3875</v>
      </c>
      <c r="B155" s="3" t="s">
        <v>222</v>
      </c>
      <c r="C155" s="3">
        <v>4</v>
      </c>
      <c r="D155" s="3" t="s">
        <v>9</v>
      </c>
      <c r="E155" s="6">
        <v>163.9</v>
      </c>
      <c r="F155" s="6">
        <v>151.6</v>
      </c>
      <c r="G155" s="6">
        <v>12.3</v>
      </c>
      <c r="H155" s="5">
        <v>8.11</v>
      </c>
      <c r="I155" s="13">
        <f t="shared" ca="1" si="14"/>
        <v>378</v>
      </c>
      <c r="J155" s="52">
        <f t="shared" ca="1" si="18"/>
        <v>380</v>
      </c>
      <c r="K155" s="51">
        <f t="shared" si="15"/>
        <v>40.975000000000001</v>
      </c>
      <c r="L155" s="13">
        <f t="shared" ca="1" si="16"/>
        <v>24</v>
      </c>
      <c r="M155" s="52">
        <f t="shared" si="17"/>
        <v>0.13333333333333333</v>
      </c>
      <c r="N155" s="13">
        <f t="shared" ca="1" si="13"/>
        <v>2</v>
      </c>
    </row>
    <row r="156" spans="1:14" x14ac:dyDescent="0.3">
      <c r="A156" s="3">
        <v>3894</v>
      </c>
      <c r="B156" s="3" t="s">
        <v>135</v>
      </c>
      <c r="C156" s="3">
        <v>16</v>
      </c>
      <c r="D156" s="3" t="s">
        <v>136</v>
      </c>
      <c r="E156" s="6">
        <v>269.83</v>
      </c>
      <c r="F156" s="6">
        <v>267.2</v>
      </c>
      <c r="G156" s="6">
        <v>2.63</v>
      </c>
      <c r="H156" s="5">
        <v>0.98</v>
      </c>
      <c r="I156" s="13">
        <f t="shared" ca="1" si="14"/>
        <v>312</v>
      </c>
      <c r="J156" s="52">
        <f t="shared" ca="1" si="18"/>
        <v>322</v>
      </c>
      <c r="K156" s="51">
        <f t="shared" si="15"/>
        <v>16.864374999999999</v>
      </c>
      <c r="L156" s="13">
        <f t="shared" ca="1" si="16"/>
        <v>3</v>
      </c>
      <c r="M156" s="52">
        <f t="shared" si="17"/>
        <v>0.53333333333333333</v>
      </c>
      <c r="N156" s="13">
        <f t="shared" ca="1" si="13"/>
        <v>2</v>
      </c>
    </row>
    <row r="157" spans="1:14" x14ac:dyDescent="0.3">
      <c r="A157" s="3">
        <v>3900</v>
      </c>
      <c r="B157" s="3" t="s">
        <v>95</v>
      </c>
      <c r="C157" s="3">
        <v>37</v>
      </c>
      <c r="D157" s="3" t="s">
        <v>9</v>
      </c>
      <c r="E157" s="6">
        <v>362.2</v>
      </c>
      <c r="F157" s="6">
        <v>321.89999999999998</v>
      </c>
      <c r="G157" s="6">
        <v>40.299999999999997</v>
      </c>
      <c r="H157" s="5">
        <v>12.52</v>
      </c>
      <c r="I157" s="13">
        <f t="shared" ca="1" si="14"/>
        <v>304</v>
      </c>
      <c r="J157" s="52">
        <f t="shared" ca="1" si="18"/>
        <v>351</v>
      </c>
      <c r="K157" s="51">
        <f t="shared" si="15"/>
        <v>9.7891891891891891</v>
      </c>
      <c r="L157" s="13">
        <f t="shared" ca="1" si="16"/>
        <v>26</v>
      </c>
      <c r="M157" s="52">
        <f t="shared" si="17"/>
        <v>1.2333333333333334</v>
      </c>
      <c r="N157" s="13">
        <f t="shared" ca="1" si="13"/>
        <v>2</v>
      </c>
    </row>
    <row r="158" spans="1:14" x14ac:dyDescent="0.3">
      <c r="A158" s="2">
        <v>3923</v>
      </c>
      <c r="B158" s="2" t="s">
        <v>223</v>
      </c>
      <c r="C158" s="2">
        <v>2</v>
      </c>
      <c r="D158" s="2" t="s">
        <v>9</v>
      </c>
      <c r="E158" s="1">
        <v>163.47</v>
      </c>
      <c r="F158" s="1">
        <v>150</v>
      </c>
      <c r="G158" s="1">
        <v>13.47</v>
      </c>
      <c r="H158" s="11">
        <v>8.98</v>
      </c>
      <c r="I158" s="13">
        <f t="shared" ca="1" si="14"/>
        <v>203</v>
      </c>
      <c r="J158" s="52">
        <f t="shared" ca="1" si="18"/>
        <v>210</v>
      </c>
      <c r="K158" s="51">
        <f t="shared" si="15"/>
        <v>81.734999999999999</v>
      </c>
      <c r="L158" s="13">
        <f t="shared" ca="1" si="16"/>
        <v>18</v>
      </c>
      <c r="M158" s="52">
        <f t="shared" si="17"/>
        <v>6.6666666666666666E-2</v>
      </c>
      <c r="N158" s="13">
        <f t="shared" ca="1" si="13"/>
        <v>7</v>
      </c>
    </row>
    <row r="159" spans="1:14" x14ac:dyDescent="0.3">
      <c r="A159" s="3">
        <v>3925</v>
      </c>
      <c r="B159" s="3" t="s">
        <v>218</v>
      </c>
      <c r="C159" s="3">
        <v>13</v>
      </c>
      <c r="D159" s="3" t="s">
        <v>9</v>
      </c>
      <c r="E159" s="6">
        <v>166.45</v>
      </c>
      <c r="F159" s="6">
        <v>165.1</v>
      </c>
      <c r="G159" s="6">
        <v>1.35</v>
      </c>
      <c r="H159" s="5">
        <v>0.82</v>
      </c>
      <c r="I159" s="13">
        <f t="shared" ca="1" si="14"/>
        <v>450</v>
      </c>
      <c r="J159" s="52">
        <f t="shared" ca="1" si="18"/>
        <v>459</v>
      </c>
      <c r="K159" s="51">
        <f t="shared" si="15"/>
        <v>12.803846153846154</v>
      </c>
      <c r="L159" s="13">
        <f t="shared" ca="1" si="16"/>
        <v>2</v>
      </c>
      <c r="M159" s="52">
        <f t="shared" si="17"/>
        <v>0.43333333333333335</v>
      </c>
      <c r="N159" s="13">
        <f t="shared" ca="1" si="13"/>
        <v>4</v>
      </c>
    </row>
    <row r="160" spans="1:14" x14ac:dyDescent="0.3">
      <c r="A160" s="3">
        <v>3930</v>
      </c>
      <c r="B160" s="3" t="s">
        <v>64</v>
      </c>
      <c r="C160" s="5">
        <v>4.5</v>
      </c>
      <c r="D160" s="3" t="s">
        <v>9</v>
      </c>
      <c r="E160" s="6">
        <v>521.46</v>
      </c>
      <c r="F160" s="6">
        <v>531</v>
      </c>
      <c r="G160" s="6">
        <v>-9.5399999999999991</v>
      </c>
      <c r="H160" s="5">
        <v>-1.8</v>
      </c>
      <c r="I160" s="13">
        <f t="shared" ca="1" si="14"/>
        <v>492</v>
      </c>
      <c r="J160" s="52">
        <f t="shared" ca="1" si="18"/>
        <v>501</v>
      </c>
      <c r="K160" s="51">
        <f t="shared" si="15"/>
        <v>115.88000000000001</v>
      </c>
      <c r="L160" s="13">
        <f t="shared" ca="1" si="16"/>
        <v>19</v>
      </c>
      <c r="M160" s="52">
        <f t="shared" si="17"/>
        <v>0.15</v>
      </c>
      <c r="N160" s="13">
        <f t="shared" ca="1" si="13"/>
        <v>9</v>
      </c>
    </row>
    <row r="161" spans="1:14" x14ac:dyDescent="0.3">
      <c r="A161" s="3">
        <v>3938</v>
      </c>
      <c r="B161" s="3" t="s">
        <v>80</v>
      </c>
      <c r="C161" s="3">
        <v>2</v>
      </c>
      <c r="D161" s="3" t="s">
        <v>25</v>
      </c>
      <c r="E161" s="6">
        <v>430</v>
      </c>
      <c r="F161" s="6">
        <v>370</v>
      </c>
      <c r="G161" s="6">
        <v>60</v>
      </c>
      <c r="H161" s="5">
        <v>16.22</v>
      </c>
      <c r="I161" s="13">
        <f t="shared" ca="1" si="14"/>
        <v>559</v>
      </c>
      <c r="J161" s="52">
        <f t="shared" ca="1" si="18"/>
        <v>562</v>
      </c>
      <c r="K161" s="51">
        <f t="shared" si="15"/>
        <v>215</v>
      </c>
      <c r="L161" s="13">
        <f t="shared" ca="1" si="16"/>
        <v>8</v>
      </c>
      <c r="M161" s="52">
        <f t="shared" si="17"/>
        <v>6.6666666666666666E-2</v>
      </c>
      <c r="N161" s="13">
        <f t="shared" ca="1" si="13"/>
        <v>3</v>
      </c>
    </row>
    <row r="162" spans="1:14" x14ac:dyDescent="0.3">
      <c r="A162" s="3">
        <v>3938</v>
      </c>
      <c r="B162" s="3" t="s">
        <v>81</v>
      </c>
      <c r="C162" s="3">
        <v>2</v>
      </c>
      <c r="D162" s="3" t="s">
        <v>25</v>
      </c>
      <c r="E162" s="6">
        <v>426</v>
      </c>
      <c r="F162" s="6">
        <v>370</v>
      </c>
      <c r="G162" s="6">
        <v>56</v>
      </c>
      <c r="H162" s="5">
        <v>15.14</v>
      </c>
      <c r="I162" s="13">
        <f t="shared" ca="1" si="14"/>
        <v>207</v>
      </c>
      <c r="J162" s="52">
        <f t="shared" ca="1" si="18"/>
        <v>217</v>
      </c>
      <c r="K162" s="51">
        <f t="shared" si="15"/>
        <v>213</v>
      </c>
      <c r="L162" s="13">
        <f t="shared" ca="1" si="16"/>
        <v>10</v>
      </c>
      <c r="M162" s="52">
        <f t="shared" si="17"/>
        <v>6.6666666666666666E-2</v>
      </c>
      <c r="N162" s="13">
        <f t="shared" ref="N162:N207" ca="1" si="19">RANDBETWEEN(1,10)</f>
        <v>10</v>
      </c>
    </row>
    <row r="163" spans="1:14" x14ac:dyDescent="0.3">
      <c r="A163" s="3">
        <v>3944</v>
      </c>
      <c r="B163" s="3" t="s">
        <v>176</v>
      </c>
      <c r="C163" s="3">
        <v>1</v>
      </c>
      <c r="D163" s="3" t="s">
        <v>9</v>
      </c>
      <c r="E163" s="6">
        <v>200.65</v>
      </c>
      <c r="F163" s="6">
        <v>252</v>
      </c>
      <c r="G163" s="6">
        <v>-51.35</v>
      </c>
      <c r="H163" s="5">
        <v>-20.38</v>
      </c>
      <c r="I163" s="13">
        <f t="shared" ca="1" si="14"/>
        <v>566</v>
      </c>
      <c r="J163" s="52">
        <f t="shared" ca="1" si="18"/>
        <v>573</v>
      </c>
      <c r="K163" s="51">
        <f t="shared" si="15"/>
        <v>200.65</v>
      </c>
      <c r="L163" s="13">
        <f t="shared" ca="1" si="16"/>
        <v>23</v>
      </c>
      <c r="M163" s="52">
        <f t="shared" si="17"/>
        <v>3.3333333333333333E-2</v>
      </c>
      <c r="N163" s="13">
        <f t="shared" ca="1" si="19"/>
        <v>7</v>
      </c>
    </row>
    <row r="164" spans="1:14" x14ac:dyDescent="0.3">
      <c r="A164" s="3">
        <v>3945</v>
      </c>
      <c r="B164" s="3" t="s">
        <v>83</v>
      </c>
      <c r="C164" s="3">
        <v>2</v>
      </c>
      <c r="D164" s="3" t="s">
        <v>9</v>
      </c>
      <c r="E164" s="6">
        <v>419.03</v>
      </c>
      <c r="F164" s="6">
        <v>2</v>
      </c>
      <c r="G164" s="6">
        <v>417.03</v>
      </c>
      <c r="H164" s="5">
        <v>20851.5</v>
      </c>
      <c r="I164" s="13">
        <f t="shared" ca="1" si="14"/>
        <v>505</v>
      </c>
      <c r="J164" s="52">
        <f t="shared" ca="1" si="18"/>
        <v>515</v>
      </c>
      <c r="K164" s="51">
        <f t="shared" si="15"/>
        <v>209.51499999999999</v>
      </c>
      <c r="L164" s="13">
        <f t="shared" ca="1" si="16"/>
        <v>19</v>
      </c>
      <c r="M164" s="52">
        <f t="shared" si="17"/>
        <v>6.6666666666666666E-2</v>
      </c>
      <c r="N164" s="13">
        <f t="shared" ca="1" si="19"/>
        <v>10</v>
      </c>
    </row>
    <row r="165" spans="1:14" x14ac:dyDescent="0.3">
      <c r="A165" s="3">
        <v>3968</v>
      </c>
      <c r="B165" s="3" t="s">
        <v>21</v>
      </c>
      <c r="C165" s="3">
        <v>854</v>
      </c>
      <c r="D165" s="3" t="s">
        <v>22</v>
      </c>
      <c r="E165" s="6">
        <v>1510.11</v>
      </c>
      <c r="F165" s="6">
        <v>2305.8000000000002</v>
      </c>
      <c r="G165" s="6">
        <v>-795.69</v>
      </c>
      <c r="H165" s="5">
        <v>-34.51</v>
      </c>
      <c r="I165" s="13">
        <f t="shared" ca="1" si="14"/>
        <v>598</v>
      </c>
      <c r="J165" s="52">
        <f t="shared" ca="1" si="18"/>
        <v>24913</v>
      </c>
      <c r="K165" s="51">
        <f t="shared" si="15"/>
        <v>1.76827868852459</v>
      </c>
      <c r="L165" s="13">
        <f t="shared" ca="1" si="16"/>
        <v>16</v>
      </c>
      <c r="M165" s="52">
        <f t="shared" si="17"/>
        <v>28.466666666666665</v>
      </c>
      <c r="N165" s="13">
        <f t="shared" ca="1" si="19"/>
        <v>5</v>
      </c>
    </row>
    <row r="166" spans="1:14" x14ac:dyDescent="0.3">
      <c r="A166" s="3">
        <v>3982</v>
      </c>
      <c r="B166" s="3" t="s">
        <v>198</v>
      </c>
      <c r="C166" s="3">
        <v>1</v>
      </c>
      <c r="D166" s="3" t="s">
        <v>9</v>
      </c>
      <c r="E166" s="6">
        <v>186</v>
      </c>
      <c r="F166" s="6">
        <v>206</v>
      </c>
      <c r="G166" s="6">
        <v>-20</v>
      </c>
      <c r="H166" s="5">
        <v>-9.7100000000000009</v>
      </c>
      <c r="I166" s="13">
        <f t="shared" ca="1" si="14"/>
        <v>70</v>
      </c>
      <c r="J166" s="52">
        <f t="shared" ca="1" si="18"/>
        <v>75</v>
      </c>
      <c r="K166" s="51">
        <f t="shared" si="15"/>
        <v>186</v>
      </c>
      <c r="L166" s="13">
        <f t="shared" ca="1" si="16"/>
        <v>5</v>
      </c>
      <c r="M166" s="52">
        <f t="shared" si="17"/>
        <v>3.3333333333333333E-2</v>
      </c>
      <c r="N166" s="13">
        <f t="shared" ca="1" si="19"/>
        <v>5</v>
      </c>
    </row>
    <row r="167" spans="1:14" x14ac:dyDescent="0.3">
      <c r="A167" s="3">
        <v>4026</v>
      </c>
      <c r="B167" s="3" t="s">
        <v>147</v>
      </c>
      <c r="C167" s="3">
        <v>10</v>
      </c>
      <c r="D167" s="3" t="s">
        <v>22</v>
      </c>
      <c r="E167" s="6">
        <v>255.34</v>
      </c>
      <c r="F167" s="6">
        <v>265</v>
      </c>
      <c r="G167" s="6">
        <v>-9.66</v>
      </c>
      <c r="H167" s="5">
        <v>-3.65</v>
      </c>
      <c r="I167" s="13">
        <f t="shared" ca="1" si="14"/>
        <v>129</v>
      </c>
      <c r="J167" s="52">
        <f t="shared" ca="1" si="18"/>
        <v>133</v>
      </c>
      <c r="K167" s="51">
        <f t="shared" si="15"/>
        <v>25.533999999999999</v>
      </c>
      <c r="L167" s="13">
        <f t="shared" ca="1" si="16"/>
        <v>12</v>
      </c>
      <c r="M167" s="52">
        <f t="shared" si="17"/>
        <v>0.33333333333333331</v>
      </c>
      <c r="N167" s="13">
        <f t="shared" ca="1" si="19"/>
        <v>1</v>
      </c>
    </row>
    <row r="168" spans="1:14" x14ac:dyDescent="0.3">
      <c r="A168" s="3">
        <v>4027</v>
      </c>
      <c r="B168" s="3" t="s">
        <v>142</v>
      </c>
      <c r="C168" s="3">
        <v>10</v>
      </c>
      <c r="D168" s="3" t="s">
        <v>22</v>
      </c>
      <c r="E168" s="6">
        <v>262</v>
      </c>
      <c r="F168" s="6">
        <v>265</v>
      </c>
      <c r="G168" s="6">
        <v>-3</v>
      </c>
      <c r="H168" s="5">
        <v>-1.1299999999999999</v>
      </c>
      <c r="I168" s="13">
        <f t="shared" ca="1" si="14"/>
        <v>228</v>
      </c>
      <c r="J168" s="52">
        <f t="shared" ca="1" si="18"/>
        <v>241</v>
      </c>
      <c r="K168" s="51">
        <f t="shared" si="15"/>
        <v>26.2</v>
      </c>
      <c r="L168" s="13">
        <f t="shared" ca="1" si="16"/>
        <v>4</v>
      </c>
      <c r="M168" s="52">
        <f t="shared" si="17"/>
        <v>0.33333333333333331</v>
      </c>
      <c r="N168" s="13">
        <f t="shared" ca="1" si="19"/>
        <v>10</v>
      </c>
    </row>
    <row r="169" spans="1:14" x14ac:dyDescent="0.3">
      <c r="A169" s="3">
        <v>4042</v>
      </c>
      <c r="B169" s="3" t="s">
        <v>37</v>
      </c>
      <c r="C169" s="3">
        <v>2</v>
      </c>
      <c r="D169" s="3" t="s">
        <v>9</v>
      </c>
      <c r="E169" s="6">
        <v>1010.02</v>
      </c>
      <c r="F169" s="6">
        <v>870</v>
      </c>
      <c r="G169" s="6">
        <v>140.02000000000001</v>
      </c>
      <c r="H169" s="5">
        <v>16.09</v>
      </c>
      <c r="I169" s="13">
        <f t="shared" ca="1" si="14"/>
        <v>60</v>
      </c>
      <c r="J169" s="52">
        <f t="shared" ca="1" si="18"/>
        <v>64</v>
      </c>
      <c r="K169" s="51">
        <f t="shared" si="15"/>
        <v>505.01</v>
      </c>
      <c r="L169" s="13">
        <f t="shared" ca="1" si="16"/>
        <v>17</v>
      </c>
      <c r="M169" s="52">
        <f t="shared" si="17"/>
        <v>6.6666666666666666E-2</v>
      </c>
      <c r="N169" s="13">
        <f t="shared" ca="1" si="19"/>
        <v>4</v>
      </c>
    </row>
    <row r="170" spans="1:14" x14ac:dyDescent="0.3">
      <c r="A170" s="3">
        <v>4105</v>
      </c>
      <c r="B170" s="3" t="s">
        <v>54</v>
      </c>
      <c r="C170" s="3">
        <v>77</v>
      </c>
      <c r="D170" s="3" t="s">
        <v>9</v>
      </c>
      <c r="E170" s="6">
        <v>688.04</v>
      </c>
      <c r="F170" s="6">
        <v>685.3</v>
      </c>
      <c r="G170" s="6">
        <v>2.74</v>
      </c>
      <c r="H170" s="5">
        <v>0.4</v>
      </c>
      <c r="I170" s="13">
        <f t="shared" ca="1" si="14"/>
        <v>250</v>
      </c>
      <c r="J170" s="52">
        <f t="shared" ca="1" si="18"/>
        <v>455</v>
      </c>
      <c r="K170" s="51">
        <f t="shared" si="15"/>
        <v>8.9355844155844153</v>
      </c>
      <c r="L170" s="13">
        <f t="shared" ca="1" si="16"/>
        <v>28</v>
      </c>
      <c r="M170" s="52">
        <f t="shared" si="17"/>
        <v>2.5666666666666669</v>
      </c>
      <c r="N170" s="13">
        <f t="shared" ca="1" si="19"/>
        <v>8</v>
      </c>
    </row>
    <row r="171" spans="1:14" x14ac:dyDescent="0.3">
      <c r="A171" s="3">
        <v>4105</v>
      </c>
      <c r="B171" s="3" t="s">
        <v>166</v>
      </c>
      <c r="C171" s="3">
        <v>25</v>
      </c>
      <c r="D171" s="3" t="s">
        <v>9</v>
      </c>
      <c r="E171" s="6">
        <v>213.75</v>
      </c>
      <c r="F171" s="6">
        <v>222.5</v>
      </c>
      <c r="G171" s="6">
        <v>-8.75</v>
      </c>
      <c r="H171" s="5">
        <v>-3.93</v>
      </c>
      <c r="I171" s="13">
        <f t="shared" ca="1" si="14"/>
        <v>542</v>
      </c>
      <c r="J171" s="52">
        <f t="shared" ca="1" si="18"/>
        <v>566</v>
      </c>
      <c r="K171" s="51">
        <f t="shared" si="15"/>
        <v>8.5500000000000007</v>
      </c>
      <c r="L171" s="13">
        <f t="shared" ca="1" si="16"/>
        <v>3</v>
      </c>
      <c r="M171" s="52">
        <f t="shared" si="17"/>
        <v>0.83333333333333337</v>
      </c>
      <c r="N171" s="13">
        <f t="shared" ca="1" si="19"/>
        <v>4</v>
      </c>
    </row>
    <row r="172" spans="1:14" x14ac:dyDescent="0.3">
      <c r="A172" s="3">
        <v>4143</v>
      </c>
      <c r="B172" s="3" t="s">
        <v>143</v>
      </c>
      <c r="C172" s="3">
        <v>48</v>
      </c>
      <c r="D172" s="3" t="s">
        <v>9</v>
      </c>
      <c r="E172" s="6">
        <v>261.33</v>
      </c>
      <c r="F172" s="6">
        <v>177.6</v>
      </c>
      <c r="G172" s="6">
        <v>83.73</v>
      </c>
      <c r="H172" s="5">
        <v>47.15</v>
      </c>
      <c r="I172" s="13">
        <f t="shared" ca="1" si="14"/>
        <v>123</v>
      </c>
      <c r="J172" s="52">
        <f t="shared" ca="1" si="18"/>
        <v>207</v>
      </c>
      <c r="K172" s="51">
        <f t="shared" si="15"/>
        <v>5.444375</v>
      </c>
      <c r="L172" s="13">
        <f t="shared" ca="1" si="16"/>
        <v>7</v>
      </c>
      <c r="M172" s="52">
        <f t="shared" si="17"/>
        <v>1.6</v>
      </c>
      <c r="N172" s="13">
        <f t="shared" ca="1" si="19"/>
        <v>8</v>
      </c>
    </row>
    <row r="173" spans="1:14" x14ac:dyDescent="0.3">
      <c r="A173" s="3">
        <v>4180</v>
      </c>
      <c r="B173" s="3" t="s">
        <v>96</v>
      </c>
      <c r="C173" s="3">
        <v>2</v>
      </c>
      <c r="D173" s="3" t="s">
        <v>9</v>
      </c>
      <c r="E173" s="6">
        <v>356</v>
      </c>
      <c r="F173" s="6">
        <v>356</v>
      </c>
      <c r="G173" s="6">
        <v>0</v>
      </c>
      <c r="H173" s="5">
        <v>0</v>
      </c>
      <c r="I173" s="13">
        <f t="shared" ca="1" si="14"/>
        <v>206</v>
      </c>
      <c r="J173" s="52">
        <f t="shared" ca="1" si="18"/>
        <v>215</v>
      </c>
      <c r="K173" s="51">
        <f t="shared" si="15"/>
        <v>178</v>
      </c>
      <c r="L173" s="13">
        <f t="shared" ca="1" si="16"/>
        <v>8</v>
      </c>
      <c r="M173" s="52">
        <f t="shared" si="17"/>
        <v>6.6666666666666666E-2</v>
      </c>
      <c r="N173" s="13">
        <f t="shared" ca="1" si="19"/>
        <v>9</v>
      </c>
    </row>
    <row r="174" spans="1:14" x14ac:dyDescent="0.3">
      <c r="A174" s="3">
        <v>4204</v>
      </c>
      <c r="B174" s="3" t="s">
        <v>40</v>
      </c>
      <c r="C174" s="5">
        <v>76.5</v>
      </c>
      <c r="D174" s="3" t="s">
        <v>9</v>
      </c>
      <c r="E174" s="6">
        <v>957.98</v>
      </c>
      <c r="F174" s="6">
        <v>833.85</v>
      </c>
      <c r="G174" s="6">
        <v>124.13</v>
      </c>
      <c r="H174" s="5">
        <v>14.89</v>
      </c>
      <c r="I174" s="13">
        <f t="shared" ca="1" si="14"/>
        <v>548</v>
      </c>
      <c r="J174" s="52">
        <f t="shared" ca="1" si="18"/>
        <v>750</v>
      </c>
      <c r="K174" s="51">
        <f t="shared" si="15"/>
        <v>12.522614379084967</v>
      </c>
      <c r="L174" s="13">
        <f t="shared" ca="1" si="16"/>
        <v>17</v>
      </c>
      <c r="M174" s="52">
        <f t="shared" si="17"/>
        <v>2.5499999999999998</v>
      </c>
      <c r="N174" s="13">
        <f t="shared" ca="1" si="19"/>
        <v>7</v>
      </c>
    </row>
    <row r="175" spans="1:14" x14ac:dyDescent="0.3">
      <c r="A175" s="3">
        <v>4207</v>
      </c>
      <c r="B175" s="3" t="s">
        <v>158</v>
      </c>
      <c r="C175" s="3">
        <v>2</v>
      </c>
      <c r="D175" s="3" t="s">
        <v>9</v>
      </c>
      <c r="E175" s="6">
        <v>236</v>
      </c>
      <c r="F175" s="6">
        <v>236</v>
      </c>
      <c r="G175" s="6">
        <v>0</v>
      </c>
      <c r="H175" s="5">
        <v>0</v>
      </c>
      <c r="I175" s="13">
        <f t="shared" ca="1" si="14"/>
        <v>74</v>
      </c>
      <c r="J175" s="52">
        <f t="shared" ca="1" si="18"/>
        <v>82</v>
      </c>
      <c r="K175" s="51">
        <f t="shared" si="15"/>
        <v>118</v>
      </c>
      <c r="L175" s="13">
        <f t="shared" ca="1" si="16"/>
        <v>22</v>
      </c>
      <c r="M175" s="52">
        <f t="shared" si="17"/>
        <v>6.6666666666666666E-2</v>
      </c>
      <c r="N175" s="13">
        <f t="shared" ca="1" si="19"/>
        <v>8</v>
      </c>
    </row>
    <row r="176" spans="1:14" x14ac:dyDescent="0.3">
      <c r="A176" s="3">
        <v>4293</v>
      </c>
      <c r="B176" s="3" t="s">
        <v>70</v>
      </c>
      <c r="C176" s="3">
        <v>13</v>
      </c>
      <c r="D176" s="3" t="s">
        <v>12</v>
      </c>
      <c r="E176" s="6">
        <v>473.68</v>
      </c>
      <c r="F176" s="6">
        <v>429</v>
      </c>
      <c r="G176" s="6">
        <v>44.68</v>
      </c>
      <c r="H176" s="5">
        <v>10.41</v>
      </c>
      <c r="I176" s="13">
        <f t="shared" ca="1" si="14"/>
        <v>97</v>
      </c>
      <c r="J176" s="52">
        <f t="shared" ca="1" si="18"/>
        <v>104</v>
      </c>
      <c r="K176" s="51">
        <f t="shared" si="15"/>
        <v>36.43692307692308</v>
      </c>
      <c r="L176" s="13">
        <f t="shared" ca="1" si="16"/>
        <v>3</v>
      </c>
      <c r="M176" s="52">
        <f t="shared" si="17"/>
        <v>0.43333333333333335</v>
      </c>
      <c r="N176" s="13">
        <f t="shared" ca="1" si="19"/>
        <v>2</v>
      </c>
    </row>
    <row r="177" spans="1:14" x14ac:dyDescent="0.3">
      <c r="A177" s="3">
        <v>4325</v>
      </c>
      <c r="B177" s="3" t="s">
        <v>174</v>
      </c>
      <c r="C177" s="3">
        <v>1</v>
      </c>
      <c r="D177" s="3" t="s">
        <v>9</v>
      </c>
      <c r="E177" s="6">
        <v>204</v>
      </c>
      <c r="F177" s="6">
        <v>188.8</v>
      </c>
      <c r="G177" s="6">
        <v>15.2</v>
      </c>
      <c r="H177" s="5">
        <v>8.0500000000000007</v>
      </c>
      <c r="I177" s="13">
        <f t="shared" ca="1" si="14"/>
        <v>211</v>
      </c>
      <c r="J177" s="52">
        <f t="shared" ca="1" si="18"/>
        <v>214</v>
      </c>
      <c r="K177" s="51">
        <f t="shared" si="15"/>
        <v>204</v>
      </c>
      <c r="L177" s="13">
        <f t="shared" ca="1" si="16"/>
        <v>6</v>
      </c>
      <c r="M177" s="52">
        <f t="shared" si="17"/>
        <v>3.3333333333333333E-2</v>
      </c>
      <c r="N177" s="13">
        <f t="shared" ca="1" si="19"/>
        <v>3</v>
      </c>
    </row>
    <row r="178" spans="1:14" x14ac:dyDescent="0.3">
      <c r="A178" s="3">
        <v>4358</v>
      </c>
      <c r="B178" s="3" t="s">
        <v>94</v>
      </c>
      <c r="C178" s="3">
        <v>105</v>
      </c>
      <c r="D178" s="3" t="s">
        <v>9</v>
      </c>
      <c r="E178" s="6">
        <v>366.4</v>
      </c>
      <c r="F178" s="6">
        <v>409.5</v>
      </c>
      <c r="G178" s="6">
        <v>-43.1</v>
      </c>
      <c r="H178" s="5">
        <v>-10.53</v>
      </c>
      <c r="I178" s="13">
        <f t="shared" ca="1" si="14"/>
        <v>330</v>
      </c>
      <c r="J178" s="52">
        <f t="shared" ca="1" si="18"/>
        <v>705</v>
      </c>
      <c r="K178" s="51">
        <f t="shared" si="15"/>
        <v>3.4895238095238095</v>
      </c>
      <c r="L178" s="13">
        <f t="shared" ca="1" si="16"/>
        <v>17</v>
      </c>
      <c r="M178" s="52">
        <f t="shared" si="17"/>
        <v>3.5</v>
      </c>
      <c r="N178" s="13">
        <f t="shared" ca="1" si="19"/>
        <v>8</v>
      </c>
    </row>
    <row r="179" spans="1:14" x14ac:dyDescent="0.3">
      <c r="A179" s="3">
        <v>4545</v>
      </c>
      <c r="B179" s="3" t="s">
        <v>17</v>
      </c>
      <c r="C179" s="3">
        <v>4</v>
      </c>
      <c r="D179" s="3" t="s">
        <v>9</v>
      </c>
      <c r="E179" s="6">
        <v>1683.51</v>
      </c>
      <c r="F179" s="6">
        <v>1600</v>
      </c>
      <c r="G179" s="6">
        <v>83.51</v>
      </c>
      <c r="H179" s="5">
        <v>5.22</v>
      </c>
      <c r="I179" s="13">
        <f t="shared" ca="1" si="14"/>
        <v>211</v>
      </c>
      <c r="J179" s="52">
        <f t="shared" ca="1" si="18"/>
        <v>218</v>
      </c>
      <c r="K179" s="51">
        <f t="shared" si="15"/>
        <v>420.8775</v>
      </c>
      <c r="L179" s="13">
        <f t="shared" ca="1" si="16"/>
        <v>4</v>
      </c>
      <c r="M179" s="52">
        <f t="shared" si="17"/>
        <v>0.13333333333333333</v>
      </c>
      <c r="N179" s="13">
        <f t="shared" ca="1" si="19"/>
        <v>7</v>
      </c>
    </row>
    <row r="180" spans="1:14" x14ac:dyDescent="0.3">
      <c r="A180" s="3">
        <v>4561</v>
      </c>
      <c r="B180" s="3" t="s">
        <v>113</v>
      </c>
      <c r="C180" s="5">
        <v>29.5</v>
      </c>
      <c r="D180" s="3" t="s">
        <v>12</v>
      </c>
      <c r="E180" s="6">
        <v>314</v>
      </c>
      <c r="F180" s="6">
        <v>318.60000000000002</v>
      </c>
      <c r="G180" s="6">
        <v>-4.5999999999999996</v>
      </c>
      <c r="H180" s="5">
        <v>-1.44</v>
      </c>
      <c r="I180" s="13">
        <f t="shared" ca="1" si="14"/>
        <v>217</v>
      </c>
      <c r="J180" s="52">
        <f t="shared" ca="1" si="18"/>
        <v>251</v>
      </c>
      <c r="K180" s="51">
        <f t="shared" si="15"/>
        <v>10.64406779661017</v>
      </c>
      <c r="L180" s="13">
        <f t="shared" ca="1" si="16"/>
        <v>30</v>
      </c>
      <c r="M180" s="52">
        <f t="shared" si="17"/>
        <v>0.98333333333333328</v>
      </c>
      <c r="N180" s="13">
        <f t="shared" ca="1" si="19"/>
        <v>5</v>
      </c>
    </row>
    <row r="181" spans="1:14" x14ac:dyDescent="0.3">
      <c r="A181" s="3">
        <v>4582</v>
      </c>
      <c r="B181" s="3" t="s">
        <v>109</v>
      </c>
      <c r="C181" s="3">
        <v>67</v>
      </c>
      <c r="D181" s="3" t="s">
        <v>9</v>
      </c>
      <c r="E181" s="6">
        <v>332.75</v>
      </c>
      <c r="F181" s="6">
        <v>368.5</v>
      </c>
      <c r="G181" s="6">
        <v>-35.75</v>
      </c>
      <c r="H181" s="5">
        <v>-9.6999999999999993</v>
      </c>
      <c r="I181" s="13">
        <f t="shared" ca="1" si="14"/>
        <v>94</v>
      </c>
      <c r="J181" s="52">
        <f t="shared" ca="1" si="18"/>
        <v>250</v>
      </c>
      <c r="K181" s="51">
        <f t="shared" si="15"/>
        <v>4.9664179104477615</v>
      </c>
      <c r="L181" s="13">
        <f t="shared" ca="1" si="16"/>
        <v>18</v>
      </c>
      <c r="M181" s="52">
        <f t="shared" si="17"/>
        <v>2.2333333333333334</v>
      </c>
      <c r="N181" s="13">
        <f t="shared" ca="1" si="19"/>
        <v>7</v>
      </c>
    </row>
    <row r="182" spans="1:14" x14ac:dyDescent="0.3">
      <c r="A182" s="3">
        <v>4594</v>
      </c>
      <c r="B182" s="3" t="s">
        <v>45</v>
      </c>
      <c r="C182" s="3">
        <v>37</v>
      </c>
      <c r="D182" s="3" t="s">
        <v>9</v>
      </c>
      <c r="E182" s="6">
        <v>858.83</v>
      </c>
      <c r="F182" s="6">
        <v>647.5</v>
      </c>
      <c r="G182" s="6">
        <v>211.33</v>
      </c>
      <c r="H182" s="5">
        <v>32.64</v>
      </c>
      <c r="I182" s="13">
        <f t="shared" ca="1" si="14"/>
        <v>315</v>
      </c>
      <c r="J182" s="52">
        <f t="shared" ca="1" si="18"/>
        <v>366</v>
      </c>
      <c r="K182" s="51">
        <f t="shared" si="15"/>
        <v>23.211621621621624</v>
      </c>
      <c r="L182" s="13">
        <f t="shared" ca="1" si="16"/>
        <v>13</v>
      </c>
      <c r="M182" s="52">
        <f t="shared" si="17"/>
        <v>1.2333333333333334</v>
      </c>
      <c r="N182" s="13">
        <f t="shared" ca="1" si="19"/>
        <v>6</v>
      </c>
    </row>
    <row r="183" spans="1:14" x14ac:dyDescent="0.3">
      <c r="A183" s="3">
        <v>4614</v>
      </c>
      <c r="B183" s="3" t="s">
        <v>138</v>
      </c>
      <c r="C183" s="3">
        <v>1</v>
      </c>
      <c r="D183" s="3" t="s">
        <v>9</v>
      </c>
      <c r="E183" s="6">
        <v>268.83</v>
      </c>
      <c r="F183" s="6">
        <v>315</v>
      </c>
      <c r="G183" s="6">
        <v>-46.17</v>
      </c>
      <c r="H183" s="5">
        <v>-14.66</v>
      </c>
      <c r="I183" s="13">
        <f t="shared" ca="1" si="14"/>
        <v>594</v>
      </c>
      <c r="J183" s="52">
        <f t="shared" ca="1" si="18"/>
        <v>601</v>
      </c>
      <c r="K183" s="51">
        <f t="shared" si="15"/>
        <v>268.83</v>
      </c>
      <c r="L183" s="13">
        <f t="shared" ca="1" si="16"/>
        <v>16</v>
      </c>
      <c r="M183" s="52">
        <f t="shared" si="17"/>
        <v>3.3333333333333333E-2</v>
      </c>
      <c r="N183" s="13">
        <f t="shared" ca="1" si="19"/>
        <v>7</v>
      </c>
    </row>
    <row r="184" spans="1:14" x14ac:dyDescent="0.3">
      <c r="A184" s="3">
        <v>4615</v>
      </c>
      <c r="B184" s="3" t="s">
        <v>23</v>
      </c>
      <c r="C184" s="3">
        <v>25</v>
      </c>
      <c r="D184" s="3" t="s">
        <v>9</v>
      </c>
      <c r="E184" s="6">
        <v>1509.18</v>
      </c>
      <c r="F184" s="6">
        <v>1442.5</v>
      </c>
      <c r="G184" s="6">
        <v>66.680000000000007</v>
      </c>
      <c r="H184" s="5">
        <v>4.62</v>
      </c>
      <c r="I184" s="13">
        <f t="shared" ca="1" si="14"/>
        <v>369</v>
      </c>
      <c r="J184" s="52">
        <f t="shared" ca="1" si="18"/>
        <v>394</v>
      </c>
      <c r="K184" s="51">
        <f t="shared" si="15"/>
        <v>60.367200000000004</v>
      </c>
      <c r="L184" s="13">
        <f t="shared" ca="1" si="16"/>
        <v>3</v>
      </c>
      <c r="M184" s="52">
        <f t="shared" si="17"/>
        <v>0.83333333333333337</v>
      </c>
      <c r="N184" s="13">
        <f t="shared" ca="1" si="19"/>
        <v>5</v>
      </c>
    </row>
    <row r="185" spans="1:14" x14ac:dyDescent="0.3">
      <c r="A185" s="3">
        <v>4621</v>
      </c>
      <c r="B185" s="3" t="s">
        <v>145</v>
      </c>
      <c r="C185" s="3">
        <v>1</v>
      </c>
      <c r="D185" s="3" t="s">
        <v>9</v>
      </c>
      <c r="E185" s="6">
        <v>257.39999999999998</v>
      </c>
      <c r="F185" s="6">
        <v>257.39999999999998</v>
      </c>
      <c r="G185" s="6">
        <v>0</v>
      </c>
      <c r="H185" s="5">
        <v>0</v>
      </c>
      <c r="I185" s="13">
        <f t="shared" ca="1" si="14"/>
        <v>92</v>
      </c>
      <c r="J185" s="52">
        <f t="shared" ca="1" si="18"/>
        <v>94</v>
      </c>
      <c r="K185" s="51">
        <f t="shared" si="15"/>
        <v>257.39999999999998</v>
      </c>
      <c r="L185" s="13">
        <f t="shared" ca="1" si="16"/>
        <v>21</v>
      </c>
      <c r="M185" s="52">
        <f t="shared" si="17"/>
        <v>3.3333333333333333E-2</v>
      </c>
      <c r="N185" s="13">
        <f t="shared" ca="1" si="19"/>
        <v>2</v>
      </c>
    </row>
    <row r="186" spans="1:14" x14ac:dyDescent="0.3">
      <c r="A186" s="3">
        <v>4622</v>
      </c>
      <c r="B186" s="3" t="s">
        <v>152</v>
      </c>
      <c r="C186" s="3">
        <v>2</v>
      </c>
      <c r="D186" s="3" t="s">
        <v>9</v>
      </c>
      <c r="E186" s="6">
        <v>243.7</v>
      </c>
      <c r="F186" s="6">
        <v>230</v>
      </c>
      <c r="G186" s="6">
        <v>13.7</v>
      </c>
      <c r="H186" s="5">
        <v>5.96</v>
      </c>
      <c r="I186" s="13">
        <f t="shared" ca="1" si="14"/>
        <v>125</v>
      </c>
      <c r="J186" s="52">
        <f t="shared" ca="1" si="18"/>
        <v>134</v>
      </c>
      <c r="K186" s="51">
        <f t="shared" si="15"/>
        <v>121.85</v>
      </c>
      <c r="L186" s="13">
        <f t="shared" ca="1" si="16"/>
        <v>5</v>
      </c>
      <c r="M186" s="52">
        <f t="shared" si="17"/>
        <v>6.6666666666666666E-2</v>
      </c>
      <c r="N186" s="13">
        <f t="shared" ca="1" si="19"/>
        <v>9</v>
      </c>
    </row>
    <row r="187" spans="1:14" x14ac:dyDescent="0.3">
      <c r="A187" s="3">
        <v>4656</v>
      </c>
      <c r="B187" s="3" t="s">
        <v>209</v>
      </c>
      <c r="C187" s="3">
        <v>19</v>
      </c>
      <c r="D187" s="3" t="s">
        <v>9</v>
      </c>
      <c r="E187" s="6">
        <v>177.8</v>
      </c>
      <c r="F187" s="6">
        <v>182.4</v>
      </c>
      <c r="G187" s="6">
        <v>-4.5999999999999996</v>
      </c>
      <c r="H187" s="5">
        <v>-2.52</v>
      </c>
      <c r="I187" s="13">
        <f t="shared" ca="1" si="14"/>
        <v>343</v>
      </c>
      <c r="J187" s="52">
        <f t="shared" ca="1" si="18"/>
        <v>364</v>
      </c>
      <c r="K187" s="51">
        <f t="shared" si="15"/>
        <v>9.3578947368421055</v>
      </c>
      <c r="L187" s="13">
        <f t="shared" ca="1" si="16"/>
        <v>2</v>
      </c>
      <c r="M187" s="52">
        <f t="shared" si="17"/>
        <v>0.6333333333333333</v>
      </c>
      <c r="N187" s="13">
        <f t="shared" ca="1" si="19"/>
        <v>9</v>
      </c>
    </row>
    <row r="188" spans="1:14" x14ac:dyDescent="0.3">
      <c r="A188" s="3">
        <v>4668</v>
      </c>
      <c r="B188" s="3" t="s">
        <v>150</v>
      </c>
      <c r="C188" s="3">
        <v>19</v>
      </c>
      <c r="D188" s="3" t="s">
        <v>9</v>
      </c>
      <c r="E188" s="6">
        <v>244.59</v>
      </c>
      <c r="F188" s="6">
        <v>247</v>
      </c>
      <c r="G188" s="6">
        <v>-2.41</v>
      </c>
      <c r="H188" s="5">
        <v>-0.98</v>
      </c>
      <c r="I188" s="13">
        <f t="shared" ca="1" si="14"/>
        <v>176</v>
      </c>
      <c r="J188" s="52">
        <f t="shared" ca="1" si="18"/>
        <v>191</v>
      </c>
      <c r="K188" s="51">
        <f t="shared" si="15"/>
        <v>12.873157894736842</v>
      </c>
      <c r="L188" s="13">
        <f t="shared" ca="1" si="16"/>
        <v>28</v>
      </c>
      <c r="M188" s="52">
        <f t="shared" si="17"/>
        <v>0.6333333333333333</v>
      </c>
      <c r="N188" s="13">
        <f t="shared" ca="1" si="19"/>
        <v>3</v>
      </c>
    </row>
    <row r="189" spans="1:14" x14ac:dyDescent="0.3">
      <c r="A189" s="3">
        <v>4684</v>
      </c>
      <c r="B189" s="3" t="s">
        <v>121</v>
      </c>
      <c r="C189" s="3">
        <v>1</v>
      </c>
      <c r="D189" s="3" t="s">
        <v>9</v>
      </c>
      <c r="E189" s="6">
        <v>297.83</v>
      </c>
      <c r="F189" s="6">
        <v>330</v>
      </c>
      <c r="G189" s="6">
        <v>-32.17</v>
      </c>
      <c r="H189" s="5">
        <v>-9.75</v>
      </c>
      <c r="I189" s="13">
        <f t="shared" ca="1" si="14"/>
        <v>591</v>
      </c>
      <c r="J189" s="52">
        <f t="shared" ca="1" si="18"/>
        <v>599</v>
      </c>
      <c r="K189" s="51">
        <f t="shared" si="15"/>
        <v>297.83</v>
      </c>
      <c r="L189" s="13">
        <f t="shared" ca="1" si="16"/>
        <v>2</v>
      </c>
      <c r="M189" s="52">
        <f t="shared" si="17"/>
        <v>3.3333333333333333E-2</v>
      </c>
      <c r="N189" s="13">
        <f t="shared" ca="1" si="19"/>
        <v>8</v>
      </c>
    </row>
    <row r="190" spans="1:14" x14ac:dyDescent="0.3">
      <c r="A190" s="3">
        <v>4686</v>
      </c>
      <c r="B190" s="3" t="s">
        <v>14</v>
      </c>
      <c r="C190" s="3">
        <v>17</v>
      </c>
      <c r="D190" s="3" t="s">
        <v>9</v>
      </c>
      <c r="E190" s="6">
        <v>1784.11</v>
      </c>
      <c r="F190" s="6">
        <v>1785</v>
      </c>
      <c r="G190" s="6">
        <v>-0.89</v>
      </c>
      <c r="H190" s="5">
        <v>-0.05</v>
      </c>
      <c r="I190" s="13">
        <f t="shared" ca="1" si="14"/>
        <v>57</v>
      </c>
      <c r="J190" s="52">
        <f t="shared" ca="1" si="18"/>
        <v>71</v>
      </c>
      <c r="K190" s="51">
        <f t="shared" si="15"/>
        <v>104.94764705882352</v>
      </c>
      <c r="L190" s="13">
        <f t="shared" ca="1" si="16"/>
        <v>16</v>
      </c>
      <c r="M190" s="52">
        <f t="shared" si="17"/>
        <v>0.56666666666666665</v>
      </c>
      <c r="N190" s="13">
        <f t="shared" ca="1" si="19"/>
        <v>5</v>
      </c>
    </row>
    <row r="191" spans="1:14" x14ac:dyDescent="0.3">
      <c r="A191" s="3">
        <v>4694</v>
      </c>
      <c r="B191" s="3" t="s">
        <v>85</v>
      </c>
      <c r="C191" s="3">
        <v>1</v>
      </c>
      <c r="D191" s="3" t="s">
        <v>86</v>
      </c>
      <c r="E191" s="6">
        <v>389</v>
      </c>
      <c r="F191" s="6">
        <v>306</v>
      </c>
      <c r="G191" s="6">
        <v>83</v>
      </c>
      <c r="H191" s="5">
        <v>27.12</v>
      </c>
      <c r="I191" s="13">
        <f t="shared" ca="1" si="14"/>
        <v>316</v>
      </c>
      <c r="J191" s="52">
        <f t="shared" ca="1" si="18"/>
        <v>320</v>
      </c>
      <c r="K191" s="51">
        <f t="shared" si="15"/>
        <v>389</v>
      </c>
      <c r="L191" s="13">
        <f t="shared" ca="1" si="16"/>
        <v>2</v>
      </c>
      <c r="M191" s="52">
        <f t="shared" si="17"/>
        <v>3.3333333333333333E-2</v>
      </c>
      <c r="N191" s="13">
        <f t="shared" ca="1" si="19"/>
        <v>4</v>
      </c>
    </row>
    <row r="192" spans="1:14" x14ac:dyDescent="0.3">
      <c r="A192" s="3">
        <v>4730</v>
      </c>
      <c r="B192" s="3" t="s">
        <v>100</v>
      </c>
      <c r="C192" s="3">
        <v>13</v>
      </c>
      <c r="D192" s="3" t="s">
        <v>9</v>
      </c>
      <c r="E192" s="6">
        <v>353.81</v>
      </c>
      <c r="F192" s="6">
        <v>409.5</v>
      </c>
      <c r="G192" s="6">
        <v>-55.69</v>
      </c>
      <c r="H192" s="5">
        <v>-13.6</v>
      </c>
      <c r="I192" s="13">
        <f t="shared" ca="1" si="14"/>
        <v>428</v>
      </c>
      <c r="J192" s="52">
        <f t="shared" ca="1" si="18"/>
        <v>437</v>
      </c>
      <c r="K192" s="51">
        <f t="shared" si="15"/>
        <v>27.216153846153848</v>
      </c>
      <c r="L192" s="13">
        <f t="shared" ca="1" si="16"/>
        <v>12</v>
      </c>
      <c r="M192" s="52">
        <f t="shared" si="17"/>
        <v>0.43333333333333335</v>
      </c>
      <c r="N192" s="13">
        <f t="shared" ca="1" si="19"/>
        <v>4</v>
      </c>
    </row>
    <row r="193" spans="1:14" x14ac:dyDescent="0.3">
      <c r="A193" s="3">
        <v>4797</v>
      </c>
      <c r="B193" s="3" t="s">
        <v>79</v>
      </c>
      <c r="C193" s="3">
        <v>1</v>
      </c>
      <c r="D193" s="3" t="s">
        <v>9</v>
      </c>
      <c r="E193" s="6">
        <v>435</v>
      </c>
      <c r="F193" s="6">
        <v>435</v>
      </c>
      <c r="G193" s="6">
        <v>0</v>
      </c>
      <c r="H193" s="5">
        <v>0</v>
      </c>
      <c r="I193" s="13">
        <f t="shared" ca="1" si="14"/>
        <v>73</v>
      </c>
      <c r="J193" s="52">
        <f t="shared" ca="1" si="18"/>
        <v>77</v>
      </c>
      <c r="K193" s="51">
        <f t="shared" si="15"/>
        <v>435</v>
      </c>
      <c r="L193" s="13">
        <f t="shared" ca="1" si="16"/>
        <v>4</v>
      </c>
      <c r="M193" s="52">
        <f t="shared" si="17"/>
        <v>3.3333333333333333E-2</v>
      </c>
      <c r="N193" s="13">
        <f t="shared" ca="1" si="19"/>
        <v>4</v>
      </c>
    </row>
    <row r="194" spans="1:14" x14ac:dyDescent="0.3">
      <c r="A194" s="3">
        <v>4819</v>
      </c>
      <c r="B194" s="3" t="s">
        <v>132</v>
      </c>
      <c r="C194" s="3">
        <v>2</v>
      </c>
      <c r="D194" s="3" t="s">
        <v>25</v>
      </c>
      <c r="E194" s="6">
        <v>277.51</v>
      </c>
      <c r="F194" s="6">
        <v>270</v>
      </c>
      <c r="G194" s="6">
        <v>7.51</v>
      </c>
      <c r="H194" s="5">
        <v>2.78</v>
      </c>
      <c r="I194" s="13">
        <f t="shared" ca="1" si="14"/>
        <v>225</v>
      </c>
      <c r="J194" s="52">
        <f t="shared" ca="1" si="18"/>
        <v>232</v>
      </c>
      <c r="K194" s="51">
        <f t="shared" si="15"/>
        <v>138.755</v>
      </c>
      <c r="L194" s="13">
        <f t="shared" ca="1" si="16"/>
        <v>4</v>
      </c>
      <c r="M194" s="52">
        <f t="shared" si="17"/>
        <v>6.6666666666666666E-2</v>
      </c>
      <c r="N194" s="13">
        <f t="shared" ca="1" si="19"/>
        <v>7</v>
      </c>
    </row>
    <row r="195" spans="1:14" x14ac:dyDescent="0.3">
      <c r="A195" s="3">
        <v>4830</v>
      </c>
      <c r="B195" s="3" t="s">
        <v>213</v>
      </c>
      <c r="C195" s="3">
        <v>6</v>
      </c>
      <c r="D195" s="3" t="s">
        <v>34</v>
      </c>
      <c r="E195" s="6">
        <v>171.82</v>
      </c>
      <c r="F195" s="6">
        <v>168</v>
      </c>
      <c r="G195" s="6">
        <v>3.82</v>
      </c>
      <c r="H195" s="5">
        <v>2.27</v>
      </c>
      <c r="I195" s="13">
        <f t="shared" ref="I195:I207" ca="1" si="20">RANDBETWEEN(40,600)</f>
        <v>65</v>
      </c>
      <c r="J195" s="52">
        <f t="shared" ca="1" si="18"/>
        <v>72</v>
      </c>
      <c r="K195" s="51">
        <f t="shared" ref="K195:K207" si="21">E195/C195</f>
        <v>28.636666666666667</v>
      </c>
      <c r="L195" s="13">
        <f t="shared" ref="L195:L207" ca="1" si="22">RANDBETWEEN(0,30)</f>
        <v>18</v>
      </c>
      <c r="M195" s="52">
        <f t="shared" ref="M195:M207" si="23">C195/30</f>
        <v>0.2</v>
      </c>
      <c r="N195" s="13">
        <f t="shared" ca="1" si="19"/>
        <v>6</v>
      </c>
    </row>
    <row r="196" spans="1:14" x14ac:dyDescent="0.3">
      <c r="A196" s="3">
        <v>4877</v>
      </c>
      <c r="B196" s="3" t="s">
        <v>131</v>
      </c>
      <c r="C196" s="3">
        <v>2</v>
      </c>
      <c r="D196" s="3" t="s">
        <v>25</v>
      </c>
      <c r="E196" s="6">
        <v>277.73</v>
      </c>
      <c r="F196" s="6">
        <v>270</v>
      </c>
      <c r="G196" s="6">
        <v>7.73</v>
      </c>
      <c r="H196" s="5">
        <v>2.86</v>
      </c>
      <c r="I196" s="13">
        <f t="shared" ca="1" si="20"/>
        <v>122</v>
      </c>
      <c r="J196" s="52">
        <f t="shared" ca="1" si="18"/>
        <v>132</v>
      </c>
      <c r="K196" s="51">
        <f t="shared" si="21"/>
        <v>138.86500000000001</v>
      </c>
      <c r="L196" s="13">
        <f t="shared" ca="1" si="22"/>
        <v>2</v>
      </c>
      <c r="M196" s="52">
        <f t="shared" si="23"/>
        <v>6.6666666666666666E-2</v>
      </c>
      <c r="N196" s="13">
        <f t="shared" ca="1" si="19"/>
        <v>10</v>
      </c>
    </row>
    <row r="197" spans="1:14" x14ac:dyDescent="0.3">
      <c r="A197" s="3">
        <v>4897</v>
      </c>
      <c r="B197" s="3" t="s">
        <v>156</v>
      </c>
      <c r="C197" s="3">
        <v>21</v>
      </c>
      <c r="D197" s="3" t="s">
        <v>9</v>
      </c>
      <c r="E197" s="6">
        <v>238.6</v>
      </c>
      <c r="F197" s="6">
        <v>1155</v>
      </c>
      <c r="G197" s="6">
        <v>-916.4</v>
      </c>
      <c r="H197" s="5">
        <v>-79.34</v>
      </c>
      <c r="I197" s="13">
        <f t="shared" ca="1" si="20"/>
        <v>599</v>
      </c>
      <c r="J197" s="52">
        <f t="shared" ref="J197:J207" ca="1" si="24">INT(I197+(C197*M197)+N197)</f>
        <v>616</v>
      </c>
      <c r="K197" s="51">
        <f t="shared" si="21"/>
        <v>11.361904761904762</v>
      </c>
      <c r="L197" s="13">
        <f t="shared" ca="1" si="22"/>
        <v>9</v>
      </c>
      <c r="M197" s="52">
        <f t="shared" si="23"/>
        <v>0.7</v>
      </c>
      <c r="N197" s="13">
        <f t="shared" ca="1" si="19"/>
        <v>3</v>
      </c>
    </row>
    <row r="198" spans="1:14" x14ac:dyDescent="0.3">
      <c r="A198" s="3">
        <v>4920</v>
      </c>
      <c r="B198" s="3" t="s">
        <v>61</v>
      </c>
      <c r="C198" s="3">
        <v>5</v>
      </c>
      <c r="D198" s="3" t="s">
        <v>9</v>
      </c>
      <c r="E198" s="6">
        <v>541.95000000000005</v>
      </c>
      <c r="F198" s="6">
        <v>435</v>
      </c>
      <c r="G198" s="6">
        <v>106.95</v>
      </c>
      <c r="H198" s="5">
        <v>24.59</v>
      </c>
      <c r="I198" s="13">
        <f t="shared" ca="1" si="20"/>
        <v>184</v>
      </c>
      <c r="J198" s="52">
        <f t="shared" ca="1" si="24"/>
        <v>194</v>
      </c>
      <c r="K198" s="51">
        <f t="shared" si="21"/>
        <v>108.39000000000001</v>
      </c>
      <c r="L198" s="13">
        <f t="shared" ca="1" si="22"/>
        <v>25</v>
      </c>
      <c r="M198" s="52">
        <f t="shared" si="23"/>
        <v>0.16666666666666666</v>
      </c>
      <c r="N198" s="13">
        <f t="shared" ca="1" si="19"/>
        <v>10</v>
      </c>
    </row>
    <row r="199" spans="1:14" x14ac:dyDescent="0.3">
      <c r="A199" s="3">
        <v>4933</v>
      </c>
      <c r="B199" s="3" t="s">
        <v>104</v>
      </c>
      <c r="C199" s="5">
        <v>26.85</v>
      </c>
      <c r="D199" s="3" t="s">
        <v>9</v>
      </c>
      <c r="E199" s="6">
        <v>341.06</v>
      </c>
      <c r="F199" s="6">
        <v>362.48</v>
      </c>
      <c r="G199" s="6">
        <v>-21.42</v>
      </c>
      <c r="H199" s="5">
        <v>-5.91</v>
      </c>
      <c r="I199" s="13">
        <f t="shared" ca="1" si="20"/>
        <v>485</v>
      </c>
      <c r="J199" s="52">
        <f t="shared" ca="1" si="24"/>
        <v>516</v>
      </c>
      <c r="K199" s="51">
        <f t="shared" si="21"/>
        <v>12.7024208566108</v>
      </c>
      <c r="L199" s="13">
        <f t="shared" ca="1" si="22"/>
        <v>11</v>
      </c>
      <c r="M199" s="52">
        <f t="shared" si="23"/>
        <v>0.89500000000000002</v>
      </c>
      <c r="N199" s="13">
        <f t="shared" ca="1" si="19"/>
        <v>7</v>
      </c>
    </row>
    <row r="200" spans="1:14" x14ac:dyDescent="0.3">
      <c r="A200" s="3">
        <v>4951</v>
      </c>
      <c r="B200" s="3" t="s">
        <v>172</v>
      </c>
      <c r="C200" s="3">
        <v>1</v>
      </c>
      <c r="D200" s="3" t="s">
        <v>9</v>
      </c>
      <c r="E200" s="6">
        <v>205</v>
      </c>
      <c r="F200" s="6">
        <v>199</v>
      </c>
      <c r="G200" s="6">
        <v>6</v>
      </c>
      <c r="H200" s="5">
        <v>3.02</v>
      </c>
      <c r="I200" s="13">
        <f t="shared" ca="1" si="20"/>
        <v>181</v>
      </c>
      <c r="J200" s="52">
        <f t="shared" ca="1" si="24"/>
        <v>190</v>
      </c>
      <c r="K200" s="51">
        <f t="shared" si="21"/>
        <v>205</v>
      </c>
      <c r="L200" s="13">
        <f t="shared" ca="1" si="22"/>
        <v>13</v>
      </c>
      <c r="M200" s="52">
        <f t="shared" si="23"/>
        <v>3.3333333333333333E-2</v>
      </c>
      <c r="N200" s="13">
        <f t="shared" ca="1" si="19"/>
        <v>9</v>
      </c>
    </row>
    <row r="201" spans="1:14" x14ac:dyDescent="0.3">
      <c r="A201" s="3">
        <v>5032</v>
      </c>
      <c r="B201" s="3" t="s">
        <v>187</v>
      </c>
      <c r="C201" s="3">
        <v>2</v>
      </c>
      <c r="D201" s="3" t="s">
        <v>9</v>
      </c>
      <c r="E201" s="6">
        <v>192</v>
      </c>
      <c r="F201" s="6">
        <v>210</v>
      </c>
      <c r="G201" s="6">
        <v>-18</v>
      </c>
      <c r="H201" s="5">
        <v>-8.57</v>
      </c>
      <c r="I201" s="13">
        <f t="shared" ca="1" si="20"/>
        <v>113</v>
      </c>
      <c r="J201" s="52">
        <f t="shared" ca="1" si="24"/>
        <v>123</v>
      </c>
      <c r="K201" s="51">
        <f t="shared" si="21"/>
        <v>96</v>
      </c>
      <c r="L201" s="13">
        <f t="shared" ca="1" si="22"/>
        <v>14</v>
      </c>
      <c r="M201" s="52">
        <f t="shared" si="23"/>
        <v>6.6666666666666666E-2</v>
      </c>
      <c r="N201" s="13">
        <f t="shared" ca="1" si="19"/>
        <v>10</v>
      </c>
    </row>
    <row r="202" spans="1:14" x14ac:dyDescent="0.3">
      <c r="A202" s="3">
        <v>5036</v>
      </c>
      <c r="B202" s="3" t="s">
        <v>148</v>
      </c>
      <c r="C202" s="3">
        <v>2</v>
      </c>
      <c r="D202" s="3" t="s">
        <v>9</v>
      </c>
      <c r="E202" s="6">
        <v>248.53</v>
      </c>
      <c r="F202" s="6">
        <v>254</v>
      </c>
      <c r="G202" s="6">
        <v>-5.47</v>
      </c>
      <c r="H202" s="5">
        <v>-2.15</v>
      </c>
      <c r="I202" s="13">
        <f t="shared" ca="1" si="20"/>
        <v>464</v>
      </c>
      <c r="J202" s="52">
        <f t="shared" ca="1" si="24"/>
        <v>467</v>
      </c>
      <c r="K202" s="51">
        <f t="shared" si="21"/>
        <v>124.265</v>
      </c>
      <c r="L202" s="13">
        <f t="shared" ca="1" si="22"/>
        <v>1</v>
      </c>
      <c r="M202" s="52">
        <f t="shared" si="23"/>
        <v>6.6666666666666666E-2</v>
      </c>
      <c r="N202" s="13">
        <f t="shared" ca="1" si="19"/>
        <v>3</v>
      </c>
    </row>
    <row r="203" spans="1:14" x14ac:dyDescent="0.3">
      <c r="A203" s="3">
        <v>5040</v>
      </c>
      <c r="B203" s="3" t="s">
        <v>119</v>
      </c>
      <c r="C203" s="3">
        <v>6</v>
      </c>
      <c r="D203" s="3" t="s">
        <v>9</v>
      </c>
      <c r="E203" s="6">
        <v>299.5</v>
      </c>
      <c r="F203" s="6">
        <v>330</v>
      </c>
      <c r="G203" s="6">
        <v>-30.5</v>
      </c>
      <c r="H203" s="5">
        <v>-9.24</v>
      </c>
      <c r="I203" s="13">
        <f t="shared" ca="1" si="20"/>
        <v>455</v>
      </c>
      <c r="J203" s="52">
        <f t="shared" ca="1" si="24"/>
        <v>457</v>
      </c>
      <c r="K203" s="51">
        <f t="shared" si="21"/>
        <v>49.916666666666664</v>
      </c>
      <c r="L203" s="13">
        <f t="shared" ca="1" si="22"/>
        <v>25</v>
      </c>
      <c r="M203" s="52">
        <f t="shared" si="23"/>
        <v>0.2</v>
      </c>
      <c r="N203" s="13">
        <f t="shared" ca="1" si="19"/>
        <v>1</v>
      </c>
    </row>
    <row r="204" spans="1:14" x14ac:dyDescent="0.3">
      <c r="A204" s="3">
        <v>5042</v>
      </c>
      <c r="B204" s="3" t="s">
        <v>111</v>
      </c>
      <c r="C204" s="3">
        <v>1</v>
      </c>
      <c r="D204" s="3" t="s">
        <v>9</v>
      </c>
      <c r="E204" s="6">
        <v>321.63</v>
      </c>
      <c r="F204" s="6">
        <v>322</v>
      </c>
      <c r="G204" s="6">
        <v>-0.37</v>
      </c>
      <c r="H204" s="5">
        <v>-0.11</v>
      </c>
      <c r="I204" s="13">
        <f t="shared" ca="1" si="20"/>
        <v>215</v>
      </c>
      <c r="J204" s="52">
        <f t="shared" ca="1" si="24"/>
        <v>222</v>
      </c>
      <c r="K204" s="51">
        <f t="shared" si="21"/>
        <v>321.63</v>
      </c>
      <c r="L204" s="13">
        <f t="shared" ca="1" si="22"/>
        <v>7</v>
      </c>
      <c r="M204" s="52">
        <f t="shared" si="23"/>
        <v>3.3333333333333333E-2</v>
      </c>
      <c r="N204" s="13">
        <f t="shared" ca="1" si="19"/>
        <v>7</v>
      </c>
    </row>
    <row r="205" spans="1:14" x14ac:dyDescent="0.3">
      <c r="A205" s="3">
        <v>5104</v>
      </c>
      <c r="B205" s="3" t="s">
        <v>36</v>
      </c>
      <c r="C205" s="3">
        <v>1</v>
      </c>
      <c r="D205" s="3" t="s">
        <v>9</v>
      </c>
      <c r="E205" s="6">
        <v>1030.1600000000001</v>
      </c>
      <c r="F205" s="6">
        <v>980</v>
      </c>
      <c r="G205" s="6">
        <v>50.16</v>
      </c>
      <c r="H205" s="5">
        <v>5.12</v>
      </c>
      <c r="I205" s="13">
        <f t="shared" ca="1" si="20"/>
        <v>572</v>
      </c>
      <c r="J205" s="52">
        <f t="shared" ca="1" si="24"/>
        <v>582</v>
      </c>
      <c r="K205" s="51">
        <f t="shared" si="21"/>
        <v>1030.1600000000001</v>
      </c>
      <c r="L205" s="13">
        <f t="shared" ca="1" si="22"/>
        <v>20</v>
      </c>
      <c r="M205" s="52">
        <f t="shared" si="23"/>
        <v>3.3333333333333333E-2</v>
      </c>
      <c r="N205" s="13">
        <f t="shared" ca="1" si="19"/>
        <v>10</v>
      </c>
    </row>
    <row r="206" spans="1:14" x14ac:dyDescent="0.3">
      <c r="A206" s="3">
        <v>5112</v>
      </c>
      <c r="B206" s="3" t="s">
        <v>184</v>
      </c>
      <c r="C206" s="3">
        <v>13</v>
      </c>
      <c r="D206" s="3" t="s">
        <v>9</v>
      </c>
      <c r="E206" s="6">
        <v>194.48</v>
      </c>
      <c r="F206" s="6">
        <v>205.4</v>
      </c>
      <c r="G206" s="6">
        <v>-10.92</v>
      </c>
      <c r="H206" s="5">
        <v>-5.32</v>
      </c>
      <c r="I206" s="13">
        <f t="shared" ca="1" si="20"/>
        <v>533</v>
      </c>
      <c r="J206" s="52">
        <f t="shared" ca="1" si="24"/>
        <v>547</v>
      </c>
      <c r="K206" s="51">
        <f t="shared" si="21"/>
        <v>14.959999999999999</v>
      </c>
      <c r="L206" s="13">
        <f t="shared" ca="1" si="22"/>
        <v>10</v>
      </c>
      <c r="M206" s="52">
        <f t="shared" si="23"/>
        <v>0.43333333333333335</v>
      </c>
      <c r="N206" s="13">
        <f t="shared" ca="1" si="19"/>
        <v>9</v>
      </c>
    </row>
    <row r="207" spans="1:14" ht="15" thickBot="1" x14ac:dyDescent="0.35">
      <c r="A207" s="8">
        <v>5133</v>
      </c>
      <c r="B207" s="8" t="s">
        <v>67</v>
      </c>
      <c r="C207" s="8">
        <v>1</v>
      </c>
      <c r="D207" s="8" t="s">
        <v>9</v>
      </c>
      <c r="E207" s="9">
        <v>499.33</v>
      </c>
      <c r="F207" s="9">
        <v>555</v>
      </c>
      <c r="G207" s="9">
        <v>-55.67</v>
      </c>
      <c r="H207" s="10">
        <v>-10.029999999999999</v>
      </c>
      <c r="I207" s="13">
        <f t="shared" ca="1" si="20"/>
        <v>115</v>
      </c>
      <c r="J207" s="52">
        <f t="shared" ca="1" si="24"/>
        <v>125</v>
      </c>
      <c r="K207" s="51">
        <f t="shared" si="21"/>
        <v>499.33</v>
      </c>
      <c r="L207" s="13">
        <f t="shared" ca="1" si="22"/>
        <v>20</v>
      </c>
      <c r="M207" s="52">
        <f t="shared" si="23"/>
        <v>3.3333333333333333E-2</v>
      </c>
      <c r="N207" s="13">
        <f t="shared" ca="1" si="19"/>
        <v>10</v>
      </c>
    </row>
  </sheetData>
  <sortState ref="A2:H207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workbookViewId="0">
      <selection activeCell="B15" sqref="B15"/>
    </sheetView>
  </sheetViews>
  <sheetFormatPr defaultRowHeight="14.4" x14ac:dyDescent="0.3"/>
  <cols>
    <col min="1" max="1" width="7.109375" bestFit="1" customWidth="1"/>
    <col min="2" max="2" width="47.44140625" bestFit="1" customWidth="1"/>
    <col min="3" max="3" width="10.5546875" bestFit="1" customWidth="1"/>
    <col min="4" max="4" width="8.44140625" bestFit="1" customWidth="1"/>
    <col min="5" max="7" width="12.109375" bestFit="1" customWidth="1"/>
  </cols>
  <sheetData>
    <row r="1" spans="1:8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3">
      <c r="A2" s="3">
        <v>23</v>
      </c>
      <c r="B2" s="3" t="s">
        <v>280</v>
      </c>
      <c r="C2" s="3">
        <v>44</v>
      </c>
      <c r="D2" s="3" t="s">
        <v>9</v>
      </c>
      <c r="E2" s="6">
        <v>596.66</v>
      </c>
      <c r="F2" s="6">
        <v>337.48</v>
      </c>
      <c r="G2" s="6">
        <v>259.18</v>
      </c>
      <c r="H2" s="5">
        <v>76.8</v>
      </c>
    </row>
    <row r="3" spans="1:8" x14ac:dyDescent="0.3">
      <c r="A3" s="3">
        <v>31</v>
      </c>
      <c r="B3" s="3" t="s">
        <v>379</v>
      </c>
      <c r="C3" s="3">
        <v>2</v>
      </c>
      <c r="D3" s="3" t="s">
        <v>9</v>
      </c>
      <c r="E3" s="6">
        <v>185.39</v>
      </c>
      <c r="F3" s="6">
        <v>150</v>
      </c>
      <c r="G3" s="6">
        <v>35.39</v>
      </c>
      <c r="H3" s="5">
        <v>23.59</v>
      </c>
    </row>
    <row r="4" spans="1:8" x14ac:dyDescent="0.3">
      <c r="A4" s="3">
        <v>49</v>
      </c>
      <c r="B4" s="3" t="s">
        <v>393</v>
      </c>
      <c r="C4" s="3">
        <v>1</v>
      </c>
      <c r="D4" s="3" t="s">
        <v>9</v>
      </c>
      <c r="E4" s="6">
        <v>172</v>
      </c>
      <c r="F4" s="6">
        <v>120.1</v>
      </c>
      <c r="G4" s="6">
        <v>51.9</v>
      </c>
      <c r="H4" s="5">
        <v>43.21</v>
      </c>
    </row>
    <row r="5" spans="1:8" x14ac:dyDescent="0.3">
      <c r="A5" s="3">
        <v>150</v>
      </c>
      <c r="B5" s="3" t="s">
        <v>251</v>
      </c>
      <c r="C5" s="5">
        <v>715.5</v>
      </c>
      <c r="D5" s="3" t="s">
        <v>12</v>
      </c>
      <c r="E5" s="6">
        <v>1011.12</v>
      </c>
      <c r="F5" s="6">
        <v>1109.02</v>
      </c>
      <c r="G5" s="6">
        <v>-97.9</v>
      </c>
      <c r="H5" s="5">
        <v>-8.83</v>
      </c>
    </row>
    <row r="6" spans="1:8" x14ac:dyDescent="0.3">
      <c r="A6" s="3">
        <v>151</v>
      </c>
      <c r="B6" s="3" t="s">
        <v>229</v>
      </c>
      <c r="C6" s="3">
        <v>957</v>
      </c>
      <c r="D6" s="3" t="s">
        <v>12</v>
      </c>
      <c r="E6" s="6">
        <v>2011.03</v>
      </c>
      <c r="F6" s="6">
        <v>2153.25</v>
      </c>
      <c r="G6" s="6">
        <v>-142.22</v>
      </c>
      <c r="H6" s="5">
        <v>-6.6</v>
      </c>
    </row>
    <row r="7" spans="1:8" x14ac:dyDescent="0.3">
      <c r="A7" s="3">
        <v>152</v>
      </c>
      <c r="B7" s="3" t="s">
        <v>65</v>
      </c>
      <c r="C7" s="3">
        <v>92</v>
      </c>
      <c r="D7" s="3" t="s">
        <v>12</v>
      </c>
      <c r="E7" s="6">
        <v>592.75</v>
      </c>
      <c r="F7" s="6">
        <v>575</v>
      </c>
      <c r="G7" s="6">
        <v>17.75</v>
      </c>
      <c r="H7" s="5">
        <v>3.09</v>
      </c>
    </row>
    <row r="8" spans="1:8" x14ac:dyDescent="0.3">
      <c r="A8" s="3">
        <v>153</v>
      </c>
      <c r="B8" s="3" t="s">
        <v>356</v>
      </c>
      <c r="C8" s="3">
        <v>24</v>
      </c>
      <c r="D8" s="3" t="s">
        <v>12</v>
      </c>
      <c r="E8" s="6">
        <v>212.34</v>
      </c>
      <c r="F8" s="6">
        <v>134.4</v>
      </c>
      <c r="G8" s="6">
        <v>77.94</v>
      </c>
      <c r="H8" s="5">
        <v>57.99</v>
      </c>
    </row>
    <row r="9" spans="1:8" x14ac:dyDescent="0.3">
      <c r="A9" s="3">
        <v>160</v>
      </c>
      <c r="B9" s="3" t="s">
        <v>331</v>
      </c>
      <c r="C9" s="3">
        <v>45</v>
      </c>
      <c r="D9" s="3" t="s">
        <v>12</v>
      </c>
      <c r="E9" s="6">
        <v>259.2</v>
      </c>
      <c r="F9" s="6">
        <v>159.75</v>
      </c>
      <c r="G9" s="6">
        <v>99.45</v>
      </c>
      <c r="H9" s="5">
        <v>62.25</v>
      </c>
    </row>
    <row r="10" spans="1:8" x14ac:dyDescent="0.3">
      <c r="A10" s="3">
        <v>161</v>
      </c>
      <c r="B10" s="3" t="s">
        <v>333</v>
      </c>
      <c r="C10" s="3">
        <v>30</v>
      </c>
      <c r="D10" s="3" t="s">
        <v>12</v>
      </c>
      <c r="E10" s="6">
        <v>252</v>
      </c>
      <c r="F10" s="6">
        <v>153</v>
      </c>
      <c r="G10" s="6">
        <v>99</v>
      </c>
      <c r="H10" s="5">
        <v>64.709999999999994</v>
      </c>
    </row>
    <row r="11" spans="1:8" x14ac:dyDescent="0.3">
      <c r="A11" s="3">
        <v>162</v>
      </c>
      <c r="B11" s="3" t="s">
        <v>68</v>
      </c>
      <c r="C11" s="3">
        <v>122</v>
      </c>
      <c r="D11" s="3" t="s">
        <v>12</v>
      </c>
      <c r="E11" s="6">
        <v>194.29</v>
      </c>
      <c r="F11" s="6">
        <v>122</v>
      </c>
      <c r="G11" s="6">
        <v>72.290000000000006</v>
      </c>
      <c r="H11" s="5">
        <v>59.25</v>
      </c>
    </row>
    <row r="12" spans="1:8" x14ac:dyDescent="0.3">
      <c r="A12" s="3">
        <v>162</v>
      </c>
      <c r="B12" s="3" t="s">
        <v>405</v>
      </c>
      <c r="C12" s="3">
        <v>1</v>
      </c>
      <c r="D12" s="3" t="s">
        <v>9</v>
      </c>
      <c r="E12" s="6">
        <v>160.38</v>
      </c>
      <c r="F12" s="6">
        <v>96.24</v>
      </c>
      <c r="G12" s="6">
        <v>64.14</v>
      </c>
      <c r="H12" s="5">
        <v>66.650000000000006</v>
      </c>
    </row>
    <row r="13" spans="1:8" x14ac:dyDescent="0.3">
      <c r="A13" s="3">
        <v>163</v>
      </c>
      <c r="B13" s="3" t="s">
        <v>99</v>
      </c>
      <c r="C13" s="3">
        <v>344</v>
      </c>
      <c r="D13" s="3" t="s">
        <v>12</v>
      </c>
      <c r="E13" s="6">
        <v>782.03</v>
      </c>
      <c r="F13" s="6">
        <v>481.6</v>
      </c>
      <c r="G13" s="6">
        <v>300.43</v>
      </c>
      <c r="H13" s="5">
        <v>62.38</v>
      </c>
    </row>
    <row r="14" spans="1:8" x14ac:dyDescent="0.3">
      <c r="A14" s="3">
        <v>164</v>
      </c>
      <c r="B14" s="3" t="s">
        <v>380</v>
      </c>
      <c r="C14" s="5">
        <v>71.5</v>
      </c>
      <c r="D14" s="3" t="s">
        <v>12</v>
      </c>
      <c r="E14" s="6">
        <v>183.66</v>
      </c>
      <c r="F14" s="6">
        <v>105.82</v>
      </c>
      <c r="G14" s="6">
        <v>77.84</v>
      </c>
      <c r="H14" s="5">
        <v>73.56</v>
      </c>
    </row>
    <row r="15" spans="1:8" x14ac:dyDescent="0.3">
      <c r="A15" s="3">
        <v>165</v>
      </c>
      <c r="B15" s="3" t="s">
        <v>227</v>
      </c>
      <c r="C15" s="3">
        <v>1414</v>
      </c>
      <c r="D15" s="3" t="s">
        <v>12</v>
      </c>
      <c r="E15" s="6">
        <v>2219.67</v>
      </c>
      <c r="F15" s="6">
        <v>1414</v>
      </c>
      <c r="G15" s="6">
        <v>805.67</v>
      </c>
      <c r="H15" s="5">
        <v>56.98</v>
      </c>
    </row>
    <row r="16" spans="1:8" x14ac:dyDescent="0.3">
      <c r="A16" s="3">
        <v>165</v>
      </c>
      <c r="B16" s="3" t="s">
        <v>299</v>
      </c>
      <c r="C16" s="3">
        <v>238</v>
      </c>
      <c r="D16" s="3" t="s">
        <v>12</v>
      </c>
      <c r="E16" s="6">
        <v>424.6</v>
      </c>
      <c r="F16" s="6">
        <v>238</v>
      </c>
      <c r="G16" s="6">
        <v>186.6</v>
      </c>
      <c r="H16" s="5">
        <v>78.400000000000006</v>
      </c>
    </row>
    <row r="17" spans="1:8" x14ac:dyDescent="0.3">
      <c r="A17" s="3">
        <v>165</v>
      </c>
      <c r="B17" s="3" t="s">
        <v>329</v>
      </c>
      <c r="C17" s="3">
        <v>1</v>
      </c>
      <c r="D17" s="3" t="s">
        <v>9</v>
      </c>
      <c r="E17" s="6">
        <v>265</v>
      </c>
      <c r="F17" s="6">
        <v>0</v>
      </c>
      <c r="G17" s="6">
        <v>265</v>
      </c>
      <c r="H17" s="5">
        <v>100</v>
      </c>
    </row>
    <row r="18" spans="1:8" x14ac:dyDescent="0.3">
      <c r="A18" s="3">
        <v>166</v>
      </c>
      <c r="B18" s="3" t="s">
        <v>307</v>
      </c>
      <c r="C18" s="3">
        <v>18</v>
      </c>
      <c r="D18" s="3" t="s">
        <v>9</v>
      </c>
      <c r="E18" s="6">
        <v>369.11</v>
      </c>
      <c r="F18" s="6">
        <v>230.94</v>
      </c>
      <c r="G18" s="6">
        <v>138.16999999999999</v>
      </c>
      <c r="H18" s="5">
        <v>59.83</v>
      </c>
    </row>
    <row r="19" spans="1:8" x14ac:dyDescent="0.3">
      <c r="A19" s="3">
        <v>167</v>
      </c>
      <c r="B19" s="3" t="s">
        <v>398</v>
      </c>
      <c r="C19" s="3">
        <v>2</v>
      </c>
      <c r="D19" s="3" t="s">
        <v>9</v>
      </c>
      <c r="E19" s="6">
        <v>169.64</v>
      </c>
      <c r="F19" s="6">
        <v>95.94</v>
      </c>
      <c r="G19" s="6">
        <v>73.7</v>
      </c>
      <c r="H19" s="5">
        <v>76.819999999999993</v>
      </c>
    </row>
    <row r="20" spans="1:8" x14ac:dyDescent="0.3">
      <c r="A20" s="3">
        <v>170</v>
      </c>
      <c r="B20" s="3" t="s">
        <v>269</v>
      </c>
      <c r="C20" s="3">
        <v>380</v>
      </c>
      <c r="D20" s="3" t="s">
        <v>9</v>
      </c>
      <c r="E20" s="6">
        <v>637.54</v>
      </c>
      <c r="F20" s="6">
        <v>368.6</v>
      </c>
      <c r="G20" s="6">
        <v>268.94</v>
      </c>
      <c r="H20" s="5">
        <v>72.959999999999994</v>
      </c>
    </row>
    <row r="21" spans="1:8" x14ac:dyDescent="0.3">
      <c r="A21" s="3">
        <v>177</v>
      </c>
      <c r="B21" s="3" t="s">
        <v>50</v>
      </c>
      <c r="C21" s="3">
        <v>68</v>
      </c>
      <c r="D21" s="3" t="s">
        <v>12</v>
      </c>
      <c r="E21" s="6">
        <v>181.77</v>
      </c>
      <c r="F21" s="6">
        <v>115.6</v>
      </c>
      <c r="G21" s="6">
        <v>66.17</v>
      </c>
      <c r="H21" s="5">
        <v>57.24</v>
      </c>
    </row>
    <row r="22" spans="1:8" x14ac:dyDescent="0.3">
      <c r="A22" s="3">
        <v>187</v>
      </c>
      <c r="B22" s="3" t="s">
        <v>345</v>
      </c>
      <c r="C22" s="3">
        <v>7</v>
      </c>
      <c r="D22" s="3" t="s">
        <v>9</v>
      </c>
      <c r="E22" s="6">
        <v>230.86</v>
      </c>
      <c r="F22" s="6">
        <v>139.86000000000001</v>
      </c>
      <c r="G22" s="6">
        <v>91</v>
      </c>
      <c r="H22" s="5">
        <v>65.069999999999993</v>
      </c>
    </row>
    <row r="23" spans="1:8" x14ac:dyDescent="0.3">
      <c r="A23" s="3">
        <v>225</v>
      </c>
      <c r="B23" s="3" t="s">
        <v>276</v>
      </c>
      <c r="C23" s="3">
        <v>155</v>
      </c>
      <c r="D23" s="3" t="s">
        <v>9</v>
      </c>
      <c r="E23" s="6">
        <v>622.30999999999995</v>
      </c>
      <c r="F23" s="6">
        <v>316.2</v>
      </c>
      <c r="G23" s="6">
        <v>306.11</v>
      </c>
      <c r="H23" s="5">
        <v>96.81</v>
      </c>
    </row>
    <row r="24" spans="1:8" x14ac:dyDescent="0.3">
      <c r="A24" s="3">
        <v>253</v>
      </c>
      <c r="B24" s="3" t="s">
        <v>373</v>
      </c>
      <c r="C24" s="3">
        <v>1</v>
      </c>
      <c r="D24" s="3" t="s">
        <v>9</v>
      </c>
      <c r="E24" s="6">
        <v>193.99</v>
      </c>
      <c r="F24" s="6">
        <v>210</v>
      </c>
      <c r="G24" s="6">
        <v>-16.010000000000002</v>
      </c>
      <c r="H24" s="5">
        <v>-7.62</v>
      </c>
    </row>
    <row r="25" spans="1:8" x14ac:dyDescent="0.3">
      <c r="A25" s="3">
        <v>259</v>
      </c>
      <c r="B25" s="3" t="s">
        <v>245</v>
      </c>
      <c r="C25" s="3">
        <v>1</v>
      </c>
      <c r="D25" s="3" t="s">
        <v>9</v>
      </c>
      <c r="E25" s="6">
        <v>1135.01</v>
      </c>
      <c r="F25" s="6">
        <v>915</v>
      </c>
      <c r="G25" s="6">
        <v>220.01</v>
      </c>
      <c r="H25" s="5">
        <v>24.04</v>
      </c>
    </row>
    <row r="26" spans="1:8" x14ac:dyDescent="0.3">
      <c r="A26" s="3">
        <v>260</v>
      </c>
      <c r="B26" s="3" t="s">
        <v>243</v>
      </c>
      <c r="C26" s="3">
        <v>1</v>
      </c>
      <c r="D26" s="3" t="s">
        <v>9</v>
      </c>
      <c r="E26" s="6">
        <v>1141</v>
      </c>
      <c r="F26" s="6">
        <v>760</v>
      </c>
      <c r="G26" s="6">
        <v>381</v>
      </c>
      <c r="H26" s="5">
        <v>50.13</v>
      </c>
    </row>
    <row r="27" spans="1:8" x14ac:dyDescent="0.3">
      <c r="A27" s="3">
        <v>287</v>
      </c>
      <c r="B27" s="3" t="s">
        <v>231</v>
      </c>
      <c r="C27" s="3">
        <v>2</v>
      </c>
      <c r="D27" s="3" t="s">
        <v>9</v>
      </c>
      <c r="E27" s="6">
        <v>1981.2</v>
      </c>
      <c r="F27" s="6">
        <v>1608</v>
      </c>
      <c r="G27" s="6">
        <v>373.2</v>
      </c>
      <c r="H27" s="5">
        <v>23.21</v>
      </c>
    </row>
    <row r="28" spans="1:8" x14ac:dyDescent="0.3">
      <c r="A28" s="3">
        <v>309</v>
      </c>
      <c r="B28" s="3" t="s">
        <v>360</v>
      </c>
      <c r="C28" s="3">
        <v>22</v>
      </c>
      <c r="D28" s="3" t="s">
        <v>9</v>
      </c>
      <c r="E28" s="6">
        <v>208.71</v>
      </c>
      <c r="F28" s="6">
        <v>150.91999999999999</v>
      </c>
      <c r="G28" s="6">
        <v>57.79</v>
      </c>
      <c r="H28" s="5">
        <v>38.29</v>
      </c>
    </row>
    <row r="29" spans="1:8" x14ac:dyDescent="0.3">
      <c r="A29" s="3">
        <v>318</v>
      </c>
      <c r="B29" s="3" t="s">
        <v>288</v>
      </c>
      <c r="C29" s="3">
        <v>7</v>
      </c>
      <c r="D29" s="3" t="s">
        <v>9</v>
      </c>
      <c r="E29" s="6">
        <v>485.47</v>
      </c>
      <c r="F29" s="6">
        <v>293.3</v>
      </c>
      <c r="G29" s="6">
        <v>192.17</v>
      </c>
      <c r="H29" s="5">
        <v>65.52</v>
      </c>
    </row>
    <row r="30" spans="1:8" x14ac:dyDescent="0.3">
      <c r="A30" s="3">
        <v>320</v>
      </c>
      <c r="B30" s="3" t="s">
        <v>59</v>
      </c>
      <c r="C30" s="3">
        <v>15</v>
      </c>
      <c r="D30" s="3" t="s">
        <v>9</v>
      </c>
      <c r="E30" s="6">
        <v>671.64</v>
      </c>
      <c r="F30" s="6">
        <v>690</v>
      </c>
      <c r="G30" s="6">
        <v>-18.36</v>
      </c>
      <c r="H30" s="5">
        <v>-2.66</v>
      </c>
    </row>
    <row r="31" spans="1:8" x14ac:dyDescent="0.3">
      <c r="A31" s="3">
        <v>337</v>
      </c>
      <c r="B31" s="3" t="s">
        <v>372</v>
      </c>
      <c r="C31" s="3">
        <v>1</v>
      </c>
      <c r="D31" s="3" t="s">
        <v>9</v>
      </c>
      <c r="E31" s="6">
        <v>194.4</v>
      </c>
      <c r="F31" s="6">
        <v>0</v>
      </c>
      <c r="G31" s="6">
        <v>194.4</v>
      </c>
      <c r="H31" s="5">
        <v>100</v>
      </c>
    </row>
    <row r="32" spans="1:8" x14ac:dyDescent="0.3">
      <c r="A32" s="3">
        <v>348</v>
      </c>
      <c r="B32" s="3" t="s">
        <v>153</v>
      </c>
      <c r="C32" s="5">
        <v>46.5</v>
      </c>
      <c r="D32" s="3" t="s">
        <v>12</v>
      </c>
      <c r="E32" s="6">
        <v>229.75</v>
      </c>
      <c r="F32" s="6">
        <v>130.19999999999999</v>
      </c>
      <c r="G32" s="6">
        <v>99.55</v>
      </c>
      <c r="H32" s="5">
        <v>76.459999999999994</v>
      </c>
    </row>
    <row r="33" spans="1:8" x14ac:dyDescent="0.3">
      <c r="A33" s="3">
        <v>360</v>
      </c>
      <c r="B33" s="3" t="s">
        <v>350</v>
      </c>
      <c r="C33" s="3">
        <v>6</v>
      </c>
      <c r="D33" s="3" t="s">
        <v>9</v>
      </c>
      <c r="E33" s="6">
        <v>219.79</v>
      </c>
      <c r="F33" s="6">
        <v>134.94</v>
      </c>
      <c r="G33" s="6">
        <v>84.85</v>
      </c>
      <c r="H33" s="5">
        <v>62.88</v>
      </c>
    </row>
    <row r="34" spans="1:8" x14ac:dyDescent="0.3">
      <c r="A34" s="3">
        <v>367</v>
      </c>
      <c r="B34" s="3" t="s">
        <v>337</v>
      </c>
      <c r="C34" s="3">
        <v>6</v>
      </c>
      <c r="D34" s="3" t="s">
        <v>9</v>
      </c>
      <c r="E34" s="6">
        <v>240.3</v>
      </c>
      <c r="F34" s="6">
        <v>267</v>
      </c>
      <c r="G34" s="6">
        <v>-26.7</v>
      </c>
      <c r="H34" s="5">
        <v>-10</v>
      </c>
    </row>
    <row r="35" spans="1:8" x14ac:dyDescent="0.3">
      <c r="A35" s="3">
        <v>368</v>
      </c>
      <c r="B35" s="3" t="s">
        <v>402</v>
      </c>
      <c r="C35" s="3">
        <v>8</v>
      </c>
      <c r="D35" s="3" t="s">
        <v>9</v>
      </c>
      <c r="E35" s="6">
        <v>162.99</v>
      </c>
      <c r="F35" s="6">
        <v>102</v>
      </c>
      <c r="G35" s="6">
        <v>60.99</v>
      </c>
      <c r="H35" s="5">
        <v>59.79</v>
      </c>
    </row>
    <row r="36" spans="1:8" x14ac:dyDescent="0.3">
      <c r="A36" s="3">
        <v>401</v>
      </c>
      <c r="B36" s="3" t="s">
        <v>332</v>
      </c>
      <c r="C36" s="5">
        <v>14.25</v>
      </c>
      <c r="D36" s="3" t="s">
        <v>16</v>
      </c>
      <c r="E36" s="6">
        <v>257.58</v>
      </c>
      <c r="F36" s="6">
        <v>156.75</v>
      </c>
      <c r="G36" s="6">
        <v>100.83</v>
      </c>
      <c r="H36" s="5">
        <v>64.33</v>
      </c>
    </row>
    <row r="37" spans="1:8" x14ac:dyDescent="0.3">
      <c r="A37" s="3">
        <v>408</v>
      </c>
      <c r="B37" s="3" t="s">
        <v>285</v>
      </c>
      <c r="C37" s="3">
        <v>40</v>
      </c>
      <c r="D37" s="3" t="s">
        <v>9</v>
      </c>
      <c r="E37" s="6">
        <v>497.12</v>
      </c>
      <c r="F37" s="6">
        <v>313.2</v>
      </c>
      <c r="G37" s="6">
        <v>183.92</v>
      </c>
      <c r="H37" s="5">
        <v>58.72</v>
      </c>
    </row>
    <row r="38" spans="1:8" x14ac:dyDescent="0.3">
      <c r="A38" s="3">
        <v>427</v>
      </c>
      <c r="B38" s="3" t="s">
        <v>375</v>
      </c>
      <c r="C38" s="3">
        <v>2</v>
      </c>
      <c r="D38" s="3" t="s">
        <v>9</v>
      </c>
      <c r="E38" s="6">
        <v>189.91</v>
      </c>
      <c r="F38" s="6">
        <v>0</v>
      </c>
      <c r="G38" s="6">
        <v>189.91</v>
      </c>
      <c r="H38" s="5">
        <v>100</v>
      </c>
    </row>
    <row r="39" spans="1:8" x14ac:dyDescent="0.3">
      <c r="A39" s="3">
        <v>439</v>
      </c>
      <c r="B39" s="3" t="s">
        <v>168</v>
      </c>
      <c r="C39" s="3">
        <v>73</v>
      </c>
      <c r="D39" s="3" t="s">
        <v>9</v>
      </c>
      <c r="E39" s="6">
        <v>318.58999999999997</v>
      </c>
      <c r="F39" s="6">
        <v>198.56</v>
      </c>
      <c r="G39" s="6">
        <v>120.03</v>
      </c>
      <c r="H39" s="5">
        <v>60.45</v>
      </c>
    </row>
    <row r="40" spans="1:8" x14ac:dyDescent="0.3">
      <c r="A40" s="3">
        <v>460</v>
      </c>
      <c r="B40" s="3" t="s">
        <v>336</v>
      </c>
      <c r="C40" s="3">
        <v>2</v>
      </c>
      <c r="D40" s="3" t="s">
        <v>9</v>
      </c>
      <c r="E40" s="6">
        <v>246.5</v>
      </c>
      <c r="F40" s="6">
        <v>0</v>
      </c>
      <c r="G40" s="6">
        <v>246.5</v>
      </c>
      <c r="H40" s="5">
        <v>100</v>
      </c>
    </row>
    <row r="41" spans="1:8" x14ac:dyDescent="0.3">
      <c r="A41" s="3">
        <v>469</v>
      </c>
      <c r="B41" s="3" t="s">
        <v>220</v>
      </c>
      <c r="C41" s="3">
        <v>68</v>
      </c>
      <c r="D41" s="3" t="s">
        <v>9</v>
      </c>
      <c r="E41" s="6">
        <v>303.62</v>
      </c>
      <c r="F41" s="6">
        <v>187</v>
      </c>
      <c r="G41" s="6">
        <v>116.62</v>
      </c>
      <c r="H41" s="5">
        <v>62.36</v>
      </c>
    </row>
    <row r="42" spans="1:8" x14ac:dyDescent="0.3">
      <c r="A42" s="3">
        <v>475</v>
      </c>
      <c r="B42" s="3" t="s">
        <v>261</v>
      </c>
      <c r="C42" s="3">
        <v>9</v>
      </c>
      <c r="D42" s="3" t="s">
        <v>9</v>
      </c>
      <c r="E42" s="6">
        <v>763.19</v>
      </c>
      <c r="F42" s="6">
        <v>554.76</v>
      </c>
      <c r="G42" s="6">
        <v>208.43</v>
      </c>
      <c r="H42" s="5">
        <v>37.57</v>
      </c>
    </row>
    <row r="43" spans="1:8" x14ac:dyDescent="0.3">
      <c r="A43" s="3">
        <v>476</v>
      </c>
      <c r="B43" s="3" t="s">
        <v>358</v>
      </c>
      <c r="C43" s="3">
        <v>12</v>
      </c>
      <c r="D43" s="3" t="s">
        <v>9</v>
      </c>
      <c r="E43" s="6">
        <v>210.04</v>
      </c>
      <c r="F43" s="6">
        <v>151.08000000000001</v>
      </c>
      <c r="G43" s="6">
        <v>58.96</v>
      </c>
      <c r="H43" s="5">
        <v>39.03</v>
      </c>
    </row>
    <row r="44" spans="1:8" x14ac:dyDescent="0.3">
      <c r="A44" s="3">
        <v>505</v>
      </c>
      <c r="B44" s="3" t="s">
        <v>374</v>
      </c>
      <c r="C44" s="3">
        <v>2</v>
      </c>
      <c r="D44" s="3" t="s">
        <v>9</v>
      </c>
      <c r="E44" s="6">
        <v>189.99</v>
      </c>
      <c r="F44" s="6">
        <v>144</v>
      </c>
      <c r="G44" s="6">
        <v>45.99</v>
      </c>
      <c r="H44" s="5">
        <v>31.94</v>
      </c>
    </row>
    <row r="45" spans="1:8" x14ac:dyDescent="0.3">
      <c r="A45" s="3">
        <v>510</v>
      </c>
      <c r="B45" s="3" t="s">
        <v>378</v>
      </c>
      <c r="C45" s="5">
        <v>12.12</v>
      </c>
      <c r="D45" s="3" t="s">
        <v>12</v>
      </c>
      <c r="E45" s="6">
        <v>186.8</v>
      </c>
      <c r="F45" s="6">
        <v>0</v>
      </c>
      <c r="G45" s="6">
        <v>186.8</v>
      </c>
      <c r="H45" s="5">
        <v>100</v>
      </c>
    </row>
    <row r="46" spans="1:8" x14ac:dyDescent="0.3">
      <c r="A46" s="3">
        <v>513</v>
      </c>
      <c r="B46" s="3" t="s">
        <v>361</v>
      </c>
      <c r="C46" s="5">
        <v>14.14</v>
      </c>
      <c r="D46" s="3" t="s">
        <v>12</v>
      </c>
      <c r="E46" s="6">
        <v>207.06</v>
      </c>
      <c r="F46" s="6">
        <v>0</v>
      </c>
      <c r="G46" s="6">
        <v>207.06</v>
      </c>
      <c r="H46" s="5">
        <v>100</v>
      </c>
    </row>
    <row r="47" spans="1:8" x14ac:dyDescent="0.3">
      <c r="A47" s="3">
        <v>520</v>
      </c>
      <c r="B47" s="3" t="s">
        <v>298</v>
      </c>
      <c r="C47" s="5">
        <v>26.52</v>
      </c>
      <c r="D47" s="3" t="s">
        <v>12</v>
      </c>
      <c r="E47" s="6">
        <v>432.27</v>
      </c>
      <c r="F47" s="6">
        <v>0</v>
      </c>
      <c r="G47" s="6">
        <v>432.27</v>
      </c>
      <c r="H47" s="5">
        <v>100</v>
      </c>
    </row>
    <row r="48" spans="1:8" x14ac:dyDescent="0.3">
      <c r="A48" s="3">
        <v>529</v>
      </c>
      <c r="B48" s="3" t="s">
        <v>384</v>
      </c>
      <c r="C48" s="5">
        <v>12.24</v>
      </c>
      <c r="D48" s="3" t="s">
        <v>12</v>
      </c>
      <c r="E48" s="6">
        <v>181.2</v>
      </c>
      <c r="F48" s="6">
        <v>0</v>
      </c>
      <c r="G48" s="6">
        <v>181.2</v>
      </c>
      <c r="H48" s="5">
        <v>100</v>
      </c>
    </row>
    <row r="49" spans="1:8" x14ac:dyDescent="0.3">
      <c r="A49" s="3">
        <v>541</v>
      </c>
      <c r="B49" s="3" t="s">
        <v>338</v>
      </c>
      <c r="C49" s="3">
        <v>274</v>
      </c>
      <c r="D49" s="3" t="s">
        <v>9</v>
      </c>
      <c r="E49" s="6">
        <v>239.8</v>
      </c>
      <c r="F49" s="6">
        <v>153.44</v>
      </c>
      <c r="G49" s="6">
        <v>86.36</v>
      </c>
      <c r="H49" s="5">
        <v>56.28</v>
      </c>
    </row>
    <row r="50" spans="1:8" x14ac:dyDescent="0.3">
      <c r="A50" s="3">
        <v>545</v>
      </c>
      <c r="B50" s="3" t="s">
        <v>263</v>
      </c>
      <c r="C50" s="3">
        <v>51</v>
      </c>
      <c r="D50" s="3" t="s">
        <v>9</v>
      </c>
      <c r="E50" s="6">
        <v>746.84</v>
      </c>
      <c r="F50" s="6">
        <v>0</v>
      </c>
      <c r="G50" s="6">
        <v>746.84</v>
      </c>
      <c r="H50" s="5">
        <v>100</v>
      </c>
    </row>
    <row r="51" spans="1:8" x14ac:dyDescent="0.3">
      <c r="A51" s="3">
        <v>569</v>
      </c>
      <c r="B51" s="3" t="s">
        <v>248</v>
      </c>
      <c r="C51" s="3">
        <v>2</v>
      </c>
      <c r="D51" s="3" t="s">
        <v>9</v>
      </c>
      <c r="E51" s="6">
        <v>1072.83</v>
      </c>
      <c r="F51" s="6">
        <v>1250</v>
      </c>
      <c r="G51" s="6">
        <v>-177.17</v>
      </c>
      <c r="H51" s="5">
        <v>-14.17</v>
      </c>
    </row>
    <row r="52" spans="1:8" x14ac:dyDescent="0.3">
      <c r="A52" s="3">
        <v>571</v>
      </c>
      <c r="B52" s="3" t="s">
        <v>35</v>
      </c>
      <c r="C52" s="3">
        <v>1</v>
      </c>
      <c r="D52" s="3" t="s">
        <v>9</v>
      </c>
      <c r="E52" s="6">
        <v>1055.92</v>
      </c>
      <c r="F52" s="6">
        <v>975</v>
      </c>
      <c r="G52" s="6">
        <v>80.92</v>
      </c>
      <c r="H52" s="5">
        <v>8.3000000000000007</v>
      </c>
    </row>
    <row r="53" spans="1:8" x14ac:dyDescent="0.3">
      <c r="A53" s="3">
        <v>603</v>
      </c>
      <c r="B53" s="3" t="s">
        <v>165</v>
      </c>
      <c r="C53" s="5">
        <v>32.4</v>
      </c>
      <c r="D53" s="3" t="s">
        <v>12</v>
      </c>
      <c r="E53" s="6">
        <v>207.49</v>
      </c>
      <c r="F53" s="6">
        <v>307.8</v>
      </c>
      <c r="G53" s="6">
        <v>-100.31</v>
      </c>
      <c r="H53" s="5">
        <v>-32.590000000000003</v>
      </c>
    </row>
    <row r="54" spans="1:8" x14ac:dyDescent="0.3">
      <c r="A54" s="3">
        <v>623</v>
      </c>
      <c r="B54" s="3" t="s">
        <v>366</v>
      </c>
      <c r="C54" s="3">
        <v>15</v>
      </c>
      <c r="D54" s="3" t="s">
        <v>9</v>
      </c>
      <c r="E54" s="6">
        <v>204.27</v>
      </c>
      <c r="F54" s="6">
        <v>150</v>
      </c>
      <c r="G54" s="6">
        <v>54.27</v>
      </c>
      <c r="H54" s="5">
        <v>36.18</v>
      </c>
    </row>
    <row r="55" spans="1:8" x14ac:dyDescent="0.3">
      <c r="A55" s="3">
        <v>624</v>
      </c>
      <c r="B55" s="3" t="s">
        <v>314</v>
      </c>
      <c r="C55" s="3">
        <v>14</v>
      </c>
      <c r="D55" s="3" t="s">
        <v>9</v>
      </c>
      <c r="E55" s="6">
        <v>305.44</v>
      </c>
      <c r="F55" s="6">
        <v>165.49</v>
      </c>
      <c r="G55" s="6">
        <v>139.94999999999999</v>
      </c>
      <c r="H55" s="5">
        <v>84.57</v>
      </c>
    </row>
    <row r="56" spans="1:8" x14ac:dyDescent="0.3">
      <c r="A56" s="3">
        <v>626</v>
      </c>
      <c r="B56" s="3" t="s">
        <v>313</v>
      </c>
      <c r="C56" s="3">
        <v>14</v>
      </c>
      <c r="D56" s="3" t="s">
        <v>9</v>
      </c>
      <c r="E56" s="6">
        <v>308.82</v>
      </c>
      <c r="F56" s="6">
        <v>173.04</v>
      </c>
      <c r="G56" s="6">
        <v>135.78</v>
      </c>
      <c r="H56" s="5">
        <v>78.47</v>
      </c>
    </row>
    <row r="57" spans="1:8" x14ac:dyDescent="0.3">
      <c r="A57" s="3">
        <v>628</v>
      </c>
      <c r="B57" s="3" t="s">
        <v>255</v>
      </c>
      <c r="C57" s="3">
        <v>28</v>
      </c>
      <c r="D57" s="3" t="s">
        <v>9</v>
      </c>
      <c r="E57" s="6">
        <v>884.75</v>
      </c>
      <c r="F57" s="6">
        <v>502.04</v>
      </c>
      <c r="G57" s="6">
        <v>382.71</v>
      </c>
      <c r="H57" s="5">
        <v>76.23</v>
      </c>
    </row>
    <row r="58" spans="1:8" x14ac:dyDescent="0.3">
      <c r="A58" s="3">
        <v>629</v>
      </c>
      <c r="B58" s="3" t="s">
        <v>328</v>
      </c>
      <c r="C58" s="3">
        <v>6</v>
      </c>
      <c r="D58" s="3" t="s">
        <v>9</v>
      </c>
      <c r="E58" s="6">
        <v>270.01</v>
      </c>
      <c r="F58" s="6">
        <v>156.9</v>
      </c>
      <c r="G58" s="6">
        <v>113.11</v>
      </c>
      <c r="H58" s="5">
        <v>72.09</v>
      </c>
    </row>
    <row r="59" spans="1:8" x14ac:dyDescent="0.3">
      <c r="A59" s="3">
        <v>631</v>
      </c>
      <c r="B59" s="3" t="s">
        <v>291</v>
      </c>
      <c r="C59" s="3">
        <v>4</v>
      </c>
      <c r="D59" s="3" t="s">
        <v>9</v>
      </c>
      <c r="E59" s="6">
        <v>455</v>
      </c>
      <c r="F59" s="6">
        <v>312</v>
      </c>
      <c r="G59" s="6">
        <v>143</v>
      </c>
      <c r="H59" s="5">
        <v>45.83</v>
      </c>
    </row>
    <row r="60" spans="1:8" x14ac:dyDescent="0.3">
      <c r="A60" s="3">
        <v>636</v>
      </c>
      <c r="B60" s="3" t="s">
        <v>322</v>
      </c>
      <c r="C60" s="3">
        <v>16</v>
      </c>
      <c r="D60" s="3" t="s">
        <v>9</v>
      </c>
      <c r="E60" s="6">
        <v>288.51</v>
      </c>
      <c r="F60" s="6">
        <v>160.47999999999999</v>
      </c>
      <c r="G60" s="6">
        <v>128.03</v>
      </c>
      <c r="H60" s="5">
        <v>79.78</v>
      </c>
    </row>
    <row r="61" spans="1:8" x14ac:dyDescent="0.3">
      <c r="A61" s="3">
        <v>654</v>
      </c>
      <c r="B61" s="3" t="s">
        <v>335</v>
      </c>
      <c r="C61" s="5">
        <v>16.8</v>
      </c>
      <c r="D61" s="3" t="s">
        <v>16</v>
      </c>
      <c r="E61" s="6">
        <v>247.02</v>
      </c>
      <c r="F61" s="6">
        <v>134.74</v>
      </c>
      <c r="G61" s="6">
        <v>112.28</v>
      </c>
      <c r="H61" s="5">
        <v>83.34</v>
      </c>
    </row>
    <row r="62" spans="1:8" x14ac:dyDescent="0.3">
      <c r="A62" s="3">
        <v>678</v>
      </c>
      <c r="B62" s="3" t="s">
        <v>355</v>
      </c>
      <c r="C62" s="3">
        <v>2</v>
      </c>
      <c r="D62" s="3" t="s">
        <v>9</v>
      </c>
      <c r="E62" s="6">
        <v>213.01</v>
      </c>
      <c r="F62" s="6">
        <v>226</v>
      </c>
      <c r="G62" s="6">
        <v>-12.99</v>
      </c>
      <c r="H62" s="5">
        <v>-5.75</v>
      </c>
    </row>
    <row r="63" spans="1:8" x14ac:dyDescent="0.3">
      <c r="A63" s="3">
        <v>692</v>
      </c>
      <c r="B63" s="3" t="s">
        <v>347</v>
      </c>
      <c r="C63" s="4">
        <v>34766</v>
      </c>
      <c r="D63" s="3" t="s">
        <v>16</v>
      </c>
      <c r="E63" s="6">
        <v>230.59</v>
      </c>
      <c r="F63" s="6">
        <v>264.22000000000003</v>
      </c>
      <c r="G63" s="6">
        <v>-33.630000000000003</v>
      </c>
      <c r="H63" s="5">
        <v>-12.73</v>
      </c>
    </row>
    <row r="64" spans="1:8" x14ac:dyDescent="0.3">
      <c r="A64" s="3">
        <v>699</v>
      </c>
      <c r="B64" s="3" t="s">
        <v>334</v>
      </c>
      <c r="C64" s="5">
        <v>39.020000000000003</v>
      </c>
      <c r="D64" s="3" t="s">
        <v>16</v>
      </c>
      <c r="E64" s="6">
        <v>247.93</v>
      </c>
      <c r="F64" s="6">
        <v>257.52999999999997</v>
      </c>
      <c r="G64" s="6">
        <v>-9.6</v>
      </c>
      <c r="H64" s="5">
        <v>-3.73</v>
      </c>
    </row>
    <row r="65" spans="1:8" x14ac:dyDescent="0.3">
      <c r="A65" s="3">
        <v>699</v>
      </c>
      <c r="B65" s="3" t="s">
        <v>353</v>
      </c>
      <c r="C65" s="4">
        <v>38172</v>
      </c>
      <c r="D65" s="3" t="s">
        <v>16</v>
      </c>
      <c r="E65" s="6">
        <v>215.02</v>
      </c>
      <c r="F65" s="6">
        <v>251.94</v>
      </c>
      <c r="G65" s="6">
        <v>-36.92</v>
      </c>
      <c r="H65" s="5">
        <v>-14.65</v>
      </c>
    </row>
    <row r="66" spans="1:8" x14ac:dyDescent="0.3">
      <c r="A66" s="3">
        <v>731</v>
      </c>
      <c r="B66" s="3" t="s">
        <v>326</v>
      </c>
      <c r="C66" s="3">
        <v>2</v>
      </c>
      <c r="D66" s="3" t="s">
        <v>9</v>
      </c>
      <c r="E66" s="6">
        <v>274.45</v>
      </c>
      <c r="F66" s="6">
        <v>0</v>
      </c>
      <c r="G66" s="6">
        <v>274.45</v>
      </c>
      <c r="H66" s="5">
        <v>100</v>
      </c>
    </row>
    <row r="67" spans="1:8" x14ac:dyDescent="0.3">
      <c r="A67" s="3">
        <v>757</v>
      </c>
      <c r="B67" s="3" t="s">
        <v>359</v>
      </c>
      <c r="C67" s="3">
        <v>41</v>
      </c>
      <c r="D67" s="3" t="s">
        <v>9</v>
      </c>
      <c r="E67" s="6">
        <v>208.82</v>
      </c>
      <c r="F67" s="6">
        <v>217.3</v>
      </c>
      <c r="G67" s="6">
        <v>-8.48</v>
      </c>
      <c r="H67" s="5">
        <v>-3.9</v>
      </c>
    </row>
    <row r="68" spans="1:8" x14ac:dyDescent="0.3">
      <c r="A68" s="3">
        <v>771</v>
      </c>
      <c r="B68" s="3" t="s">
        <v>354</v>
      </c>
      <c r="C68" s="3">
        <v>4</v>
      </c>
      <c r="D68" s="3" t="s">
        <v>9</v>
      </c>
      <c r="E68" s="6">
        <v>214.19</v>
      </c>
      <c r="F68" s="6">
        <v>136.88</v>
      </c>
      <c r="G68" s="6">
        <v>77.31</v>
      </c>
      <c r="H68" s="5">
        <v>56.48</v>
      </c>
    </row>
    <row r="69" spans="1:8" x14ac:dyDescent="0.3">
      <c r="A69" s="3">
        <v>785</v>
      </c>
      <c r="B69" s="3" t="s">
        <v>279</v>
      </c>
      <c r="C69" s="3">
        <v>2</v>
      </c>
      <c r="D69" s="3" t="s">
        <v>9</v>
      </c>
      <c r="E69" s="6">
        <v>611.45000000000005</v>
      </c>
      <c r="F69" s="6">
        <v>443.26</v>
      </c>
      <c r="G69" s="6">
        <v>168.19</v>
      </c>
      <c r="H69" s="5">
        <v>37.94</v>
      </c>
    </row>
    <row r="70" spans="1:8" x14ac:dyDescent="0.3">
      <c r="A70" s="3">
        <v>795</v>
      </c>
      <c r="B70" s="3" t="s">
        <v>381</v>
      </c>
      <c r="C70" s="3">
        <v>2</v>
      </c>
      <c r="D70" s="3" t="s">
        <v>9</v>
      </c>
      <c r="E70" s="6">
        <v>183.17</v>
      </c>
      <c r="F70" s="6">
        <v>0</v>
      </c>
      <c r="G70" s="6">
        <v>183.17</v>
      </c>
      <c r="H70" s="5">
        <v>100</v>
      </c>
    </row>
    <row r="71" spans="1:8" x14ac:dyDescent="0.3">
      <c r="A71" s="3">
        <v>812</v>
      </c>
      <c r="B71" s="3" t="s">
        <v>284</v>
      </c>
      <c r="C71" s="3">
        <v>69</v>
      </c>
      <c r="D71" s="3" t="s">
        <v>9</v>
      </c>
      <c r="E71" s="6">
        <v>497.31</v>
      </c>
      <c r="F71" s="6">
        <v>363.63</v>
      </c>
      <c r="G71" s="6">
        <v>133.68</v>
      </c>
      <c r="H71" s="5">
        <v>36.76</v>
      </c>
    </row>
    <row r="72" spans="1:8" x14ac:dyDescent="0.3">
      <c r="A72" s="3">
        <v>819</v>
      </c>
      <c r="B72" s="3" t="s">
        <v>362</v>
      </c>
      <c r="C72" s="3">
        <v>5</v>
      </c>
      <c r="D72" s="3" t="s">
        <v>12</v>
      </c>
      <c r="E72" s="6">
        <v>207</v>
      </c>
      <c r="F72" s="6">
        <v>209.5</v>
      </c>
      <c r="G72" s="6">
        <v>-2.5</v>
      </c>
      <c r="H72" s="5">
        <v>-1.19</v>
      </c>
    </row>
    <row r="73" spans="1:8" x14ac:dyDescent="0.3">
      <c r="A73" s="3">
        <v>872</v>
      </c>
      <c r="B73" s="3" t="s">
        <v>249</v>
      </c>
      <c r="C73" s="3">
        <v>9</v>
      </c>
      <c r="D73" s="3" t="s">
        <v>9</v>
      </c>
      <c r="E73" s="6">
        <v>1039.5</v>
      </c>
      <c r="F73" s="6">
        <v>693</v>
      </c>
      <c r="G73" s="6">
        <v>346.5</v>
      </c>
      <c r="H73" s="5">
        <v>50</v>
      </c>
    </row>
    <row r="74" spans="1:8" x14ac:dyDescent="0.3">
      <c r="A74" s="3">
        <v>884</v>
      </c>
      <c r="B74" s="3" t="s">
        <v>327</v>
      </c>
      <c r="C74" s="3">
        <v>8</v>
      </c>
      <c r="D74" s="3" t="s">
        <v>9</v>
      </c>
      <c r="E74" s="6">
        <v>270.77</v>
      </c>
      <c r="F74" s="6">
        <v>171.68</v>
      </c>
      <c r="G74" s="6">
        <v>99.09</v>
      </c>
      <c r="H74" s="5">
        <v>57.72</v>
      </c>
    </row>
    <row r="75" spans="1:8" x14ac:dyDescent="0.3">
      <c r="A75" s="3">
        <v>892</v>
      </c>
      <c r="B75" s="3" t="s">
        <v>278</v>
      </c>
      <c r="C75" s="3">
        <v>17</v>
      </c>
      <c r="D75" s="3" t="s">
        <v>9</v>
      </c>
      <c r="E75" s="6">
        <v>613.1</v>
      </c>
      <c r="F75" s="6">
        <v>407.32</v>
      </c>
      <c r="G75" s="6">
        <v>205.78</v>
      </c>
      <c r="H75" s="5">
        <v>50.52</v>
      </c>
    </row>
    <row r="76" spans="1:8" x14ac:dyDescent="0.3">
      <c r="A76" s="3">
        <v>893</v>
      </c>
      <c r="B76" s="3" t="s">
        <v>97</v>
      </c>
      <c r="C76" s="3">
        <v>22</v>
      </c>
      <c r="D76" s="3" t="s">
        <v>9</v>
      </c>
      <c r="E76" s="6">
        <v>539.09</v>
      </c>
      <c r="F76" s="6">
        <v>336.6</v>
      </c>
      <c r="G76" s="6">
        <v>202.49</v>
      </c>
      <c r="H76" s="5">
        <v>60.16</v>
      </c>
    </row>
    <row r="77" spans="1:8" x14ac:dyDescent="0.3">
      <c r="A77" s="3">
        <v>894</v>
      </c>
      <c r="B77" s="3" t="s">
        <v>238</v>
      </c>
      <c r="C77" s="3">
        <v>1</v>
      </c>
      <c r="D77" s="3" t="s">
        <v>9</v>
      </c>
      <c r="E77" s="6">
        <v>1210</v>
      </c>
      <c r="F77" s="6">
        <v>845</v>
      </c>
      <c r="G77" s="6">
        <v>365</v>
      </c>
      <c r="H77" s="5">
        <v>43.2</v>
      </c>
    </row>
    <row r="78" spans="1:8" x14ac:dyDescent="0.3">
      <c r="A78" s="3">
        <v>895</v>
      </c>
      <c r="B78" s="3" t="s">
        <v>240</v>
      </c>
      <c r="C78" s="3">
        <v>1</v>
      </c>
      <c r="D78" s="3" t="s">
        <v>9</v>
      </c>
      <c r="E78" s="6">
        <v>1203.3</v>
      </c>
      <c r="F78" s="6">
        <v>935</v>
      </c>
      <c r="G78" s="6">
        <v>268.3</v>
      </c>
      <c r="H78" s="5">
        <v>28.7</v>
      </c>
    </row>
    <row r="79" spans="1:8" x14ac:dyDescent="0.3">
      <c r="A79" s="3">
        <v>896</v>
      </c>
      <c r="B79" s="3" t="s">
        <v>225</v>
      </c>
      <c r="C79" s="3">
        <v>2</v>
      </c>
      <c r="D79" s="3" t="s">
        <v>9</v>
      </c>
      <c r="E79" s="6">
        <v>3281.4</v>
      </c>
      <c r="F79" s="6">
        <v>2550</v>
      </c>
      <c r="G79" s="6">
        <v>731.4</v>
      </c>
      <c r="H79" s="5">
        <v>28.68</v>
      </c>
    </row>
    <row r="80" spans="1:8" x14ac:dyDescent="0.3">
      <c r="A80" s="3">
        <v>926</v>
      </c>
      <c r="B80" s="3" t="s">
        <v>283</v>
      </c>
      <c r="C80" s="5">
        <v>40.4</v>
      </c>
      <c r="D80" s="3" t="s">
        <v>9</v>
      </c>
      <c r="E80" s="6">
        <v>552.42999999999995</v>
      </c>
      <c r="F80" s="6">
        <v>537.32000000000005</v>
      </c>
      <c r="G80" s="6">
        <v>15.11</v>
      </c>
      <c r="H80" s="5">
        <v>2.81</v>
      </c>
    </row>
    <row r="81" spans="1:8" x14ac:dyDescent="0.3">
      <c r="A81" s="3">
        <v>1004</v>
      </c>
      <c r="B81" s="3" t="s">
        <v>252</v>
      </c>
      <c r="C81" s="3">
        <v>2</v>
      </c>
      <c r="D81" s="3" t="s">
        <v>9</v>
      </c>
      <c r="E81" s="6">
        <v>1000.01</v>
      </c>
      <c r="F81" s="6">
        <v>1100</v>
      </c>
      <c r="G81" s="6">
        <v>-99.99</v>
      </c>
      <c r="H81" s="5">
        <v>-9.09</v>
      </c>
    </row>
    <row r="82" spans="1:8" x14ac:dyDescent="0.3">
      <c r="A82" s="3">
        <v>1016</v>
      </c>
      <c r="B82" s="3" t="s">
        <v>106</v>
      </c>
      <c r="C82" s="3">
        <v>454</v>
      </c>
      <c r="D82" s="3" t="s">
        <v>9</v>
      </c>
      <c r="E82" s="6">
        <v>214.64</v>
      </c>
      <c r="F82" s="6">
        <v>86.26</v>
      </c>
      <c r="G82" s="6">
        <v>128.38</v>
      </c>
      <c r="H82" s="5">
        <v>148.83000000000001</v>
      </c>
    </row>
    <row r="83" spans="1:8" x14ac:dyDescent="0.3">
      <c r="A83" s="3">
        <v>1039</v>
      </c>
      <c r="B83" s="3" t="s">
        <v>262</v>
      </c>
      <c r="C83" s="3">
        <v>1957</v>
      </c>
      <c r="D83" s="3" t="s">
        <v>9</v>
      </c>
      <c r="E83" s="6">
        <v>748.91</v>
      </c>
      <c r="F83" s="6">
        <v>352.26</v>
      </c>
      <c r="G83" s="6">
        <v>396.65</v>
      </c>
      <c r="H83" s="5">
        <v>112.6</v>
      </c>
    </row>
    <row r="84" spans="1:8" x14ac:dyDescent="0.3">
      <c r="A84" s="3">
        <v>1054</v>
      </c>
      <c r="B84" s="3" t="s">
        <v>391</v>
      </c>
      <c r="C84" s="3">
        <v>390</v>
      </c>
      <c r="D84" s="3" t="s">
        <v>9</v>
      </c>
      <c r="E84" s="6">
        <v>173.63</v>
      </c>
      <c r="F84" s="6">
        <v>66.3</v>
      </c>
      <c r="G84" s="6">
        <v>107.33</v>
      </c>
      <c r="H84" s="5">
        <v>161.88999999999999</v>
      </c>
    </row>
    <row r="85" spans="1:8" x14ac:dyDescent="0.3">
      <c r="A85" s="3">
        <v>1101</v>
      </c>
      <c r="B85" s="3" t="s">
        <v>368</v>
      </c>
      <c r="C85" s="5">
        <v>26.2</v>
      </c>
      <c r="D85" s="3" t="s">
        <v>12</v>
      </c>
      <c r="E85" s="6">
        <v>200.43</v>
      </c>
      <c r="F85" s="6">
        <v>121.31</v>
      </c>
      <c r="G85" s="6">
        <v>79.12</v>
      </c>
      <c r="H85" s="5">
        <v>65.23</v>
      </c>
    </row>
    <row r="86" spans="1:8" x14ac:dyDescent="0.3">
      <c r="A86" s="3">
        <v>1153</v>
      </c>
      <c r="B86" s="3" t="s">
        <v>236</v>
      </c>
      <c r="C86" s="3">
        <v>1</v>
      </c>
      <c r="D86" s="3" t="s">
        <v>9</v>
      </c>
      <c r="E86" s="6">
        <v>1289.95</v>
      </c>
      <c r="F86" s="6">
        <v>907</v>
      </c>
      <c r="G86" s="6">
        <v>382.95</v>
      </c>
      <c r="H86" s="5">
        <v>42.22</v>
      </c>
    </row>
    <row r="87" spans="1:8" x14ac:dyDescent="0.3">
      <c r="A87" s="3">
        <v>1155</v>
      </c>
      <c r="B87" s="3" t="s">
        <v>308</v>
      </c>
      <c r="C87" s="3">
        <v>4</v>
      </c>
      <c r="D87" s="3" t="s">
        <v>9</v>
      </c>
      <c r="E87" s="6">
        <v>365.5</v>
      </c>
      <c r="F87" s="6">
        <v>334.4</v>
      </c>
      <c r="G87" s="6">
        <v>31.1</v>
      </c>
      <c r="H87" s="5">
        <v>9.3000000000000007</v>
      </c>
    </row>
    <row r="88" spans="1:8" x14ac:dyDescent="0.3">
      <c r="A88" s="3">
        <v>1169</v>
      </c>
      <c r="B88" s="3" t="s">
        <v>237</v>
      </c>
      <c r="C88" s="3">
        <v>337</v>
      </c>
      <c r="D88" s="3" t="s">
        <v>12</v>
      </c>
      <c r="E88" s="6">
        <v>1211.95</v>
      </c>
      <c r="F88" s="6">
        <v>1331.15</v>
      </c>
      <c r="G88" s="6">
        <v>-119.2</v>
      </c>
      <c r="H88" s="5">
        <v>-8.9499999999999993</v>
      </c>
    </row>
    <row r="89" spans="1:8" x14ac:dyDescent="0.3">
      <c r="A89" s="3">
        <v>1192</v>
      </c>
      <c r="B89" s="3" t="s">
        <v>320</v>
      </c>
      <c r="C89" s="5">
        <v>15.5</v>
      </c>
      <c r="D89" s="3" t="s">
        <v>16</v>
      </c>
      <c r="E89" s="6">
        <v>297.20999999999998</v>
      </c>
      <c r="F89" s="6">
        <v>286.75</v>
      </c>
      <c r="G89" s="6">
        <v>10.46</v>
      </c>
      <c r="H89" s="5">
        <v>3.65</v>
      </c>
    </row>
    <row r="90" spans="1:8" x14ac:dyDescent="0.3">
      <c r="A90" s="3">
        <v>1238</v>
      </c>
      <c r="B90" s="3" t="s">
        <v>235</v>
      </c>
      <c r="C90" s="3">
        <v>9</v>
      </c>
      <c r="D90" s="3" t="s">
        <v>9</v>
      </c>
      <c r="E90" s="6">
        <v>1296.04</v>
      </c>
      <c r="F90" s="6">
        <v>1755</v>
      </c>
      <c r="G90" s="6">
        <v>-458.96</v>
      </c>
      <c r="H90" s="5">
        <v>-26.15</v>
      </c>
    </row>
    <row r="91" spans="1:8" x14ac:dyDescent="0.3">
      <c r="A91" s="3">
        <v>1239</v>
      </c>
      <c r="B91" s="3" t="s">
        <v>312</v>
      </c>
      <c r="C91" s="3">
        <v>8</v>
      </c>
      <c r="D91" s="3" t="s">
        <v>9</v>
      </c>
      <c r="E91" s="6">
        <v>348.76</v>
      </c>
      <c r="F91" s="6">
        <v>224</v>
      </c>
      <c r="G91" s="6">
        <v>124.76</v>
      </c>
      <c r="H91" s="5">
        <v>55.7</v>
      </c>
    </row>
    <row r="92" spans="1:8" x14ac:dyDescent="0.3">
      <c r="A92" s="3">
        <v>1241</v>
      </c>
      <c r="B92" s="3" t="s">
        <v>241</v>
      </c>
      <c r="C92" s="3">
        <v>1</v>
      </c>
      <c r="D92" s="3" t="s">
        <v>9</v>
      </c>
      <c r="E92" s="6">
        <v>1150</v>
      </c>
      <c r="F92" s="6">
        <v>1080</v>
      </c>
      <c r="G92" s="6">
        <v>70</v>
      </c>
      <c r="H92" s="5">
        <v>6.48</v>
      </c>
    </row>
    <row r="93" spans="1:8" x14ac:dyDescent="0.3">
      <c r="A93" s="3">
        <v>1260</v>
      </c>
      <c r="B93" s="3" t="s">
        <v>400</v>
      </c>
      <c r="C93" s="3">
        <v>1</v>
      </c>
      <c r="D93" s="3" t="s">
        <v>9</v>
      </c>
      <c r="E93" s="6">
        <v>163.68</v>
      </c>
      <c r="F93" s="6">
        <v>140</v>
      </c>
      <c r="G93" s="6">
        <v>23.68</v>
      </c>
      <c r="H93" s="5">
        <v>16.91</v>
      </c>
    </row>
    <row r="94" spans="1:8" x14ac:dyDescent="0.3">
      <c r="A94" s="3">
        <v>1268</v>
      </c>
      <c r="B94" s="3" t="s">
        <v>257</v>
      </c>
      <c r="C94" s="3">
        <v>11</v>
      </c>
      <c r="D94" s="3" t="s">
        <v>25</v>
      </c>
      <c r="E94" s="6">
        <v>855.58</v>
      </c>
      <c r="F94" s="6">
        <v>627</v>
      </c>
      <c r="G94" s="6">
        <v>228.58</v>
      </c>
      <c r="H94" s="5">
        <v>36.46</v>
      </c>
    </row>
    <row r="95" spans="1:8" x14ac:dyDescent="0.3">
      <c r="A95" s="3">
        <v>1270</v>
      </c>
      <c r="B95" s="3" t="s">
        <v>101</v>
      </c>
      <c r="C95" s="3">
        <v>15</v>
      </c>
      <c r="D95" s="3" t="s">
        <v>9</v>
      </c>
      <c r="E95" s="6">
        <v>323.81</v>
      </c>
      <c r="F95" s="6">
        <v>198.6</v>
      </c>
      <c r="G95" s="6">
        <v>125.21</v>
      </c>
      <c r="H95" s="5">
        <v>63.05</v>
      </c>
    </row>
    <row r="96" spans="1:8" x14ac:dyDescent="0.3">
      <c r="A96" s="3">
        <v>1272</v>
      </c>
      <c r="B96" s="3" t="s">
        <v>260</v>
      </c>
      <c r="C96" s="3">
        <v>15</v>
      </c>
      <c r="D96" s="3" t="s">
        <v>9</v>
      </c>
      <c r="E96" s="6">
        <v>770.54</v>
      </c>
      <c r="F96" s="6">
        <v>590.85</v>
      </c>
      <c r="G96" s="6">
        <v>179.69</v>
      </c>
      <c r="H96" s="5">
        <v>30.41</v>
      </c>
    </row>
    <row r="97" spans="1:8" x14ac:dyDescent="0.3">
      <c r="A97" s="3">
        <v>1273</v>
      </c>
      <c r="B97" s="3" t="s">
        <v>390</v>
      </c>
      <c r="C97" s="3">
        <v>7</v>
      </c>
      <c r="D97" s="3" t="s">
        <v>9</v>
      </c>
      <c r="E97" s="6">
        <v>176.15</v>
      </c>
      <c r="F97" s="6">
        <v>118.37</v>
      </c>
      <c r="G97" s="6">
        <v>57.78</v>
      </c>
      <c r="H97" s="5">
        <v>48.81</v>
      </c>
    </row>
    <row r="98" spans="1:8" x14ac:dyDescent="0.3">
      <c r="A98" s="3">
        <v>1302</v>
      </c>
      <c r="B98" s="3" t="s">
        <v>294</v>
      </c>
      <c r="C98" s="3">
        <v>2</v>
      </c>
      <c r="D98" s="3" t="s">
        <v>9</v>
      </c>
      <c r="E98" s="6">
        <v>439.22</v>
      </c>
      <c r="F98" s="6">
        <v>280</v>
      </c>
      <c r="G98" s="6">
        <v>159.22</v>
      </c>
      <c r="H98" s="5">
        <v>56.86</v>
      </c>
    </row>
    <row r="99" spans="1:8" x14ac:dyDescent="0.3">
      <c r="A99" s="3">
        <v>1305</v>
      </c>
      <c r="B99" s="3" t="s">
        <v>192</v>
      </c>
      <c r="C99" s="5">
        <v>88.5</v>
      </c>
      <c r="D99" s="3" t="s">
        <v>12</v>
      </c>
      <c r="E99" s="6">
        <v>333.49</v>
      </c>
      <c r="F99" s="6">
        <v>205.32</v>
      </c>
      <c r="G99" s="6">
        <v>128.16999999999999</v>
      </c>
      <c r="H99" s="5">
        <v>62.42</v>
      </c>
    </row>
    <row r="100" spans="1:8" x14ac:dyDescent="0.3">
      <c r="A100" s="3">
        <v>1379</v>
      </c>
      <c r="B100" s="3" t="s">
        <v>310</v>
      </c>
      <c r="C100" s="5">
        <v>11.5</v>
      </c>
      <c r="D100" s="3" t="s">
        <v>9</v>
      </c>
      <c r="E100" s="6">
        <v>352.73</v>
      </c>
      <c r="F100" s="6">
        <v>224.25</v>
      </c>
      <c r="G100" s="6">
        <v>128.47999999999999</v>
      </c>
      <c r="H100" s="5">
        <v>57.29</v>
      </c>
    </row>
    <row r="101" spans="1:8" x14ac:dyDescent="0.3">
      <c r="A101" s="3">
        <v>1387</v>
      </c>
      <c r="B101" s="3" t="s">
        <v>239</v>
      </c>
      <c r="C101" s="5">
        <v>28.5</v>
      </c>
      <c r="D101" s="3" t="s">
        <v>9</v>
      </c>
      <c r="E101" s="6">
        <v>1208.21</v>
      </c>
      <c r="F101" s="6">
        <v>1197</v>
      </c>
      <c r="G101" s="6">
        <v>11.21</v>
      </c>
      <c r="H101" s="5">
        <v>0.94</v>
      </c>
    </row>
    <row r="102" spans="1:8" x14ac:dyDescent="0.3">
      <c r="A102" s="3">
        <v>1387</v>
      </c>
      <c r="B102" s="3" t="s">
        <v>247</v>
      </c>
      <c r="C102" s="5">
        <v>26.5</v>
      </c>
      <c r="D102" s="3" t="s">
        <v>9</v>
      </c>
      <c r="E102" s="6">
        <v>1086.8599999999999</v>
      </c>
      <c r="F102" s="6">
        <v>1113</v>
      </c>
      <c r="G102" s="6">
        <v>-26.14</v>
      </c>
      <c r="H102" s="5">
        <v>-2.35</v>
      </c>
    </row>
    <row r="103" spans="1:8" x14ac:dyDescent="0.3">
      <c r="A103" s="3">
        <v>1391</v>
      </c>
      <c r="B103" s="3" t="s">
        <v>316</v>
      </c>
      <c r="C103" s="3">
        <v>12</v>
      </c>
      <c r="D103" s="3" t="s">
        <v>9</v>
      </c>
      <c r="E103" s="6">
        <v>300.16000000000003</v>
      </c>
      <c r="F103" s="6">
        <v>214.8</v>
      </c>
      <c r="G103" s="6">
        <v>85.36</v>
      </c>
      <c r="H103" s="5">
        <v>39.74</v>
      </c>
    </row>
    <row r="104" spans="1:8" x14ac:dyDescent="0.3">
      <c r="A104" s="3">
        <v>1403</v>
      </c>
      <c r="B104" s="3" t="s">
        <v>301</v>
      </c>
      <c r="C104" s="3">
        <v>2</v>
      </c>
      <c r="D104" s="3" t="s">
        <v>9</v>
      </c>
      <c r="E104" s="6">
        <v>407</v>
      </c>
      <c r="F104" s="6">
        <v>351</v>
      </c>
      <c r="G104" s="6">
        <v>56</v>
      </c>
      <c r="H104" s="5">
        <v>15.95</v>
      </c>
    </row>
    <row r="105" spans="1:8" x14ac:dyDescent="0.3">
      <c r="A105" s="3">
        <v>1406</v>
      </c>
      <c r="B105" s="3" t="s">
        <v>304</v>
      </c>
      <c r="C105" s="3">
        <v>2</v>
      </c>
      <c r="D105" s="3" t="s">
        <v>9</v>
      </c>
      <c r="E105" s="6">
        <v>392.1</v>
      </c>
      <c r="F105" s="6">
        <v>194</v>
      </c>
      <c r="G105" s="6">
        <v>198.1</v>
      </c>
      <c r="H105" s="5">
        <v>102.11</v>
      </c>
    </row>
    <row r="106" spans="1:8" x14ac:dyDescent="0.3">
      <c r="A106" s="3">
        <v>1452</v>
      </c>
      <c r="B106" s="3" t="s">
        <v>282</v>
      </c>
      <c r="C106" s="3">
        <v>3</v>
      </c>
      <c r="D106" s="3" t="s">
        <v>9</v>
      </c>
      <c r="E106" s="6">
        <v>555.19000000000005</v>
      </c>
      <c r="F106" s="6">
        <v>585</v>
      </c>
      <c r="G106" s="6">
        <v>-29.81</v>
      </c>
      <c r="H106" s="5">
        <v>-5.0999999999999996</v>
      </c>
    </row>
    <row r="107" spans="1:8" x14ac:dyDescent="0.3">
      <c r="A107" s="3">
        <v>1465</v>
      </c>
      <c r="B107" s="3" t="s">
        <v>349</v>
      </c>
      <c r="C107" s="3">
        <v>6</v>
      </c>
      <c r="D107" s="3" t="s">
        <v>9</v>
      </c>
      <c r="E107" s="6">
        <v>227.7</v>
      </c>
      <c r="F107" s="6">
        <v>143.63999999999999</v>
      </c>
      <c r="G107" s="6">
        <v>84.06</v>
      </c>
      <c r="H107" s="5">
        <v>58.52</v>
      </c>
    </row>
    <row r="108" spans="1:8" x14ac:dyDescent="0.3">
      <c r="A108" s="3">
        <v>1486</v>
      </c>
      <c r="B108" s="3" t="s">
        <v>376</v>
      </c>
      <c r="C108" s="3">
        <v>46</v>
      </c>
      <c r="D108" s="3" t="s">
        <v>9</v>
      </c>
      <c r="E108" s="6">
        <v>189.83</v>
      </c>
      <c r="F108" s="6">
        <v>119.14</v>
      </c>
      <c r="G108" s="6">
        <v>70.69</v>
      </c>
      <c r="H108" s="5">
        <v>59.33</v>
      </c>
    </row>
    <row r="109" spans="1:8" x14ac:dyDescent="0.3">
      <c r="A109" s="3">
        <v>1501</v>
      </c>
      <c r="B109" s="3" t="s">
        <v>357</v>
      </c>
      <c r="C109" s="4">
        <v>29549</v>
      </c>
      <c r="D109" s="3" t="s">
        <v>16</v>
      </c>
      <c r="E109" s="6">
        <v>210.93</v>
      </c>
      <c r="F109" s="6">
        <v>251.17</v>
      </c>
      <c r="G109" s="6">
        <v>-40.24</v>
      </c>
      <c r="H109" s="5">
        <v>-16.02</v>
      </c>
    </row>
    <row r="110" spans="1:8" x14ac:dyDescent="0.3">
      <c r="A110" s="3">
        <v>1501</v>
      </c>
      <c r="B110" s="3" t="s">
        <v>404</v>
      </c>
      <c r="C110" s="5">
        <v>21.56</v>
      </c>
      <c r="D110" s="3" t="s">
        <v>16</v>
      </c>
      <c r="E110" s="6">
        <v>160.76</v>
      </c>
      <c r="F110" s="6">
        <v>183.26</v>
      </c>
      <c r="G110" s="6">
        <v>-22.5</v>
      </c>
      <c r="H110" s="5">
        <v>-12.28</v>
      </c>
    </row>
    <row r="111" spans="1:8" x14ac:dyDescent="0.3">
      <c r="A111" s="3">
        <v>1509</v>
      </c>
      <c r="B111" s="3" t="s">
        <v>130</v>
      </c>
      <c r="C111" s="5">
        <v>314.5</v>
      </c>
      <c r="D111" s="3" t="s">
        <v>12</v>
      </c>
      <c r="E111" s="6">
        <v>184.29</v>
      </c>
      <c r="F111" s="6">
        <v>120.32</v>
      </c>
      <c r="G111" s="6">
        <v>63.97</v>
      </c>
      <c r="H111" s="5">
        <v>53.17</v>
      </c>
    </row>
    <row r="112" spans="1:8" x14ac:dyDescent="0.3">
      <c r="A112" s="3">
        <v>1564</v>
      </c>
      <c r="B112" s="3" t="s">
        <v>242</v>
      </c>
      <c r="C112" s="3">
        <v>34</v>
      </c>
      <c r="D112" s="3" t="s">
        <v>9</v>
      </c>
      <c r="E112" s="6">
        <v>1148.55</v>
      </c>
      <c r="F112" s="6">
        <v>1020</v>
      </c>
      <c r="G112" s="6">
        <v>128.55000000000001</v>
      </c>
      <c r="H112" s="5">
        <v>12.6</v>
      </c>
    </row>
    <row r="113" spans="1:8" x14ac:dyDescent="0.3">
      <c r="A113" s="3">
        <v>1578</v>
      </c>
      <c r="B113" s="3" t="s">
        <v>341</v>
      </c>
      <c r="C113" s="3">
        <v>14</v>
      </c>
      <c r="D113" s="3" t="s">
        <v>9</v>
      </c>
      <c r="E113" s="6">
        <v>236.82</v>
      </c>
      <c r="F113" s="6">
        <v>163.38</v>
      </c>
      <c r="G113" s="6">
        <v>73.44</v>
      </c>
      <c r="H113" s="5">
        <v>44.95</v>
      </c>
    </row>
    <row r="114" spans="1:8" x14ac:dyDescent="0.3">
      <c r="A114" s="3">
        <v>1602</v>
      </c>
      <c r="B114" s="3" t="s">
        <v>107</v>
      </c>
      <c r="C114" s="3">
        <v>11</v>
      </c>
      <c r="D114" s="3" t="s">
        <v>9</v>
      </c>
      <c r="E114" s="6">
        <v>383</v>
      </c>
      <c r="F114" s="6">
        <v>189.86</v>
      </c>
      <c r="G114" s="6">
        <v>193.14</v>
      </c>
      <c r="H114" s="5">
        <v>101.73</v>
      </c>
    </row>
    <row r="115" spans="1:8" x14ac:dyDescent="0.3">
      <c r="A115" s="3">
        <v>1620</v>
      </c>
      <c r="B115" s="3" t="s">
        <v>344</v>
      </c>
      <c r="C115" s="3">
        <v>15</v>
      </c>
      <c r="D115" s="3" t="s">
        <v>12</v>
      </c>
      <c r="E115" s="6">
        <v>232.5</v>
      </c>
      <c r="F115" s="6">
        <v>127.5</v>
      </c>
      <c r="G115" s="6">
        <v>105</v>
      </c>
      <c r="H115" s="5">
        <v>82.35</v>
      </c>
    </row>
    <row r="116" spans="1:8" x14ac:dyDescent="0.3">
      <c r="A116" s="3">
        <v>1630</v>
      </c>
      <c r="B116" s="3" t="s">
        <v>265</v>
      </c>
      <c r="C116" s="3">
        <v>5</v>
      </c>
      <c r="D116" s="3" t="s">
        <v>25</v>
      </c>
      <c r="E116" s="6">
        <v>707.47</v>
      </c>
      <c r="F116" s="6">
        <v>675</v>
      </c>
      <c r="G116" s="6">
        <v>32.47</v>
      </c>
      <c r="H116" s="5">
        <v>4.8099999999999996</v>
      </c>
    </row>
    <row r="117" spans="1:8" x14ac:dyDescent="0.3">
      <c r="A117" s="3">
        <v>1634</v>
      </c>
      <c r="B117" s="3" t="s">
        <v>382</v>
      </c>
      <c r="C117" s="3">
        <v>6</v>
      </c>
      <c r="D117" s="3" t="s">
        <v>34</v>
      </c>
      <c r="E117" s="6">
        <v>182.16</v>
      </c>
      <c r="F117" s="6">
        <v>141</v>
      </c>
      <c r="G117" s="6">
        <v>41.16</v>
      </c>
      <c r="H117" s="5">
        <v>29.19</v>
      </c>
    </row>
    <row r="118" spans="1:8" x14ac:dyDescent="0.3">
      <c r="A118" s="3">
        <v>1671</v>
      </c>
      <c r="B118" s="3" t="s">
        <v>302</v>
      </c>
      <c r="C118" s="3">
        <v>44</v>
      </c>
      <c r="D118" s="3" t="s">
        <v>25</v>
      </c>
      <c r="E118" s="6">
        <v>393.72</v>
      </c>
      <c r="F118" s="6">
        <v>286</v>
      </c>
      <c r="G118" s="6">
        <v>107.72</v>
      </c>
      <c r="H118" s="5">
        <v>37.659999999999997</v>
      </c>
    </row>
    <row r="119" spans="1:8" x14ac:dyDescent="0.3">
      <c r="A119" s="3">
        <v>1783</v>
      </c>
      <c r="B119" s="3" t="s">
        <v>268</v>
      </c>
      <c r="C119" s="3">
        <v>62</v>
      </c>
      <c r="D119" s="3" t="s">
        <v>9</v>
      </c>
      <c r="E119" s="6">
        <v>653.99</v>
      </c>
      <c r="F119" s="6">
        <v>374.48</v>
      </c>
      <c r="G119" s="6">
        <v>279.51</v>
      </c>
      <c r="H119" s="5">
        <v>74.64</v>
      </c>
    </row>
    <row r="120" spans="1:8" x14ac:dyDescent="0.3">
      <c r="A120" s="3">
        <v>1841</v>
      </c>
      <c r="B120" s="3" t="s">
        <v>311</v>
      </c>
      <c r="C120" s="3">
        <v>8</v>
      </c>
      <c r="D120" s="3" t="s">
        <v>9</v>
      </c>
      <c r="E120" s="6">
        <v>350</v>
      </c>
      <c r="F120" s="6">
        <v>384</v>
      </c>
      <c r="G120" s="6">
        <v>-34</v>
      </c>
      <c r="H120" s="5">
        <v>-8.85</v>
      </c>
    </row>
    <row r="121" spans="1:8" x14ac:dyDescent="0.3">
      <c r="A121" s="3">
        <v>1896</v>
      </c>
      <c r="B121" s="3" t="s">
        <v>387</v>
      </c>
      <c r="C121" s="3">
        <v>12</v>
      </c>
      <c r="D121" s="3" t="s">
        <v>9</v>
      </c>
      <c r="E121" s="6">
        <v>179.94</v>
      </c>
      <c r="F121" s="6">
        <v>131.79</v>
      </c>
      <c r="G121" s="6">
        <v>48.15</v>
      </c>
      <c r="H121" s="5">
        <v>36.54</v>
      </c>
    </row>
    <row r="122" spans="1:8" x14ac:dyDescent="0.3">
      <c r="A122" s="3">
        <v>1897</v>
      </c>
      <c r="B122" s="3" t="s">
        <v>317</v>
      </c>
      <c r="C122" s="3">
        <v>30</v>
      </c>
      <c r="D122" s="3" t="s">
        <v>9</v>
      </c>
      <c r="E122" s="6">
        <v>299.41000000000003</v>
      </c>
      <c r="F122" s="6">
        <v>194.4</v>
      </c>
      <c r="G122" s="6">
        <v>105.01</v>
      </c>
      <c r="H122" s="5">
        <v>54.02</v>
      </c>
    </row>
    <row r="123" spans="1:8" x14ac:dyDescent="0.3">
      <c r="A123" s="3">
        <v>2028</v>
      </c>
      <c r="B123" s="3" t="s">
        <v>396</v>
      </c>
      <c r="C123" s="3">
        <v>9</v>
      </c>
      <c r="D123" s="3" t="s">
        <v>397</v>
      </c>
      <c r="E123" s="6">
        <v>171.49</v>
      </c>
      <c r="F123" s="6">
        <v>103.5</v>
      </c>
      <c r="G123" s="6">
        <v>67.989999999999995</v>
      </c>
      <c r="H123" s="5">
        <v>65.69</v>
      </c>
    </row>
    <row r="124" spans="1:8" x14ac:dyDescent="0.3">
      <c r="A124" s="3">
        <v>2038</v>
      </c>
      <c r="B124" s="3" t="s">
        <v>363</v>
      </c>
      <c r="C124" s="3">
        <v>1</v>
      </c>
      <c r="D124" s="3" t="s">
        <v>9</v>
      </c>
      <c r="E124" s="6">
        <v>206.01</v>
      </c>
      <c r="F124" s="6">
        <v>151.61000000000001</v>
      </c>
      <c r="G124" s="6">
        <v>54.4</v>
      </c>
      <c r="H124" s="5">
        <v>35.880000000000003</v>
      </c>
    </row>
    <row r="125" spans="1:8" x14ac:dyDescent="0.3">
      <c r="A125" s="3">
        <v>2103</v>
      </c>
      <c r="B125" s="3" t="s">
        <v>126</v>
      </c>
      <c r="C125" s="3">
        <v>13</v>
      </c>
      <c r="D125" s="3" t="s">
        <v>9</v>
      </c>
      <c r="E125" s="6">
        <v>375.86</v>
      </c>
      <c r="F125" s="6">
        <v>235.3</v>
      </c>
      <c r="G125" s="6">
        <v>140.56</v>
      </c>
      <c r="H125" s="5">
        <v>59.74</v>
      </c>
    </row>
    <row r="126" spans="1:8" x14ac:dyDescent="0.3">
      <c r="A126" s="3">
        <v>2107</v>
      </c>
      <c r="B126" s="3" t="s">
        <v>370</v>
      </c>
      <c r="C126" s="3">
        <v>66</v>
      </c>
      <c r="D126" s="3" t="s">
        <v>9</v>
      </c>
      <c r="E126" s="6">
        <v>197.43</v>
      </c>
      <c r="F126" s="6">
        <v>120.78</v>
      </c>
      <c r="G126" s="6">
        <v>76.650000000000006</v>
      </c>
      <c r="H126" s="5">
        <v>63.46</v>
      </c>
    </row>
    <row r="127" spans="1:8" x14ac:dyDescent="0.3">
      <c r="A127" s="3">
        <v>2134</v>
      </c>
      <c r="B127" s="3" t="s">
        <v>342</v>
      </c>
      <c r="C127" s="3">
        <v>71</v>
      </c>
      <c r="D127" s="3" t="s">
        <v>9</v>
      </c>
      <c r="E127" s="6">
        <v>233.76</v>
      </c>
      <c r="F127" s="6">
        <v>130.63999999999999</v>
      </c>
      <c r="G127" s="6">
        <v>103.12</v>
      </c>
      <c r="H127" s="5">
        <v>78.930000000000007</v>
      </c>
    </row>
    <row r="128" spans="1:8" x14ac:dyDescent="0.3">
      <c r="A128" s="3">
        <v>2200</v>
      </c>
      <c r="B128" s="3" t="s">
        <v>306</v>
      </c>
      <c r="C128" s="3">
        <v>35</v>
      </c>
      <c r="D128" s="3" t="s">
        <v>9</v>
      </c>
      <c r="E128" s="6">
        <v>379.09</v>
      </c>
      <c r="F128" s="6">
        <v>231</v>
      </c>
      <c r="G128" s="6">
        <v>148.09</v>
      </c>
      <c r="H128" s="5">
        <v>64.11</v>
      </c>
    </row>
    <row r="129" spans="1:8" x14ac:dyDescent="0.3">
      <c r="A129" s="3">
        <v>2213</v>
      </c>
      <c r="B129" s="3" t="s">
        <v>254</v>
      </c>
      <c r="C129" s="3">
        <v>4930</v>
      </c>
      <c r="D129" s="3" t="s">
        <v>9</v>
      </c>
      <c r="E129" s="6">
        <v>897.75</v>
      </c>
      <c r="F129" s="6">
        <v>394.4</v>
      </c>
      <c r="G129" s="6">
        <v>503.35</v>
      </c>
      <c r="H129" s="5">
        <v>127.62</v>
      </c>
    </row>
    <row r="130" spans="1:8" x14ac:dyDescent="0.3">
      <c r="A130" s="3">
        <v>2216</v>
      </c>
      <c r="B130" s="3" t="s">
        <v>253</v>
      </c>
      <c r="C130" s="3">
        <v>29</v>
      </c>
      <c r="D130" s="3" t="s">
        <v>9</v>
      </c>
      <c r="E130" s="6">
        <v>969.57</v>
      </c>
      <c r="F130" s="6">
        <v>688.75</v>
      </c>
      <c r="G130" s="6">
        <v>280.82</v>
      </c>
      <c r="H130" s="5">
        <v>40.770000000000003</v>
      </c>
    </row>
    <row r="131" spans="1:8" x14ac:dyDescent="0.3">
      <c r="A131" s="3">
        <v>2400</v>
      </c>
      <c r="B131" s="3" t="s">
        <v>401</v>
      </c>
      <c r="C131" s="3">
        <v>51</v>
      </c>
      <c r="D131" s="3" t="s">
        <v>9</v>
      </c>
      <c r="E131" s="6">
        <v>163.21</v>
      </c>
      <c r="F131" s="6">
        <v>99.95</v>
      </c>
      <c r="G131" s="6">
        <v>63.26</v>
      </c>
      <c r="H131" s="5">
        <v>63.29</v>
      </c>
    </row>
    <row r="132" spans="1:8" x14ac:dyDescent="0.3">
      <c r="A132" s="3">
        <v>2455</v>
      </c>
      <c r="B132" s="3" t="s">
        <v>277</v>
      </c>
      <c r="C132" s="3">
        <v>3</v>
      </c>
      <c r="D132" s="3" t="s">
        <v>9</v>
      </c>
      <c r="E132" s="6">
        <v>620</v>
      </c>
      <c r="F132" s="6">
        <v>390</v>
      </c>
      <c r="G132" s="6">
        <v>230</v>
      </c>
      <c r="H132" s="5">
        <v>58.97</v>
      </c>
    </row>
    <row r="133" spans="1:8" x14ac:dyDescent="0.3">
      <c r="A133" s="3">
        <v>2460</v>
      </c>
      <c r="B133" s="3" t="s">
        <v>281</v>
      </c>
      <c r="C133" s="3">
        <v>2</v>
      </c>
      <c r="D133" s="3" t="s">
        <v>9</v>
      </c>
      <c r="E133" s="6">
        <v>557.98</v>
      </c>
      <c r="F133" s="6">
        <v>462</v>
      </c>
      <c r="G133" s="6">
        <v>95.98</v>
      </c>
      <c r="H133" s="5">
        <v>20.77</v>
      </c>
    </row>
    <row r="134" spans="1:8" x14ac:dyDescent="0.3">
      <c r="A134" s="3">
        <v>2472</v>
      </c>
      <c r="B134" s="3" t="s">
        <v>193</v>
      </c>
      <c r="C134" s="5">
        <v>124.5</v>
      </c>
      <c r="D134" s="3" t="s">
        <v>12</v>
      </c>
      <c r="E134" s="6">
        <v>287.43</v>
      </c>
      <c r="F134" s="6">
        <v>189.24</v>
      </c>
      <c r="G134" s="6">
        <v>98.19</v>
      </c>
      <c r="H134" s="5">
        <v>51.89</v>
      </c>
    </row>
    <row r="135" spans="1:8" x14ac:dyDescent="0.3">
      <c r="A135" s="3">
        <v>2528</v>
      </c>
      <c r="B135" s="3" t="s">
        <v>230</v>
      </c>
      <c r="C135" s="3">
        <v>2</v>
      </c>
      <c r="D135" s="3" t="s">
        <v>9</v>
      </c>
      <c r="E135" s="6">
        <v>1987.44</v>
      </c>
      <c r="F135" s="6">
        <v>1608</v>
      </c>
      <c r="G135" s="6">
        <v>379.44</v>
      </c>
      <c r="H135" s="5">
        <v>23.6</v>
      </c>
    </row>
    <row r="136" spans="1:8" x14ac:dyDescent="0.3">
      <c r="A136" s="3">
        <v>2819</v>
      </c>
      <c r="B136" s="3" t="s">
        <v>250</v>
      </c>
      <c r="C136" s="3">
        <v>10</v>
      </c>
      <c r="D136" s="3" t="s">
        <v>9</v>
      </c>
      <c r="E136" s="6">
        <v>1012</v>
      </c>
      <c r="F136" s="6">
        <v>850</v>
      </c>
      <c r="G136" s="6">
        <v>162</v>
      </c>
      <c r="H136" s="5">
        <v>19.059999999999999</v>
      </c>
    </row>
    <row r="137" spans="1:8" x14ac:dyDescent="0.3">
      <c r="A137" s="3">
        <v>2904</v>
      </c>
      <c r="B137" s="3" t="s">
        <v>273</v>
      </c>
      <c r="C137" s="3">
        <v>2</v>
      </c>
      <c r="D137" s="3" t="s">
        <v>9</v>
      </c>
      <c r="E137" s="6">
        <v>628</v>
      </c>
      <c r="F137" s="6">
        <v>388</v>
      </c>
      <c r="G137" s="6">
        <v>240</v>
      </c>
      <c r="H137" s="5">
        <v>61.86</v>
      </c>
    </row>
    <row r="138" spans="1:8" x14ac:dyDescent="0.3">
      <c r="A138" s="3">
        <v>2973</v>
      </c>
      <c r="B138" s="3" t="s">
        <v>233</v>
      </c>
      <c r="C138" s="5">
        <v>1742.5</v>
      </c>
      <c r="D138" s="3" t="s">
        <v>12</v>
      </c>
      <c r="E138" s="6">
        <v>1383.51</v>
      </c>
      <c r="F138" s="6">
        <v>1010.65</v>
      </c>
      <c r="G138" s="6">
        <v>372.86</v>
      </c>
      <c r="H138" s="5">
        <v>36.89</v>
      </c>
    </row>
    <row r="139" spans="1:8" x14ac:dyDescent="0.3">
      <c r="A139" s="3">
        <v>3008</v>
      </c>
      <c r="B139" s="3" t="s">
        <v>377</v>
      </c>
      <c r="C139" s="3">
        <v>17</v>
      </c>
      <c r="D139" s="3" t="s">
        <v>9</v>
      </c>
      <c r="E139" s="6">
        <v>187.52</v>
      </c>
      <c r="F139" s="6">
        <v>116.79</v>
      </c>
      <c r="G139" s="6">
        <v>70.73</v>
      </c>
      <c r="H139" s="5">
        <v>60.56</v>
      </c>
    </row>
    <row r="140" spans="1:8" x14ac:dyDescent="0.3">
      <c r="A140" s="3">
        <v>3075</v>
      </c>
      <c r="B140" s="3" t="s">
        <v>228</v>
      </c>
      <c r="C140" s="3">
        <v>1</v>
      </c>
      <c r="D140" s="3" t="s">
        <v>9</v>
      </c>
      <c r="E140" s="6">
        <v>2039.96</v>
      </c>
      <c r="F140" s="6">
        <v>1650</v>
      </c>
      <c r="G140" s="6">
        <v>389.96</v>
      </c>
      <c r="H140" s="5">
        <v>23.63</v>
      </c>
    </row>
    <row r="141" spans="1:8" x14ac:dyDescent="0.3">
      <c r="A141" s="3">
        <v>3093</v>
      </c>
      <c r="B141" s="3" t="s">
        <v>330</v>
      </c>
      <c r="C141" s="3">
        <v>14</v>
      </c>
      <c r="D141" s="3" t="s">
        <v>9</v>
      </c>
      <c r="E141" s="6">
        <v>260.41000000000003</v>
      </c>
      <c r="F141" s="6">
        <v>161</v>
      </c>
      <c r="G141" s="6">
        <v>99.41</v>
      </c>
      <c r="H141" s="5">
        <v>61.75</v>
      </c>
    </row>
    <row r="142" spans="1:8" x14ac:dyDescent="0.3">
      <c r="A142" s="3">
        <v>3219</v>
      </c>
      <c r="B142" s="3" t="s">
        <v>367</v>
      </c>
      <c r="C142" s="3">
        <v>15</v>
      </c>
      <c r="D142" s="3" t="s">
        <v>9</v>
      </c>
      <c r="E142" s="6">
        <v>203.85</v>
      </c>
      <c r="F142" s="6">
        <v>129.1</v>
      </c>
      <c r="G142" s="6">
        <v>74.75</v>
      </c>
      <c r="H142" s="5">
        <v>57.9</v>
      </c>
    </row>
    <row r="143" spans="1:8" x14ac:dyDescent="0.3">
      <c r="A143" s="3">
        <v>3253</v>
      </c>
      <c r="B143" s="3" t="s">
        <v>364</v>
      </c>
      <c r="C143" s="3">
        <v>14</v>
      </c>
      <c r="D143" s="3" t="s">
        <v>365</v>
      </c>
      <c r="E143" s="6">
        <v>205.81</v>
      </c>
      <c r="F143" s="6">
        <v>148.12</v>
      </c>
      <c r="G143" s="6">
        <v>57.69</v>
      </c>
      <c r="H143" s="5">
        <v>38.950000000000003</v>
      </c>
    </row>
    <row r="144" spans="1:8" x14ac:dyDescent="0.3">
      <c r="A144" s="3">
        <v>3258</v>
      </c>
      <c r="B144" s="3" t="s">
        <v>289</v>
      </c>
      <c r="C144" s="5">
        <v>52.5</v>
      </c>
      <c r="D144" s="3" t="s">
        <v>16</v>
      </c>
      <c r="E144" s="6">
        <v>474.14</v>
      </c>
      <c r="F144" s="6">
        <v>252</v>
      </c>
      <c r="G144" s="6">
        <v>222.14</v>
      </c>
      <c r="H144" s="5">
        <v>88.15</v>
      </c>
    </row>
    <row r="145" spans="1:8" x14ac:dyDescent="0.3">
      <c r="A145" s="3">
        <v>3305</v>
      </c>
      <c r="B145" s="3" t="s">
        <v>19</v>
      </c>
      <c r="C145" s="3">
        <v>1</v>
      </c>
      <c r="D145" s="3" t="s">
        <v>9</v>
      </c>
      <c r="E145" s="6">
        <v>515.02</v>
      </c>
      <c r="F145" s="6">
        <v>550</v>
      </c>
      <c r="G145" s="6">
        <v>-34.979999999999997</v>
      </c>
      <c r="H145" s="5">
        <v>-6.36</v>
      </c>
    </row>
    <row r="146" spans="1:8" x14ac:dyDescent="0.3">
      <c r="A146" s="3">
        <v>3327</v>
      </c>
      <c r="B146" s="3" t="s">
        <v>383</v>
      </c>
      <c r="C146" s="3">
        <v>48</v>
      </c>
      <c r="D146" s="3" t="s">
        <v>9</v>
      </c>
      <c r="E146" s="6">
        <v>181.41</v>
      </c>
      <c r="F146" s="6">
        <v>120</v>
      </c>
      <c r="G146" s="6">
        <v>61.41</v>
      </c>
      <c r="H146" s="5">
        <v>51.17</v>
      </c>
    </row>
    <row r="147" spans="1:8" x14ac:dyDescent="0.3">
      <c r="A147" s="3">
        <v>3360</v>
      </c>
      <c r="B147" s="3" t="s">
        <v>351</v>
      </c>
      <c r="C147" s="3">
        <v>4</v>
      </c>
      <c r="D147" s="3" t="s">
        <v>34</v>
      </c>
      <c r="E147" s="6">
        <v>218.2</v>
      </c>
      <c r="F147" s="6">
        <v>160.80000000000001</v>
      </c>
      <c r="G147" s="6">
        <v>57.4</v>
      </c>
      <c r="H147" s="5">
        <v>35.700000000000003</v>
      </c>
    </row>
    <row r="148" spans="1:8" x14ac:dyDescent="0.3">
      <c r="A148" s="3">
        <v>3369</v>
      </c>
      <c r="B148" s="3" t="s">
        <v>292</v>
      </c>
      <c r="C148" s="3">
        <v>23</v>
      </c>
      <c r="D148" s="3" t="s">
        <v>9</v>
      </c>
      <c r="E148" s="6">
        <v>447.83</v>
      </c>
      <c r="F148" s="6">
        <v>322.92</v>
      </c>
      <c r="G148" s="6">
        <v>124.91</v>
      </c>
      <c r="H148" s="5">
        <v>38.68</v>
      </c>
    </row>
    <row r="149" spans="1:8" x14ac:dyDescent="0.3">
      <c r="A149" s="3">
        <v>3403</v>
      </c>
      <c r="B149" s="3" t="s">
        <v>140</v>
      </c>
      <c r="C149" s="3">
        <v>27</v>
      </c>
      <c r="D149" s="3" t="s">
        <v>22</v>
      </c>
      <c r="E149" s="6">
        <v>1540.01</v>
      </c>
      <c r="F149" s="6">
        <v>945</v>
      </c>
      <c r="G149" s="6">
        <v>595.01</v>
      </c>
      <c r="H149" s="5">
        <v>62.96</v>
      </c>
    </row>
    <row r="150" spans="1:8" x14ac:dyDescent="0.3">
      <c r="A150" s="3">
        <v>3479</v>
      </c>
      <c r="B150" s="3" t="s">
        <v>293</v>
      </c>
      <c r="C150" s="3">
        <v>14</v>
      </c>
      <c r="D150" s="3" t="s">
        <v>25</v>
      </c>
      <c r="E150" s="6">
        <v>444.58</v>
      </c>
      <c r="F150" s="6">
        <v>336</v>
      </c>
      <c r="G150" s="6">
        <v>108.58</v>
      </c>
      <c r="H150" s="5">
        <v>32.32</v>
      </c>
    </row>
    <row r="151" spans="1:8" x14ac:dyDescent="0.3">
      <c r="A151" s="3">
        <v>3522</v>
      </c>
      <c r="B151" s="3" t="s">
        <v>324</v>
      </c>
      <c r="C151" s="3">
        <v>5</v>
      </c>
      <c r="D151" s="3" t="s">
        <v>9</v>
      </c>
      <c r="E151" s="6">
        <v>280.01</v>
      </c>
      <c r="F151" s="6">
        <v>295</v>
      </c>
      <c r="G151" s="6">
        <v>-14.99</v>
      </c>
      <c r="H151" s="5">
        <v>-5.08</v>
      </c>
    </row>
    <row r="152" spans="1:8" x14ac:dyDescent="0.3">
      <c r="A152" s="3">
        <v>3531</v>
      </c>
      <c r="B152" s="3" t="s">
        <v>224</v>
      </c>
      <c r="C152" s="3">
        <v>5</v>
      </c>
      <c r="D152" s="3" t="s">
        <v>9</v>
      </c>
      <c r="E152" s="6">
        <v>3641.98</v>
      </c>
      <c r="F152" s="6">
        <v>2289.5</v>
      </c>
      <c r="G152" s="6">
        <v>1352.48</v>
      </c>
      <c r="H152" s="5">
        <v>59.07</v>
      </c>
    </row>
    <row r="153" spans="1:8" x14ac:dyDescent="0.3">
      <c r="A153" s="3">
        <v>3531</v>
      </c>
      <c r="B153" s="3" t="s">
        <v>264</v>
      </c>
      <c r="C153" s="3">
        <v>1</v>
      </c>
      <c r="D153" s="3" t="s">
        <v>9</v>
      </c>
      <c r="E153" s="6">
        <v>735.02</v>
      </c>
      <c r="F153" s="6">
        <v>443</v>
      </c>
      <c r="G153" s="6">
        <v>292.02</v>
      </c>
      <c r="H153" s="5">
        <v>65.92</v>
      </c>
    </row>
    <row r="154" spans="1:8" x14ac:dyDescent="0.3">
      <c r="A154" s="3">
        <v>3582</v>
      </c>
      <c r="B154" s="3" t="s">
        <v>385</v>
      </c>
      <c r="C154" s="3">
        <v>6</v>
      </c>
      <c r="D154" s="3" t="s">
        <v>22</v>
      </c>
      <c r="E154" s="6">
        <v>180.01</v>
      </c>
      <c r="F154" s="6">
        <v>116.1</v>
      </c>
      <c r="G154" s="6">
        <v>63.91</v>
      </c>
      <c r="H154" s="5">
        <v>55.05</v>
      </c>
    </row>
    <row r="155" spans="1:8" x14ac:dyDescent="0.3">
      <c r="A155" s="3">
        <v>3605</v>
      </c>
      <c r="B155" s="3" t="s">
        <v>343</v>
      </c>
      <c r="C155" s="5">
        <v>41.5</v>
      </c>
      <c r="D155" s="3" t="s">
        <v>22</v>
      </c>
      <c r="E155" s="6">
        <v>232.63</v>
      </c>
      <c r="F155" s="6">
        <v>149.4</v>
      </c>
      <c r="G155" s="6">
        <v>83.23</v>
      </c>
      <c r="H155" s="5">
        <v>55.71</v>
      </c>
    </row>
    <row r="156" spans="1:8" x14ac:dyDescent="0.3">
      <c r="A156" s="3">
        <v>3659</v>
      </c>
      <c r="B156" s="3" t="s">
        <v>287</v>
      </c>
      <c r="C156" s="3">
        <v>280</v>
      </c>
      <c r="D156" s="3" t="s">
        <v>12</v>
      </c>
      <c r="E156" s="6">
        <v>493.28</v>
      </c>
      <c r="F156" s="6">
        <v>476</v>
      </c>
      <c r="G156" s="6">
        <v>17.28</v>
      </c>
      <c r="H156" s="5">
        <v>3.63</v>
      </c>
    </row>
    <row r="157" spans="1:8" x14ac:dyDescent="0.3">
      <c r="A157" s="3">
        <v>3666</v>
      </c>
      <c r="B157" s="3" t="s">
        <v>300</v>
      </c>
      <c r="C157" s="3">
        <v>40</v>
      </c>
      <c r="D157" s="3" t="s">
        <v>9</v>
      </c>
      <c r="E157" s="6">
        <v>416.02</v>
      </c>
      <c r="F157" s="6">
        <v>420</v>
      </c>
      <c r="G157" s="6">
        <v>-3.98</v>
      </c>
      <c r="H157" s="5">
        <v>-0.95</v>
      </c>
    </row>
    <row r="158" spans="1:8" x14ac:dyDescent="0.3">
      <c r="A158" s="3">
        <v>3685</v>
      </c>
      <c r="B158" s="3" t="s">
        <v>346</v>
      </c>
      <c r="C158" s="3">
        <v>3</v>
      </c>
      <c r="D158" s="3" t="s">
        <v>9</v>
      </c>
      <c r="E158" s="6">
        <v>230.86</v>
      </c>
      <c r="F158" s="6">
        <v>155.94</v>
      </c>
      <c r="G158" s="6">
        <v>74.92</v>
      </c>
      <c r="H158" s="5">
        <v>48.04</v>
      </c>
    </row>
    <row r="159" spans="1:8" x14ac:dyDescent="0.3">
      <c r="A159" s="3">
        <v>3747</v>
      </c>
      <c r="B159" s="3" t="s">
        <v>394</v>
      </c>
      <c r="C159" s="3">
        <v>5</v>
      </c>
      <c r="D159" s="3" t="s">
        <v>9</v>
      </c>
      <c r="E159" s="6">
        <v>171.8</v>
      </c>
      <c r="F159" s="6">
        <v>115</v>
      </c>
      <c r="G159" s="6">
        <v>56.8</v>
      </c>
      <c r="H159" s="5">
        <v>49.39</v>
      </c>
    </row>
    <row r="160" spans="1:8" x14ac:dyDescent="0.3">
      <c r="A160" s="3">
        <v>3769</v>
      </c>
      <c r="B160" s="3" t="s">
        <v>392</v>
      </c>
      <c r="C160" s="3">
        <v>1</v>
      </c>
      <c r="D160" s="3" t="s">
        <v>9</v>
      </c>
      <c r="E160" s="6">
        <v>172.17</v>
      </c>
      <c r="F160" s="6">
        <v>162</v>
      </c>
      <c r="G160" s="6">
        <v>10.17</v>
      </c>
      <c r="H160" s="5">
        <v>6.28</v>
      </c>
    </row>
    <row r="161" spans="1:8" x14ac:dyDescent="0.3">
      <c r="A161" s="3">
        <v>3788</v>
      </c>
      <c r="B161" s="3" t="s">
        <v>175</v>
      </c>
      <c r="C161" s="3">
        <v>6</v>
      </c>
      <c r="D161" s="3" t="s">
        <v>9</v>
      </c>
      <c r="E161" s="6">
        <v>301.07</v>
      </c>
      <c r="F161" s="6">
        <v>300</v>
      </c>
      <c r="G161" s="6">
        <v>1.07</v>
      </c>
      <c r="H161" s="5">
        <v>0.36</v>
      </c>
    </row>
    <row r="162" spans="1:8" x14ac:dyDescent="0.3">
      <c r="A162" s="3">
        <v>3793</v>
      </c>
      <c r="B162" s="3" t="s">
        <v>323</v>
      </c>
      <c r="C162" s="3">
        <v>48</v>
      </c>
      <c r="D162" s="3" t="s">
        <v>9</v>
      </c>
      <c r="E162" s="6">
        <v>287.77</v>
      </c>
      <c r="F162" s="6">
        <v>302.39999999999998</v>
      </c>
      <c r="G162" s="6">
        <v>-14.63</v>
      </c>
      <c r="H162" s="5">
        <v>-4.84</v>
      </c>
    </row>
    <row r="163" spans="1:8" x14ac:dyDescent="0.3">
      <c r="A163" s="3">
        <v>3840</v>
      </c>
      <c r="B163" s="3" t="s">
        <v>232</v>
      </c>
      <c r="C163" s="3">
        <v>2</v>
      </c>
      <c r="D163" s="3" t="s">
        <v>9</v>
      </c>
      <c r="E163" s="6">
        <v>1470.42</v>
      </c>
      <c r="F163" s="6">
        <v>1590</v>
      </c>
      <c r="G163" s="6">
        <v>-119.58</v>
      </c>
      <c r="H163" s="5">
        <v>-7.52</v>
      </c>
    </row>
    <row r="164" spans="1:8" x14ac:dyDescent="0.3">
      <c r="A164" s="3">
        <v>3879</v>
      </c>
      <c r="B164" s="3" t="s">
        <v>399</v>
      </c>
      <c r="C164" s="3">
        <v>18</v>
      </c>
      <c r="D164" s="3" t="s">
        <v>9</v>
      </c>
      <c r="E164" s="6">
        <v>165.45</v>
      </c>
      <c r="F164" s="6">
        <v>102.78</v>
      </c>
      <c r="G164" s="6">
        <v>62.67</v>
      </c>
      <c r="H164" s="5">
        <v>60.97</v>
      </c>
    </row>
    <row r="165" spans="1:8" x14ac:dyDescent="0.3">
      <c r="A165" s="3">
        <v>3894</v>
      </c>
      <c r="B165" s="3" t="s">
        <v>270</v>
      </c>
      <c r="C165" s="3">
        <v>33</v>
      </c>
      <c r="D165" s="3" t="s">
        <v>136</v>
      </c>
      <c r="E165" s="6">
        <v>632.36</v>
      </c>
      <c r="F165" s="6">
        <v>462</v>
      </c>
      <c r="G165" s="6">
        <v>170.36</v>
      </c>
      <c r="H165" s="5">
        <v>36.869999999999997</v>
      </c>
    </row>
    <row r="166" spans="1:8" x14ac:dyDescent="0.3">
      <c r="A166" s="3">
        <v>3894</v>
      </c>
      <c r="B166" s="3" t="s">
        <v>296</v>
      </c>
      <c r="C166" s="3">
        <v>22</v>
      </c>
      <c r="D166" s="3" t="s">
        <v>136</v>
      </c>
      <c r="E166" s="6">
        <v>438.71</v>
      </c>
      <c r="F166" s="6">
        <v>324.5</v>
      </c>
      <c r="G166" s="6">
        <v>114.21</v>
      </c>
      <c r="H166" s="5">
        <v>35.200000000000003</v>
      </c>
    </row>
    <row r="167" spans="1:8" x14ac:dyDescent="0.3">
      <c r="A167" s="3">
        <v>3902</v>
      </c>
      <c r="B167" s="3" t="s">
        <v>244</v>
      </c>
      <c r="C167" s="3">
        <v>16</v>
      </c>
      <c r="D167" s="3" t="s">
        <v>25</v>
      </c>
      <c r="E167" s="6">
        <v>1137.29</v>
      </c>
      <c r="F167" s="6">
        <v>820.8</v>
      </c>
      <c r="G167" s="6">
        <v>316.49</v>
      </c>
      <c r="H167" s="5">
        <v>38.56</v>
      </c>
    </row>
    <row r="168" spans="1:8" x14ac:dyDescent="0.3">
      <c r="A168" s="3">
        <v>3944</v>
      </c>
      <c r="B168" s="3" t="s">
        <v>176</v>
      </c>
      <c r="C168" s="3">
        <v>1</v>
      </c>
      <c r="D168" s="3" t="s">
        <v>9</v>
      </c>
      <c r="E168" s="6">
        <v>219.7</v>
      </c>
      <c r="F168" s="6">
        <v>135.62</v>
      </c>
      <c r="G168" s="6">
        <v>84.08</v>
      </c>
      <c r="H168" s="5">
        <v>62</v>
      </c>
    </row>
    <row r="169" spans="1:8" x14ac:dyDescent="0.3">
      <c r="A169" s="3">
        <v>3945</v>
      </c>
      <c r="B169" s="3" t="s">
        <v>267</v>
      </c>
      <c r="C169" s="3">
        <v>3</v>
      </c>
      <c r="D169" s="3" t="s">
        <v>9</v>
      </c>
      <c r="E169" s="6">
        <v>659.99</v>
      </c>
      <c r="F169" s="6">
        <v>524.01</v>
      </c>
      <c r="G169" s="6">
        <v>135.97999999999999</v>
      </c>
      <c r="H169" s="5">
        <v>25.95</v>
      </c>
    </row>
    <row r="170" spans="1:8" x14ac:dyDescent="0.3">
      <c r="A170" s="3">
        <v>3991</v>
      </c>
      <c r="B170" s="3" t="s">
        <v>318</v>
      </c>
      <c r="C170" s="3">
        <v>1</v>
      </c>
      <c r="D170" s="3" t="s">
        <v>9</v>
      </c>
      <c r="E170" s="6">
        <v>299</v>
      </c>
      <c r="F170" s="6">
        <v>338</v>
      </c>
      <c r="G170" s="6">
        <v>-39</v>
      </c>
      <c r="H170" s="5">
        <v>-11.54</v>
      </c>
    </row>
    <row r="171" spans="1:8" x14ac:dyDescent="0.3">
      <c r="A171" s="3">
        <v>4041</v>
      </c>
      <c r="B171" s="3" t="s">
        <v>295</v>
      </c>
      <c r="C171" s="3">
        <v>4</v>
      </c>
      <c r="D171" s="3" t="s">
        <v>9</v>
      </c>
      <c r="E171" s="6">
        <v>438.81</v>
      </c>
      <c r="F171" s="6">
        <v>261.04000000000002</v>
      </c>
      <c r="G171" s="6">
        <v>177.77</v>
      </c>
      <c r="H171" s="5">
        <v>68.099999999999994</v>
      </c>
    </row>
    <row r="172" spans="1:8" x14ac:dyDescent="0.3">
      <c r="A172" s="3">
        <v>4044</v>
      </c>
      <c r="B172" s="3" t="s">
        <v>309</v>
      </c>
      <c r="C172" s="5">
        <v>22.25</v>
      </c>
      <c r="D172" s="3" t="s">
        <v>12</v>
      </c>
      <c r="E172" s="6">
        <v>357.34</v>
      </c>
      <c r="F172" s="6">
        <v>278.13</v>
      </c>
      <c r="G172" s="6">
        <v>79.22</v>
      </c>
      <c r="H172" s="5">
        <v>28.48</v>
      </c>
    </row>
    <row r="173" spans="1:8" x14ac:dyDescent="0.3">
      <c r="A173" s="3">
        <v>4105</v>
      </c>
      <c r="B173" s="3" t="s">
        <v>321</v>
      </c>
      <c r="C173" s="3">
        <v>31</v>
      </c>
      <c r="D173" s="3" t="s">
        <v>9</v>
      </c>
      <c r="E173" s="6">
        <v>288.52999999999997</v>
      </c>
      <c r="F173" s="6">
        <v>178.56</v>
      </c>
      <c r="G173" s="6">
        <v>109.97</v>
      </c>
      <c r="H173" s="5">
        <v>61.59</v>
      </c>
    </row>
    <row r="174" spans="1:8" x14ac:dyDescent="0.3">
      <c r="A174" s="3">
        <v>4143</v>
      </c>
      <c r="B174" s="3" t="s">
        <v>143</v>
      </c>
      <c r="C174" s="3">
        <v>77</v>
      </c>
      <c r="D174" s="3" t="s">
        <v>9</v>
      </c>
      <c r="E174" s="6">
        <v>422.72</v>
      </c>
      <c r="F174" s="6">
        <v>264.11</v>
      </c>
      <c r="G174" s="6">
        <v>158.61000000000001</v>
      </c>
      <c r="H174" s="5">
        <v>60.05</v>
      </c>
    </row>
    <row r="175" spans="1:8" x14ac:dyDescent="0.3">
      <c r="A175" s="3">
        <v>4203</v>
      </c>
      <c r="B175" s="3" t="s">
        <v>403</v>
      </c>
      <c r="C175" s="3">
        <v>17</v>
      </c>
      <c r="D175" s="3" t="s">
        <v>9</v>
      </c>
      <c r="E175" s="6">
        <v>162.44</v>
      </c>
      <c r="F175" s="6">
        <v>84.49</v>
      </c>
      <c r="G175" s="6">
        <v>77.95</v>
      </c>
      <c r="H175" s="5">
        <v>92.26</v>
      </c>
    </row>
    <row r="176" spans="1:8" x14ac:dyDescent="0.3">
      <c r="A176" s="3">
        <v>4204</v>
      </c>
      <c r="B176" s="3" t="s">
        <v>286</v>
      </c>
      <c r="C176" s="3">
        <v>39</v>
      </c>
      <c r="D176" s="3" t="s">
        <v>9</v>
      </c>
      <c r="E176" s="6">
        <v>494.51</v>
      </c>
      <c r="F176" s="6">
        <v>315.89999999999998</v>
      </c>
      <c r="G176" s="6">
        <v>178.61</v>
      </c>
      <c r="H176" s="5">
        <v>56.54</v>
      </c>
    </row>
    <row r="177" spans="1:8" x14ac:dyDescent="0.3">
      <c r="A177" s="3">
        <v>4254</v>
      </c>
      <c r="B177" s="3" t="s">
        <v>340</v>
      </c>
      <c r="C177" s="3">
        <v>36</v>
      </c>
      <c r="D177" s="3" t="s">
        <v>9</v>
      </c>
      <c r="E177" s="6">
        <v>237.54</v>
      </c>
      <c r="F177" s="6">
        <v>187.2</v>
      </c>
      <c r="G177" s="6">
        <v>50.34</v>
      </c>
      <c r="H177" s="5">
        <v>26.89</v>
      </c>
    </row>
    <row r="178" spans="1:8" x14ac:dyDescent="0.3">
      <c r="A178" s="3">
        <v>4260</v>
      </c>
      <c r="B178" s="3" t="s">
        <v>319</v>
      </c>
      <c r="C178" s="3">
        <v>20</v>
      </c>
      <c r="D178" s="3" t="s">
        <v>9</v>
      </c>
      <c r="E178" s="6">
        <v>298.41000000000003</v>
      </c>
      <c r="F178" s="6">
        <v>188.72</v>
      </c>
      <c r="G178" s="6">
        <v>109.69</v>
      </c>
      <c r="H178" s="5">
        <v>58.12</v>
      </c>
    </row>
    <row r="179" spans="1:8" x14ac:dyDescent="0.3">
      <c r="A179" s="3">
        <v>4274</v>
      </c>
      <c r="B179" s="3" t="s">
        <v>388</v>
      </c>
      <c r="C179" s="3">
        <v>1</v>
      </c>
      <c r="D179" s="3" t="s">
        <v>9</v>
      </c>
      <c r="E179" s="6">
        <v>176.82</v>
      </c>
      <c r="F179" s="6">
        <v>112.79</v>
      </c>
      <c r="G179" s="6">
        <v>64.03</v>
      </c>
      <c r="H179" s="5">
        <v>56.77</v>
      </c>
    </row>
    <row r="180" spans="1:8" x14ac:dyDescent="0.3">
      <c r="A180" s="3">
        <v>4284</v>
      </c>
      <c r="B180" s="3" t="s">
        <v>352</v>
      </c>
      <c r="C180" s="3">
        <v>1</v>
      </c>
      <c r="D180" s="3" t="s">
        <v>9</v>
      </c>
      <c r="E180" s="6">
        <v>215.38</v>
      </c>
      <c r="F180" s="6">
        <v>137.41999999999999</v>
      </c>
      <c r="G180" s="6">
        <v>77.959999999999994</v>
      </c>
      <c r="H180" s="5">
        <v>56.73</v>
      </c>
    </row>
    <row r="181" spans="1:8" x14ac:dyDescent="0.3">
      <c r="A181" s="3">
        <v>4336</v>
      </c>
      <c r="B181" s="3" t="s">
        <v>290</v>
      </c>
      <c r="C181" s="3">
        <v>40</v>
      </c>
      <c r="D181" s="3" t="s">
        <v>9</v>
      </c>
      <c r="E181" s="6">
        <v>465.72</v>
      </c>
      <c r="F181" s="6">
        <v>262</v>
      </c>
      <c r="G181" s="6">
        <v>203.72</v>
      </c>
      <c r="H181" s="5">
        <v>77.760000000000005</v>
      </c>
    </row>
    <row r="182" spans="1:8" x14ac:dyDescent="0.3">
      <c r="A182" s="3">
        <v>4351</v>
      </c>
      <c r="B182" s="3" t="s">
        <v>303</v>
      </c>
      <c r="C182" s="3">
        <v>3</v>
      </c>
      <c r="D182" s="3" t="s">
        <v>9</v>
      </c>
      <c r="E182" s="6">
        <v>392.2</v>
      </c>
      <c r="F182" s="6">
        <v>224.94</v>
      </c>
      <c r="G182" s="6">
        <v>167.26</v>
      </c>
      <c r="H182" s="5">
        <v>74.36</v>
      </c>
    </row>
    <row r="183" spans="1:8" x14ac:dyDescent="0.3">
      <c r="A183" s="3">
        <v>4358</v>
      </c>
      <c r="B183" s="3" t="s">
        <v>94</v>
      </c>
      <c r="C183" s="3">
        <v>68</v>
      </c>
      <c r="D183" s="3" t="s">
        <v>9</v>
      </c>
      <c r="E183" s="6">
        <v>237.1</v>
      </c>
      <c r="F183" s="6">
        <v>147.56</v>
      </c>
      <c r="G183" s="6">
        <v>89.54</v>
      </c>
      <c r="H183" s="5">
        <v>60.68</v>
      </c>
    </row>
    <row r="184" spans="1:8" x14ac:dyDescent="0.3">
      <c r="A184" s="3">
        <v>4551</v>
      </c>
      <c r="B184" s="3" t="s">
        <v>386</v>
      </c>
      <c r="C184" s="3">
        <v>2</v>
      </c>
      <c r="D184" s="3" t="s">
        <v>9</v>
      </c>
      <c r="E184" s="6">
        <v>180</v>
      </c>
      <c r="F184" s="6">
        <v>109.42</v>
      </c>
      <c r="G184" s="6">
        <v>70.58</v>
      </c>
      <c r="H184" s="5">
        <v>64.5</v>
      </c>
    </row>
    <row r="185" spans="1:8" x14ac:dyDescent="0.3">
      <c r="A185" s="3">
        <v>4578</v>
      </c>
      <c r="B185" s="3" t="s">
        <v>389</v>
      </c>
      <c r="C185" s="3">
        <v>7</v>
      </c>
      <c r="D185" s="3" t="s">
        <v>9</v>
      </c>
      <c r="E185" s="6">
        <v>176.6</v>
      </c>
      <c r="F185" s="6">
        <v>80.489999999999995</v>
      </c>
      <c r="G185" s="6">
        <v>96.11</v>
      </c>
      <c r="H185" s="5">
        <v>119.42</v>
      </c>
    </row>
    <row r="186" spans="1:8" x14ac:dyDescent="0.3">
      <c r="A186" s="3">
        <v>4582</v>
      </c>
      <c r="B186" s="3" t="s">
        <v>109</v>
      </c>
      <c r="C186" s="3">
        <v>49</v>
      </c>
      <c r="D186" s="3" t="s">
        <v>9</v>
      </c>
      <c r="E186" s="6">
        <v>244.88</v>
      </c>
      <c r="F186" s="6">
        <v>147.97999999999999</v>
      </c>
      <c r="G186" s="6">
        <v>96.9</v>
      </c>
      <c r="H186" s="5">
        <v>65.48</v>
      </c>
    </row>
    <row r="187" spans="1:8" x14ac:dyDescent="0.3">
      <c r="A187" s="3">
        <v>4593</v>
      </c>
      <c r="B187" s="3" t="s">
        <v>315</v>
      </c>
      <c r="C187" s="3">
        <v>16</v>
      </c>
      <c r="D187" s="3" t="s">
        <v>9</v>
      </c>
      <c r="E187" s="6">
        <v>303.94</v>
      </c>
      <c r="F187" s="6">
        <v>190.4</v>
      </c>
      <c r="G187" s="6">
        <v>113.54</v>
      </c>
      <c r="H187" s="5">
        <v>59.63</v>
      </c>
    </row>
    <row r="188" spans="1:8" x14ac:dyDescent="0.3">
      <c r="A188" s="3">
        <v>4594</v>
      </c>
      <c r="B188" s="3" t="s">
        <v>274</v>
      </c>
      <c r="C188" s="5">
        <v>24.95</v>
      </c>
      <c r="D188" s="3" t="s">
        <v>9</v>
      </c>
      <c r="E188" s="6">
        <v>626.37</v>
      </c>
      <c r="F188" s="6">
        <v>456.83</v>
      </c>
      <c r="G188" s="6">
        <v>169.54</v>
      </c>
      <c r="H188" s="5">
        <v>37.11</v>
      </c>
    </row>
    <row r="189" spans="1:8" x14ac:dyDescent="0.3">
      <c r="A189" s="3">
        <v>4622</v>
      </c>
      <c r="B189" s="3" t="s">
        <v>152</v>
      </c>
      <c r="C189" s="3">
        <v>2</v>
      </c>
      <c r="D189" s="3" t="s">
        <v>9</v>
      </c>
      <c r="E189" s="6">
        <v>234.55</v>
      </c>
      <c r="F189" s="6">
        <v>145.88</v>
      </c>
      <c r="G189" s="6">
        <v>88.67</v>
      </c>
      <c r="H189" s="5">
        <v>60.78</v>
      </c>
    </row>
    <row r="190" spans="1:8" x14ac:dyDescent="0.3">
      <c r="A190" s="3">
        <v>4651</v>
      </c>
      <c r="B190" s="3" t="s">
        <v>297</v>
      </c>
      <c r="C190" s="3">
        <v>40</v>
      </c>
      <c r="D190" s="3" t="s">
        <v>9</v>
      </c>
      <c r="E190" s="6">
        <v>434</v>
      </c>
      <c r="F190" s="6">
        <v>272</v>
      </c>
      <c r="G190" s="6">
        <v>162</v>
      </c>
      <c r="H190" s="5">
        <v>59.56</v>
      </c>
    </row>
    <row r="191" spans="1:8" x14ac:dyDescent="0.3">
      <c r="A191" s="3">
        <v>4668</v>
      </c>
      <c r="B191" s="3" t="s">
        <v>369</v>
      </c>
      <c r="C191" s="3">
        <v>15</v>
      </c>
      <c r="D191" s="3" t="s">
        <v>9</v>
      </c>
      <c r="E191" s="6">
        <v>198.41</v>
      </c>
      <c r="F191" s="6">
        <v>128.85</v>
      </c>
      <c r="G191" s="6">
        <v>69.56</v>
      </c>
      <c r="H191" s="5">
        <v>53.99</v>
      </c>
    </row>
    <row r="192" spans="1:8" x14ac:dyDescent="0.3">
      <c r="A192" s="3">
        <v>4684</v>
      </c>
      <c r="B192" s="3" t="s">
        <v>226</v>
      </c>
      <c r="C192" s="3">
        <v>11</v>
      </c>
      <c r="D192" s="3" t="s">
        <v>9</v>
      </c>
      <c r="E192" s="6">
        <v>2658.91</v>
      </c>
      <c r="F192" s="6">
        <v>3630</v>
      </c>
      <c r="G192" s="6">
        <v>-971.09</v>
      </c>
      <c r="H192" s="5">
        <v>-26.75</v>
      </c>
    </row>
    <row r="193" spans="1:8" x14ac:dyDescent="0.3">
      <c r="A193" s="3">
        <v>4719</v>
      </c>
      <c r="B193" s="3" t="s">
        <v>271</v>
      </c>
      <c r="C193" s="3">
        <v>374</v>
      </c>
      <c r="D193" s="3" t="s">
        <v>272</v>
      </c>
      <c r="E193" s="6">
        <v>632.1</v>
      </c>
      <c r="F193" s="6">
        <v>448.8</v>
      </c>
      <c r="G193" s="6">
        <v>183.3</v>
      </c>
      <c r="H193" s="5">
        <v>40.840000000000003</v>
      </c>
    </row>
    <row r="194" spans="1:8" x14ac:dyDescent="0.3">
      <c r="A194" s="3">
        <v>4768</v>
      </c>
      <c r="B194" s="3" t="s">
        <v>395</v>
      </c>
      <c r="C194" s="3">
        <v>29</v>
      </c>
      <c r="D194" s="3" t="s">
        <v>9</v>
      </c>
      <c r="E194" s="6">
        <v>171.61</v>
      </c>
      <c r="F194" s="6">
        <v>92.8</v>
      </c>
      <c r="G194" s="6">
        <v>78.81</v>
      </c>
      <c r="H194" s="5">
        <v>84.92</v>
      </c>
    </row>
    <row r="195" spans="1:8" x14ac:dyDescent="0.3">
      <c r="A195" s="2">
        <v>4791</v>
      </c>
      <c r="B195" s="2" t="s">
        <v>406</v>
      </c>
      <c r="C195" s="2">
        <v>2</v>
      </c>
      <c r="D195" s="2" t="s">
        <v>9</v>
      </c>
      <c r="E195" s="1">
        <v>160</v>
      </c>
      <c r="F195" s="1">
        <v>106.94</v>
      </c>
      <c r="G195" s="1">
        <v>53.06</v>
      </c>
      <c r="H195" s="11">
        <v>49.62</v>
      </c>
    </row>
    <row r="196" spans="1:8" x14ac:dyDescent="0.3">
      <c r="A196" s="3">
        <v>4796</v>
      </c>
      <c r="B196" s="3" t="s">
        <v>325</v>
      </c>
      <c r="C196" s="3">
        <v>145</v>
      </c>
      <c r="D196" s="3" t="s">
        <v>22</v>
      </c>
      <c r="E196" s="6">
        <v>277.51</v>
      </c>
      <c r="F196" s="6">
        <v>275.5</v>
      </c>
      <c r="G196" s="6">
        <v>2.0099999999999998</v>
      </c>
      <c r="H196" s="5">
        <v>0.73</v>
      </c>
    </row>
    <row r="197" spans="1:8" x14ac:dyDescent="0.3">
      <c r="A197" s="3">
        <v>4835</v>
      </c>
      <c r="B197" s="3" t="s">
        <v>259</v>
      </c>
      <c r="C197" s="3">
        <v>6</v>
      </c>
      <c r="D197" s="3" t="s">
        <v>9</v>
      </c>
      <c r="E197" s="6">
        <v>798.06</v>
      </c>
      <c r="F197" s="6">
        <v>531.6</v>
      </c>
      <c r="G197" s="6">
        <v>266.45999999999998</v>
      </c>
      <c r="H197" s="5">
        <v>50.12</v>
      </c>
    </row>
    <row r="198" spans="1:8" x14ac:dyDescent="0.3">
      <c r="A198" s="3">
        <v>4836</v>
      </c>
      <c r="B198" s="3" t="s">
        <v>339</v>
      </c>
      <c r="C198" s="3">
        <v>8</v>
      </c>
      <c r="D198" s="3" t="s">
        <v>34</v>
      </c>
      <c r="E198" s="6">
        <v>237.86</v>
      </c>
      <c r="F198" s="6">
        <v>224</v>
      </c>
      <c r="G198" s="6">
        <v>13.86</v>
      </c>
      <c r="H198" s="5">
        <v>6.19</v>
      </c>
    </row>
    <row r="199" spans="1:8" x14ac:dyDescent="0.3">
      <c r="A199" s="3">
        <v>4877</v>
      </c>
      <c r="B199" s="3" t="s">
        <v>266</v>
      </c>
      <c r="C199" s="3">
        <v>5</v>
      </c>
      <c r="D199" s="3" t="s">
        <v>25</v>
      </c>
      <c r="E199" s="6">
        <v>705.79</v>
      </c>
      <c r="F199" s="6">
        <v>500</v>
      </c>
      <c r="G199" s="6">
        <v>205.79</v>
      </c>
      <c r="H199" s="5">
        <v>41.16</v>
      </c>
    </row>
    <row r="200" spans="1:8" x14ac:dyDescent="0.3">
      <c r="A200" s="3">
        <v>4920</v>
      </c>
      <c r="B200" s="3" t="s">
        <v>258</v>
      </c>
      <c r="C200" s="3">
        <v>8</v>
      </c>
      <c r="D200" s="3" t="s">
        <v>9</v>
      </c>
      <c r="E200" s="6">
        <v>801.82</v>
      </c>
      <c r="F200" s="6">
        <v>528.96</v>
      </c>
      <c r="G200" s="6">
        <v>272.86</v>
      </c>
      <c r="H200" s="5">
        <v>51.58</v>
      </c>
    </row>
    <row r="201" spans="1:8" x14ac:dyDescent="0.3">
      <c r="A201" s="3">
        <v>5029</v>
      </c>
      <c r="B201" s="3" t="s">
        <v>371</v>
      </c>
      <c r="C201" s="3">
        <v>6</v>
      </c>
      <c r="D201" s="3" t="s">
        <v>9</v>
      </c>
      <c r="E201" s="6">
        <v>194.54</v>
      </c>
      <c r="F201" s="6">
        <v>122.64</v>
      </c>
      <c r="G201" s="6">
        <v>71.900000000000006</v>
      </c>
      <c r="H201" s="5">
        <v>58.63</v>
      </c>
    </row>
    <row r="202" spans="1:8" x14ac:dyDescent="0.3">
      <c r="A202" s="3">
        <v>5033</v>
      </c>
      <c r="B202" s="3" t="s">
        <v>275</v>
      </c>
      <c r="C202" s="3">
        <v>6</v>
      </c>
      <c r="D202" s="3" t="s">
        <v>9</v>
      </c>
      <c r="E202" s="6">
        <v>626.20000000000005</v>
      </c>
      <c r="F202" s="6">
        <v>450</v>
      </c>
      <c r="G202" s="6">
        <v>176.2</v>
      </c>
      <c r="H202" s="5">
        <v>39.159999999999997</v>
      </c>
    </row>
    <row r="203" spans="1:8" x14ac:dyDescent="0.3">
      <c r="A203" s="3">
        <v>5034</v>
      </c>
      <c r="B203" s="3" t="s">
        <v>246</v>
      </c>
      <c r="C203" s="3">
        <v>11</v>
      </c>
      <c r="D203" s="3" t="s">
        <v>9</v>
      </c>
      <c r="E203" s="6">
        <v>1119.03</v>
      </c>
      <c r="F203" s="6">
        <v>825</v>
      </c>
      <c r="G203" s="6">
        <v>294.02999999999997</v>
      </c>
      <c r="H203" s="5">
        <v>35.64</v>
      </c>
    </row>
    <row r="204" spans="1:8" x14ac:dyDescent="0.3">
      <c r="A204" s="3">
        <v>5035</v>
      </c>
      <c r="B204" s="3" t="s">
        <v>256</v>
      </c>
      <c r="C204" s="3">
        <v>7</v>
      </c>
      <c r="D204" s="3" t="s">
        <v>9</v>
      </c>
      <c r="E204" s="6">
        <v>872.86</v>
      </c>
      <c r="F204" s="6">
        <v>644</v>
      </c>
      <c r="G204" s="6">
        <v>228.86</v>
      </c>
      <c r="H204" s="5">
        <v>35.54</v>
      </c>
    </row>
    <row r="205" spans="1:8" x14ac:dyDescent="0.3">
      <c r="A205" s="3">
        <v>5037</v>
      </c>
      <c r="B205" s="3" t="s">
        <v>305</v>
      </c>
      <c r="C205" s="3">
        <v>2</v>
      </c>
      <c r="D205" s="3" t="s">
        <v>9</v>
      </c>
      <c r="E205" s="6">
        <v>386.16</v>
      </c>
      <c r="F205" s="6">
        <v>410</v>
      </c>
      <c r="G205" s="6">
        <v>-23.84</v>
      </c>
      <c r="H205" s="5">
        <v>-5.81</v>
      </c>
    </row>
    <row r="206" spans="1:8" x14ac:dyDescent="0.3">
      <c r="A206" s="3">
        <v>5126</v>
      </c>
      <c r="B206" s="3" t="s">
        <v>234</v>
      </c>
      <c r="C206" s="5">
        <v>91.8</v>
      </c>
      <c r="D206" s="3" t="s">
        <v>9</v>
      </c>
      <c r="E206" s="6">
        <v>1343.96</v>
      </c>
      <c r="F206" s="6">
        <v>1340.28</v>
      </c>
      <c r="G206" s="6">
        <v>3.68</v>
      </c>
      <c r="H206" s="5">
        <v>0.27</v>
      </c>
    </row>
    <row r="207" spans="1:8" ht="15" thickBot="1" x14ac:dyDescent="0.35">
      <c r="A207" s="8">
        <v>5158</v>
      </c>
      <c r="B207" s="8" t="s">
        <v>348</v>
      </c>
      <c r="C207" s="8">
        <v>2</v>
      </c>
      <c r="D207" s="8" t="s">
        <v>9</v>
      </c>
      <c r="E207" s="9">
        <v>228.62</v>
      </c>
      <c r="F207" s="9">
        <v>145.47999999999999</v>
      </c>
      <c r="G207" s="9">
        <v>83.14</v>
      </c>
      <c r="H207" s="10">
        <v>57.15</v>
      </c>
    </row>
  </sheetData>
  <sortState ref="A2:H207">
    <sortCondition ref="A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82"/>
  <sheetViews>
    <sheetView showGridLines="0" zoomScaleNormal="100" workbookViewId="0">
      <pane xSplit="4" ySplit="1" topLeftCell="E556" activePane="bottomRight" state="frozen"/>
      <selection pane="topRight" activeCell="C1" sqref="C1"/>
      <selection pane="bottomLeft" activeCell="A2" sqref="A2"/>
      <selection pane="bottomRight" activeCell="K1" sqref="K1"/>
    </sheetView>
  </sheetViews>
  <sheetFormatPr defaultRowHeight="14.4" x14ac:dyDescent="0.3"/>
  <cols>
    <col min="1" max="1" width="4.109375" style="41" bestFit="1" customWidth="1"/>
    <col min="2" max="2" width="1" style="13" customWidth="1"/>
    <col min="3" max="3" width="7.109375" bestFit="1" customWidth="1"/>
    <col min="4" max="4" width="47.33203125" bestFit="1" customWidth="1"/>
    <col min="5" max="5" width="11.5546875" customWidth="1"/>
    <col min="6" max="6" width="5.88671875" style="37" bestFit="1" customWidth="1"/>
    <col min="7" max="9" width="13.33203125" bestFit="1" customWidth="1"/>
    <col min="11" max="11" width="7.6640625" style="14" customWidth="1"/>
    <col min="12" max="12" width="11.44140625" style="14" customWidth="1"/>
    <col min="13" max="13" width="8.5546875" customWidth="1"/>
    <col min="14" max="14" width="10.88671875" style="46" customWidth="1"/>
    <col min="15" max="15" width="8.88671875" style="46" customWidth="1"/>
    <col min="16" max="16" width="9.109375" customWidth="1"/>
  </cols>
  <sheetData>
    <row r="1" spans="1:16" ht="29.4" thickBot="1" x14ac:dyDescent="0.35">
      <c r="A1" s="42" t="s">
        <v>812</v>
      </c>
      <c r="C1" s="30" t="s">
        <v>0</v>
      </c>
      <c r="D1" s="31" t="s">
        <v>1</v>
      </c>
      <c r="E1" s="32" t="s">
        <v>807</v>
      </c>
      <c r="F1" s="33" t="s">
        <v>806</v>
      </c>
      <c r="G1" s="33" t="s">
        <v>4</v>
      </c>
      <c r="H1" s="33" t="s">
        <v>5</v>
      </c>
      <c r="I1" s="33" t="s">
        <v>6</v>
      </c>
      <c r="J1" s="33" t="s">
        <v>7</v>
      </c>
      <c r="K1" s="34" t="s">
        <v>803</v>
      </c>
      <c r="L1" s="34" t="s">
        <v>810</v>
      </c>
      <c r="M1" s="32" t="s">
        <v>808</v>
      </c>
      <c r="N1" s="43" t="s">
        <v>809</v>
      </c>
      <c r="O1" s="43" t="s">
        <v>804</v>
      </c>
      <c r="P1" s="38" t="s">
        <v>811</v>
      </c>
    </row>
    <row r="2" spans="1:16" x14ac:dyDescent="0.3">
      <c r="A2" s="39">
        <v>1</v>
      </c>
      <c r="C2" s="21">
        <v>1305</v>
      </c>
      <c r="D2" s="15" t="s">
        <v>192</v>
      </c>
      <c r="E2" s="15">
        <v>4232</v>
      </c>
      <c r="F2" s="35" t="s">
        <v>12</v>
      </c>
      <c r="G2" s="16">
        <v>15332.73</v>
      </c>
      <c r="H2" s="16">
        <v>14666.24</v>
      </c>
      <c r="I2" s="16">
        <v>666.49</v>
      </c>
      <c r="J2" s="17">
        <v>4.54</v>
      </c>
      <c r="K2" s="18">
        <f>25/30</f>
        <v>0.83333333333333337</v>
      </c>
      <c r="L2" s="18">
        <f>1/6</f>
        <v>0.16666666666666666</v>
      </c>
      <c r="M2" s="19">
        <f t="shared" ref="M2:M65" si="0">(E2/12)*K2</f>
        <v>293.88888888888891</v>
      </c>
      <c r="N2" s="44">
        <f t="shared" ref="N2:N65" si="1">((E2/12)*K2)+M2</f>
        <v>587.77777777777783</v>
      </c>
      <c r="O2" s="44">
        <f t="shared" ref="O2:O65" si="2">(E2/12)/L2</f>
        <v>2116.0000000000005</v>
      </c>
      <c r="P2" s="22">
        <f t="shared" ref="P2:P65" si="3">O2+M2</f>
        <v>2409.8888888888896</v>
      </c>
    </row>
    <row r="3" spans="1:16" x14ac:dyDescent="0.3">
      <c r="A3" s="40">
        <v>2</v>
      </c>
      <c r="C3" s="21">
        <v>2973</v>
      </c>
      <c r="D3" s="15" t="s">
        <v>11</v>
      </c>
      <c r="E3" s="17">
        <f>17098.4+10467+3131</f>
        <v>30696.400000000001</v>
      </c>
      <c r="F3" s="35" t="s">
        <v>12</v>
      </c>
      <c r="G3" s="16">
        <v>15321.85</v>
      </c>
      <c r="H3" s="16">
        <v>14813.46</v>
      </c>
      <c r="I3" s="16">
        <v>508.39</v>
      </c>
      <c r="J3" s="17">
        <v>3.43</v>
      </c>
      <c r="K3" s="18">
        <f>25/30</f>
        <v>0.83333333333333337</v>
      </c>
      <c r="L3" s="18">
        <f>1/6</f>
        <v>0.16666666666666666</v>
      </c>
      <c r="M3" s="19">
        <f t="shared" si="0"/>
        <v>2131.6944444444443</v>
      </c>
      <c r="N3" s="44">
        <f t="shared" si="1"/>
        <v>4263.3888888888887</v>
      </c>
      <c r="O3" s="44">
        <f t="shared" si="2"/>
        <v>15348.2</v>
      </c>
      <c r="P3" s="22">
        <f t="shared" si="3"/>
        <v>17479.894444444446</v>
      </c>
    </row>
    <row r="4" spans="1:16" x14ac:dyDescent="0.3">
      <c r="A4" s="40">
        <v>3</v>
      </c>
      <c r="C4" s="21">
        <v>152</v>
      </c>
      <c r="D4" s="15" t="s">
        <v>65</v>
      </c>
      <c r="E4" s="17">
        <v>2375.9</v>
      </c>
      <c r="F4" s="35" t="s">
        <v>12</v>
      </c>
      <c r="G4" s="16">
        <v>15024.25</v>
      </c>
      <c r="H4" s="16">
        <v>14849.38</v>
      </c>
      <c r="I4" s="16">
        <v>174.88</v>
      </c>
      <c r="J4" s="17">
        <v>1.18</v>
      </c>
      <c r="K4" s="18">
        <f>25/30</f>
        <v>0.83333333333333337</v>
      </c>
      <c r="L4" s="18">
        <f>1/6</f>
        <v>0.16666666666666666</v>
      </c>
      <c r="M4" s="19">
        <f t="shared" si="0"/>
        <v>164.99305555555557</v>
      </c>
      <c r="N4" s="44">
        <f t="shared" si="1"/>
        <v>329.98611111111114</v>
      </c>
      <c r="O4" s="44">
        <f t="shared" si="2"/>
        <v>1187.95</v>
      </c>
      <c r="P4" s="22">
        <f t="shared" si="3"/>
        <v>1352.9430555555557</v>
      </c>
    </row>
    <row r="5" spans="1:16" x14ac:dyDescent="0.3">
      <c r="A5" s="40">
        <v>4</v>
      </c>
      <c r="C5" s="21">
        <v>151</v>
      </c>
      <c r="D5" s="15" t="s">
        <v>407</v>
      </c>
      <c r="E5" s="17">
        <f>6024.25+3733.5+453.5</f>
        <v>10211.25</v>
      </c>
      <c r="F5" s="35" t="s">
        <v>12</v>
      </c>
      <c r="G5" s="16">
        <v>13558.56</v>
      </c>
      <c r="H5" s="16">
        <v>13554.56</v>
      </c>
      <c r="I5" s="16">
        <v>4</v>
      </c>
      <c r="J5" s="17">
        <v>0.03</v>
      </c>
      <c r="K5" s="18">
        <f>25/30</f>
        <v>0.83333333333333337</v>
      </c>
      <c r="L5" s="18">
        <f>1/6</f>
        <v>0.16666666666666666</v>
      </c>
      <c r="M5" s="19">
        <f t="shared" si="0"/>
        <v>709.11458333333337</v>
      </c>
      <c r="N5" s="44">
        <f t="shared" si="1"/>
        <v>1418.2291666666667</v>
      </c>
      <c r="O5" s="44">
        <f t="shared" si="2"/>
        <v>5105.625</v>
      </c>
      <c r="P5" s="22">
        <f t="shared" si="3"/>
        <v>5814.739583333333</v>
      </c>
    </row>
    <row r="6" spans="1:16" x14ac:dyDescent="0.3">
      <c r="A6" s="40">
        <v>5</v>
      </c>
      <c r="C6" s="21">
        <v>632</v>
      </c>
      <c r="D6" s="15" t="s">
        <v>805</v>
      </c>
      <c r="E6" s="15">
        <v>195</v>
      </c>
      <c r="F6" s="35" t="s">
        <v>9</v>
      </c>
      <c r="G6" s="16">
        <v>13003.88</v>
      </c>
      <c r="H6" s="16">
        <v>0</v>
      </c>
      <c r="I6" s="16">
        <v>13003.88</v>
      </c>
      <c r="J6" s="17">
        <v>100</v>
      </c>
      <c r="K6" s="18">
        <v>1</v>
      </c>
      <c r="L6" s="18">
        <f>1/4</f>
        <v>0.25</v>
      </c>
      <c r="M6" s="19">
        <f t="shared" si="0"/>
        <v>16.25</v>
      </c>
      <c r="N6" s="44">
        <f t="shared" si="1"/>
        <v>32.5</v>
      </c>
      <c r="O6" s="44">
        <f t="shared" si="2"/>
        <v>65</v>
      </c>
      <c r="P6" s="22">
        <f t="shared" si="3"/>
        <v>81.25</v>
      </c>
    </row>
    <row r="7" spans="1:16" x14ac:dyDescent="0.3">
      <c r="A7" s="40">
        <v>6</v>
      </c>
      <c r="C7" s="21">
        <v>3305</v>
      </c>
      <c r="D7" s="15" t="s">
        <v>19</v>
      </c>
      <c r="E7" s="15">
        <v>24</v>
      </c>
      <c r="F7" s="35" t="s">
        <v>9</v>
      </c>
      <c r="G7" s="16">
        <v>12722.56</v>
      </c>
      <c r="H7" s="16">
        <v>13200</v>
      </c>
      <c r="I7" s="16">
        <v>-477.44</v>
      </c>
      <c r="J7" s="17">
        <v>-3.62</v>
      </c>
      <c r="K7" s="18">
        <f>3/30</f>
        <v>0.1</v>
      </c>
      <c r="L7" s="18">
        <f>1/6</f>
        <v>0.16666666666666666</v>
      </c>
      <c r="M7" s="19">
        <f t="shared" si="0"/>
        <v>0.2</v>
      </c>
      <c r="N7" s="44">
        <f t="shared" si="1"/>
        <v>0.4</v>
      </c>
      <c r="O7" s="44">
        <f t="shared" si="2"/>
        <v>12</v>
      </c>
      <c r="P7" s="22">
        <f t="shared" si="3"/>
        <v>12.2</v>
      </c>
    </row>
    <row r="8" spans="1:16" x14ac:dyDescent="0.3">
      <c r="A8" s="40">
        <v>7</v>
      </c>
      <c r="C8" s="21">
        <v>3666</v>
      </c>
      <c r="D8" s="15" t="s">
        <v>300</v>
      </c>
      <c r="E8" s="15">
        <f>1086+264</f>
        <v>1350</v>
      </c>
      <c r="F8" s="35" t="s">
        <v>9</v>
      </c>
      <c r="G8" s="16">
        <v>11248.73</v>
      </c>
      <c r="H8" s="16">
        <v>11403</v>
      </c>
      <c r="I8" s="16">
        <v>-154.27000000000001</v>
      </c>
      <c r="J8" s="17">
        <v>-1.35</v>
      </c>
      <c r="K8" s="18">
        <f>20/30</f>
        <v>0.66666666666666663</v>
      </c>
      <c r="L8" s="18">
        <f>1/4</f>
        <v>0.25</v>
      </c>
      <c r="M8" s="19">
        <f t="shared" si="0"/>
        <v>75</v>
      </c>
      <c r="N8" s="44">
        <f t="shared" si="1"/>
        <v>150</v>
      </c>
      <c r="O8" s="44">
        <f t="shared" si="2"/>
        <v>450</v>
      </c>
      <c r="P8" s="22">
        <f t="shared" si="3"/>
        <v>525</v>
      </c>
    </row>
    <row r="9" spans="1:16" x14ac:dyDescent="0.3">
      <c r="A9" s="40">
        <v>8</v>
      </c>
      <c r="C9" s="21">
        <v>3945</v>
      </c>
      <c r="D9" s="15" t="s">
        <v>267</v>
      </c>
      <c r="E9" s="15">
        <f>52+30</f>
        <v>82</v>
      </c>
      <c r="F9" s="35" t="s">
        <v>9</v>
      </c>
      <c r="G9" s="16">
        <v>11131.7</v>
      </c>
      <c r="H9" s="16">
        <v>573.01</v>
      </c>
      <c r="I9" s="16">
        <v>10558.69</v>
      </c>
      <c r="J9" s="17">
        <v>1842.67</v>
      </c>
      <c r="K9" s="18">
        <v>1</v>
      </c>
      <c r="L9" s="18">
        <f>1/4</f>
        <v>0.25</v>
      </c>
      <c r="M9" s="19">
        <f t="shared" si="0"/>
        <v>6.833333333333333</v>
      </c>
      <c r="N9" s="44">
        <f t="shared" si="1"/>
        <v>13.666666666666666</v>
      </c>
      <c r="O9" s="44">
        <f t="shared" si="2"/>
        <v>27.333333333333332</v>
      </c>
      <c r="P9" s="22">
        <f t="shared" si="3"/>
        <v>34.166666666666664</v>
      </c>
    </row>
    <row r="10" spans="1:16" x14ac:dyDescent="0.3">
      <c r="A10" s="40">
        <v>9</v>
      </c>
      <c r="C10" s="47">
        <v>631</v>
      </c>
      <c r="D10" s="15" t="s">
        <v>291</v>
      </c>
      <c r="E10" s="15">
        <v>97</v>
      </c>
      <c r="F10" s="35" t="s">
        <v>9</v>
      </c>
      <c r="G10" s="16">
        <v>10649.81</v>
      </c>
      <c r="H10" s="16">
        <v>7098</v>
      </c>
      <c r="I10" s="16">
        <v>3551.81</v>
      </c>
      <c r="J10" s="17">
        <v>50.04</v>
      </c>
      <c r="K10" s="18">
        <v>1</v>
      </c>
      <c r="L10" s="18">
        <f>1/4</f>
        <v>0.25</v>
      </c>
      <c r="M10" s="19">
        <f t="shared" si="0"/>
        <v>8.0833333333333339</v>
      </c>
      <c r="N10" s="44">
        <f t="shared" si="1"/>
        <v>16.166666666666668</v>
      </c>
      <c r="O10" s="44">
        <f t="shared" si="2"/>
        <v>32.333333333333336</v>
      </c>
      <c r="P10" s="22">
        <f t="shared" si="3"/>
        <v>40.416666666666671</v>
      </c>
    </row>
    <row r="11" spans="1:16" x14ac:dyDescent="0.3">
      <c r="A11" s="40">
        <v>10</v>
      </c>
      <c r="C11" s="47">
        <v>170</v>
      </c>
      <c r="D11" s="15" t="s">
        <v>269</v>
      </c>
      <c r="E11" s="15">
        <v>6529</v>
      </c>
      <c r="F11" s="35" t="s">
        <v>9</v>
      </c>
      <c r="G11" s="16">
        <v>10439.129999999999</v>
      </c>
      <c r="H11" s="16">
        <v>3658.17</v>
      </c>
      <c r="I11" s="16">
        <v>6780.96</v>
      </c>
      <c r="J11" s="17">
        <v>185.36</v>
      </c>
      <c r="K11" s="18">
        <f>20/30</f>
        <v>0.66666666666666663</v>
      </c>
      <c r="L11" s="18">
        <f>1/5</f>
        <v>0.2</v>
      </c>
      <c r="M11" s="19">
        <f t="shared" si="0"/>
        <v>362.72222222222223</v>
      </c>
      <c r="N11" s="44">
        <f t="shared" si="1"/>
        <v>725.44444444444446</v>
      </c>
      <c r="O11" s="44">
        <f t="shared" si="2"/>
        <v>2720.4166666666665</v>
      </c>
      <c r="P11" s="22">
        <f t="shared" si="3"/>
        <v>3083.1388888888887</v>
      </c>
    </row>
    <row r="12" spans="1:16" x14ac:dyDescent="0.3">
      <c r="A12" s="40">
        <v>11</v>
      </c>
      <c r="C12" s="21">
        <v>5034</v>
      </c>
      <c r="D12" s="15" t="s">
        <v>408</v>
      </c>
      <c r="E12" s="15">
        <f>109+25</f>
        <v>134</v>
      </c>
      <c r="F12" s="35" t="s">
        <v>9</v>
      </c>
      <c r="G12" s="16">
        <v>10163.15</v>
      </c>
      <c r="H12" s="16">
        <v>11990</v>
      </c>
      <c r="I12" s="16">
        <v>-1826.85</v>
      </c>
      <c r="J12" s="17">
        <v>-15.24</v>
      </c>
      <c r="K12" s="18">
        <v>1</v>
      </c>
      <c r="L12" s="18">
        <f>1/6</f>
        <v>0.16666666666666666</v>
      </c>
      <c r="M12" s="19">
        <f t="shared" si="0"/>
        <v>11.166666666666666</v>
      </c>
      <c r="N12" s="44">
        <f t="shared" si="1"/>
        <v>22.333333333333332</v>
      </c>
      <c r="O12" s="44">
        <f t="shared" si="2"/>
        <v>67</v>
      </c>
      <c r="P12" s="22">
        <f t="shared" si="3"/>
        <v>78.166666666666671</v>
      </c>
    </row>
    <row r="13" spans="1:16" x14ac:dyDescent="0.3">
      <c r="A13" s="40">
        <v>12</v>
      </c>
      <c r="C13" s="21">
        <v>3531</v>
      </c>
      <c r="D13" s="15" t="s">
        <v>409</v>
      </c>
      <c r="E13" s="15">
        <f>10+6+3+1</f>
        <v>20</v>
      </c>
      <c r="F13" s="35" t="s">
        <v>9</v>
      </c>
      <c r="G13" s="16">
        <v>9361.85</v>
      </c>
      <c r="H13" s="16">
        <v>7500</v>
      </c>
      <c r="I13" s="16">
        <v>1861.85</v>
      </c>
      <c r="J13" s="17">
        <v>24.82</v>
      </c>
      <c r="K13" s="18">
        <v>1</v>
      </c>
      <c r="L13" s="18">
        <f>1/4</f>
        <v>0.25</v>
      </c>
      <c r="M13" s="19">
        <f t="shared" si="0"/>
        <v>1.6666666666666667</v>
      </c>
      <c r="N13" s="44">
        <f t="shared" si="1"/>
        <v>3.3333333333333335</v>
      </c>
      <c r="O13" s="44">
        <f t="shared" si="2"/>
        <v>6.666666666666667</v>
      </c>
      <c r="P13" s="22">
        <f t="shared" si="3"/>
        <v>8.3333333333333339</v>
      </c>
    </row>
    <row r="14" spans="1:16" x14ac:dyDescent="0.3">
      <c r="A14" s="40">
        <v>13</v>
      </c>
      <c r="C14" s="21">
        <v>2455</v>
      </c>
      <c r="D14" s="15" t="s">
        <v>39</v>
      </c>
      <c r="E14" s="15">
        <v>45</v>
      </c>
      <c r="F14" s="35" t="s">
        <v>9</v>
      </c>
      <c r="G14" s="16">
        <v>9156.9599999999991</v>
      </c>
      <c r="H14" s="16">
        <v>7572.8</v>
      </c>
      <c r="I14" s="16">
        <v>1584.16</v>
      </c>
      <c r="J14" s="17">
        <v>20.92</v>
      </c>
      <c r="K14" s="18">
        <v>1</v>
      </c>
      <c r="L14" s="18">
        <f>1/5</f>
        <v>0.2</v>
      </c>
      <c r="M14" s="19">
        <f t="shared" si="0"/>
        <v>3.75</v>
      </c>
      <c r="N14" s="44">
        <f t="shared" si="1"/>
        <v>7.5</v>
      </c>
      <c r="O14" s="44">
        <f t="shared" si="2"/>
        <v>18.75</v>
      </c>
      <c r="P14" s="22">
        <f t="shared" si="3"/>
        <v>22.5</v>
      </c>
    </row>
    <row r="15" spans="1:16" x14ac:dyDescent="0.3">
      <c r="A15" s="40">
        <v>14</v>
      </c>
      <c r="C15" s="21">
        <v>4684</v>
      </c>
      <c r="D15" s="15" t="s">
        <v>226</v>
      </c>
      <c r="E15" s="15">
        <f>36+13+3</f>
        <v>52</v>
      </c>
      <c r="F15" s="35" t="s">
        <v>9</v>
      </c>
      <c r="G15" s="16">
        <v>8835.14</v>
      </c>
      <c r="H15" s="16">
        <v>11880</v>
      </c>
      <c r="I15" s="16">
        <v>-3044.86</v>
      </c>
      <c r="J15" s="17">
        <v>-25.63</v>
      </c>
      <c r="K15" s="18">
        <f>20/30</f>
        <v>0.66666666666666663</v>
      </c>
      <c r="L15" s="18">
        <f>1/4</f>
        <v>0.25</v>
      </c>
      <c r="M15" s="19">
        <f t="shared" si="0"/>
        <v>2.8888888888888884</v>
      </c>
      <c r="N15" s="44">
        <f t="shared" si="1"/>
        <v>5.7777777777777768</v>
      </c>
      <c r="O15" s="44">
        <f t="shared" si="2"/>
        <v>17.333333333333332</v>
      </c>
      <c r="P15" s="22">
        <f t="shared" si="3"/>
        <v>20.222222222222221</v>
      </c>
    </row>
    <row r="16" spans="1:16" x14ac:dyDescent="0.3">
      <c r="A16" s="40">
        <v>15</v>
      </c>
      <c r="C16" s="21">
        <v>1268</v>
      </c>
      <c r="D16" s="15" t="s">
        <v>410</v>
      </c>
      <c r="E16" s="15">
        <f>110+40+16</f>
        <v>166</v>
      </c>
      <c r="F16" s="35" t="s">
        <v>25</v>
      </c>
      <c r="G16" s="16">
        <v>8643.77</v>
      </c>
      <c r="H16" s="16">
        <v>6330</v>
      </c>
      <c r="I16" s="16">
        <v>2313.77</v>
      </c>
      <c r="J16" s="17">
        <v>36.549999999999997</v>
      </c>
      <c r="K16" s="18">
        <f>10/30</f>
        <v>0.33333333333333331</v>
      </c>
      <c r="L16" s="18">
        <f>1/3</f>
        <v>0.33333333333333331</v>
      </c>
      <c r="M16" s="19">
        <f t="shared" si="0"/>
        <v>4.6111111111111107</v>
      </c>
      <c r="N16" s="44">
        <f t="shared" si="1"/>
        <v>9.2222222222222214</v>
      </c>
      <c r="O16" s="44">
        <f t="shared" si="2"/>
        <v>41.500000000000007</v>
      </c>
      <c r="P16" s="22">
        <f t="shared" si="3"/>
        <v>46.111111111111114</v>
      </c>
    </row>
    <row r="17" spans="1:16" x14ac:dyDescent="0.3">
      <c r="A17" s="40">
        <v>16</v>
      </c>
      <c r="C17" s="21">
        <v>3747</v>
      </c>
      <c r="D17" s="15" t="s">
        <v>122</v>
      </c>
      <c r="E17" s="15">
        <f>255+20</f>
        <v>275</v>
      </c>
      <c r="F17" s="35" t="s">
        <v>9</v>
      </c>
      <c r="G17" s="16">
        <v>8261.2099999999991</v>
      </c>
      <c r="H17" s="16">
        <v>3646.5</v>
      </c>
      <c r="I17" s="16">
        <v>4614.71</v>
      </c>
      <c r="J17" s="17">
        <v>126.55</v>
      </c>
      <c r="K17" s="18">
        <v>1</v>
      </c>
      <c r="L17" s="18">
        <f>1/6</f>
        <v>0.16666666666666666</v>
      </c>
      <c r="M17" s="19">
        <f t="shared" si="0"/>
        <v>22.916666666666668</v>
      </c>
      <c r="N17" s="44">
        <f t="shared" si="1"/>
        <v>45.833333333333336</v>
      </c>
      <c r="O17" s="44">
        <f t="shared" si="2"/>
        <v>137.50000000000003</v>
      </c>
      <c r="P17" s="22">
        <f t="shared" si="3"/>
        <v>160.41666666666669</v>
      </c>
    </row>
    <row r="18" spans="1:16" x14ac:dyDescent="0.3">
      <c r="A18" s="40">
        <v>17</v>
      </c>
      <c r="C18" s="21">
        <v>3968</v>
      </c>
      <c r="D18" s="15" t="s">
        <v>21</v>
      </c>
      <c r="E18" s="15">
        <v>4098</v>
      </c>
      <c r="F18" s="35" t="s">
        <v>22</v>
      </c>
      <c r="G18" s="16">
        <v>8100.87</v>
      </c>
      <c r="H18" s="16">
        <v>11064.6</v>
      </c>
      <c r="I18" s="16">
        <v>-2963.73</v>
      </c>
      <c r="J18" s="17">
        <v>-26.79</v>
      </c>
      <c r="K18" s="18">
        <f>20/30</f>
        <v>0.66666666666666663</v>
      </c>
      <c r="L18" s="18">
        <f>1/5</f>
        <v>0.2</v>
      </c>
      <c r="M18" s="19">
        <f t="shared" si="0"/>
        <v>227.66666666666666</v>
      </c>
      <c r="N18" s="44">
        <f t="shared" si="1"/>
        <v>455.33333333333331</v>
      </c>
      <c r="O18" s="44">
        <f t="shared" si="2"/>
        <v>1707.5</v>
      </c>
      <c r="P18" s="22">
        <f t="shared" si="3"/>
        <v>1935.1666666666667</v>
      </c>
    </row>
    <row r="19" spans="1:16" x14ac:dyDescent="0.3">
      <c r="A19" s="40">
        <v>18</v>
      </c>
      <c r="C19" s="21">
        <v>3479</v>
      </c>
      <c r="D19" s="15" t="s">
        <v>49</v>
      </c>
      <c r="E19" s="15">
        <f>231+55</f>
        <v>286</v>
      </c>
      <c r="F19" s="35" t="s">
        <v>25</v>
      </c>
      <c r="G19" s="16">
        <v>7684.62</v>
      </c>
      <c r="H19" s="16">
        <v>6603.3</v>
      </c>
      <c r="I19" s="16">
        <v>1081.32</v>
      </c>
      <c r="J19" s="17">
        <v>16.38</v>
      </c>
      <c r="K19" s="18">
        <f>10/30</f>
        <v>0.33333333333333331</v>
      </c>
      <c r="L19" s="18">
        <f>1/3</f>
        <v>0.33333333333333331</v>
      </c>
      <c r="M19" s="19">
        <f t="shared" si="0"/>
        <v>7.9444444444444438</v>
      </c>
      <c r="N19" s="44">
        <f t="shared" si="1"/>
        <v>15.888888888888888</v>
      </c>
      <c r="O19" s="44">
        <f t="shared" si="2"/>
        <v>71.5</v>
      </c>
      <c r="P19" s="22">
        <f t="shared" si="3"/>
        <v>79.444444444444443</v>
      </c>
    </row>
    <row r="20" spans="1:16" x14ac:dyDescent="0.3">
      <c r="A20" s="40">
        <v>19</v>
      </c>
      <c r="C20" s="48">
        <v>4615</v>
      </c>
      <c r="D20" s="49" t="s">
        <v>411</v>
      </c>
      <c r="E20" s="15">
        <f>126+125+32</f>
        <v>283</v>
      </c>
      <c r="F20" s="35" t="s">
        <v>9</v>
      </c>
      <c r="G20" s="16">
        <v>7305.76</v>
      </c>
      <c r="H20" s="16">
        <v>7270.2</v>
      </c>
      <c r="I20" s="16">
        <v>35.56</v>
      </c>
      <c r="J20" s="17">
        <v>0.49</v>
      </c>
      <c r="K20" s="18">
        <v>1</v>
      </c>
      <c r="L20" s="18">
        <f>1/4</f>
        <v>0.25</v>
      </c>
      <c r="M20" s="19">
        <f t="shared" si="0"/>
        <v>23.583333333333332</v>
      </c>
      <c r="N20" s="44">
        <f t="shared" si="1"/>
        <v>47.166666666666664</v>
      </c>
      <c r="O20" s="44">
        <f t="shared" si="2"/>
        <v>94.333333333333329</v>
      </c>
      <c r="P20" s="22">
        <f t="shared" si="3"/>
        <v>117.91666666666666</v>
      </c>
    </row>
    <row r="21" spans="1:16" x14ac:dyDescent="0.3">
      <c r="A21" s="40">
        <v>20</v>
      </c>
      <c r="C21" s="21">
        <v>318</v>
      </c>
      <c r="D21" s="15" t="s">
        <v>288</v>
      </c>
      <c r="E21" s="15">
        <f>101+94+35+15</f>
        <v>245</v>
      </c>
      <c r="F21" s="35" t="s">
        <v>9</v>
      </c>
      <c r="G21" s="16">
        <v>6975.14</v>
      </c>
      <c r="H21" s="16">
        <v>4231.8999999999996</v>
      </c>
      <c r="I21" s="16">
        <v>2743.24</v>
      </c>
      <c r="J21" s="17">
        <v>64.819999999999993</v>
      </c>
      <c r="K21" s="18">
        <v>1</v>
      </c>
      <c r="L21" s="18">
        <f>1/8</f>
        <v>0.125</v>
      </c>
      <c r="M21" s="19">
        <f t="shared" si="0"/>
        <v>20.416666666666668</v>
      </c>
      <c r="N21" s="44">
        <f t="shared" si="1"/>
        <v>40.833333333333336</v>
      </c>
      <c r="O21" s="44">
        <f t="shared" si="2"/>
        <v>163.33333333333334</v>
      </c>
      <c r="P21" s="22">
        <f t="shared" si="3"/>
        <v>183.75</v>
      </c>
    </row>
    <row r="22" spans="1:16" x14ac:dyDescent="0.3">
      <c r="A22" s="40">
        <v>21</v>
      </c>
      <c r="C22" s="21">
        <v>225</v>
      </c>
      <c r="D22" s="15" t="s">
        <v>31</v>
      </c>
      <c r="E22" s="15">
        <f>1376+564</f>
        <v>1940</v>
      </c>
      <c r="F22" s="35" t="s">
        <v>9</v>
      </c>
      <c r="G22" s="16">
        <v>6896.38</v>
      </c>
      <c r="H22" s="16">
        <v>2565.84</v>
      </c>
      <c r="I22" s="16">
        <v>4330.54</v>
      </c>
      <c r="J22" s="17">
        <v>168.78</v>
      </c>
      <c r="K22" s="18">
        <f>25/30</f>
        <v>0.83333333333333337</v>
      </c>
      <c r="L22" s="18">
        <f>1/4</f>
        <v>0.25</v>
      </c>
      <c r="M22" s="19">
        <f t="shared" si="0"/>
        <v>134.72222222222223</v>
      </c>
      <c r="N22" s="44">
        <f t="shared" si="1"/>
        <v>269.44444444444446</v>
      </c>
      <c r="O22" s="44">
        <f t="shared" si="2"/>
        <v>646.66666666666663</v>
      </c>
      <c r="P22" s="22">
        <f t="shared" si="3"/>
        <v>781.38888888888891</v>
      </c>
    </row>
    <row r="23" spans="1:16" x14ac:dyDescent="0.3">
      <c r="A23" s="40">
        <v>22</v>
      </c>
      <c r="C23" s="21">
        <v>1302</v>
      </c>
      <c r="D23" s="15" t="s">
        <v>27</v>
      </c>
      <c r="E23" s="15">
        <v>31</v>
      </c>
      <c r="F23" s="35" t="s">
        <v>9</v>
      </c>
      <c r="G23" s="16">
        <v>6856.77</v>
      </c>
      <c r="H23" s="16">
        <v>5539</v>
      </c>
      <c r="I23" s="16">
        <v>1317.77</v>
      </c>
      <c r="J23" s="17">
        <v>23.79</v>
      </c>
      <c r="K23" s="18">
        <v>1</v>
      </c>
      <c r="L23" s="18">
        <f>1/5</f>
        <v>0.2</v>
      </c>
      <c r="M23" s="19">
        <f t="shared" si="0"/>
        <v>2.5833333333333335</v>
      </c>
      <c r="N23" s="44">
        <f t="shared" si="1"/>
        <v>5.166666666666667</v>
      </c>
      <c r="O23" s="44">
        <f t="shared" si="2"/>
        <v>12.916666666666666</v>
      </c>
      <c r="P23" s="22">
        <f t="shared" si="3"/>
        <v>15.5</v>
      </c>
    </row>
    <row r="24" spans="1:16" x14ac:dyDescent="0.3">
      <c r="A24" s="40">
        <v>23</v>
      </c>
      <c r="C24" s="21">
        <v>4582</v>
      </c>
      <c r="D24" s="15" t="s">
        <v>109</v>
      </c>
      <c r="E24" s="15">
        <v>1350</v>
      </c>
      <c r="F24" s="35" t="s">
        <v>9</v>
      </c>
      <c r="G24" s="16">
        <v>6738.64</v>
      </c>
      <c r="H24" s="16">
        <v>5505.48</v>
      </c>
      <c r="I24" s="16">
        <v>1233.1600000000001</v>
      </c>
      <c r="J24" s="17">
        <v>22.4</v>
      </c>
      <c r="K24" s="18">
        <v>1</v>
      </c>
      <c r="L24" s="18">
        <f>1/3</f>
        <v>0.33333333333333331</v>
      </c>
      <c r="M24" s="19">
        <f t="shared" si="0"/>
        <v>112.5</v>
      </c>
      <c r="N24" s="44">
        <f t="shared" si="1"/>
        <v>225</v>
      </c>
      <c r="O24" s="44">
        <f t="shared" si="2"/>
        <v>337.5</v>
      </c>
      <c r="P24" s="22">
        <f t="shared" si="3"/>
        <v>450</v>
      </c>
    </row>
    <row r="25" spans="1:16" x14ac:dyDescent="0.3">
      <c r="A25" s="40">
        <v>24</v>
      </c>
      <c r="C25" s="21">
        <v>3369</v>
      </c>
      <c r="D25" s="15" t="s">
        <v>412</v>
      </c>
      <c r="E25" s="15">
        <f>349+196+140</f>
        <v>685</v>
      </c>
      <c r="F25" s="35" t="s">
        <v>9</v>
      </c>
      <c r="G25" s="16">
        <v>6697.71</v>
      </c>
      <c r="H25" s="16">
        <v>5496.16</v>
      </c>
      <c r="I25" s="16">
        <v>1201.55</v>
      </c>
      <c r="J25" s="17">
        <v>21.86</v>
      </c>
      <c r="K25" s="18">
        <v>1</v>
      </c>
      <c r="L25" s="18">
        <f>1/6</f>
        <v>0.16666666666666666</v>
      </c>
      <c r="M25" s="19">
        <f t="shared" si="0"/>
        <v>57.083333333333336</v>
      </c>
      <c r="N25" s="44">
        <f t="shared" si="1"/>
        <v>114.16666666666667</v>
      </c>
      <c r="O25" s="44">
        <f t="shared" si="2"/>
        <v>342.50000000000006</v>
      </c>
      <c r="P25" s="22">
        <f t="shared" si="3"/>
        <v>399.58333333333337</v>
      </c>
    </row>
    <row r="26" spans="1:16" x14ac:dyDescent="0.3">
      <c r="A26" s="40">
        <v>25</v>
      </c>
      <c r="C26" s="21">
        <v>342</v>
      </c>
      <c r="D26" s="15" t="s">
        <v>413</v>
      </c>
      <c r="E26" s="15">
        <v>66</v>
      </c>
      <c r="F26" s="35" t="s">
        <v>9</v>
      </c>
      <c r="G26" s="16">
        <v>6515.48</v>
      </c>
      <c r="H26" s="16">
        <v>0</v>
      </c>
      <c r="I26" s="16">
        <v>6515.48</v>
      </c>
      <c r="J26" s="17">
        <v>100</v>
      </c>
      <c r="K26" s="18">
        <v>1</v>
      </c>
      <c r="L26" s="18">
        <f>1/6</f>
        <v>0.16666666666666666</v>
      </c>
      <c r="M26" s="19">
        <f t="shared" si="0"/>
        <v>5.5</v>
      </c>
      <c r="N26" s="44">
        <f t="shared" si="1"/>
        <v>11</v>
      </c>
      <c r="O26" s="44">
        <f t="shared" si="2"/>
        <v>33</v>
      </c>
      <c r="P26" s="22">
        <f t="shared" si="3"/>
        <v>38.5</v>
      </c>
    </row>
    <row r="27" spans="1:16" x14ac:dyDescent="0.3">
      <c r="A27" s="40">
        <v>26</v>
      </c>
      <c r="C27" s="48">
        <v>4545</v>
      </c>
      <c r="D27" s="49" t="s">
        <v>414</v>
      </c>
      <c r="E27" s="15">
        <f>17+4</f>
        <v>21</v>
      </c>
      <c r="F27" s="35" t="s">
        <v>9</v>
      </c>
      <c r="G27" s="16">
        <v>6462.45</v>
      </c>
      <c r="H27" s="16">
        <v>6660</v>
      </c>
      <c r="I27" s="16">
        <v>-197.55</v>
      </c>
      <c r="J27" s="17">
        <v>-2.97</v>
      </c>
      <c r="K27" s="18">
        <v>1</v>
      </c>
      <c r="L27" s="18">
        <f>1/6</f>
        <v>0.16666666666666666</v>
      </c>
      <c r="M27" s="19">
        <f t="shared" si="0"/>
        <v>1.75</v>
      </c>
      <c r="N27" s="44">
        <f t="shared" si="1"/>
        <v>3.5</v>
      </c>
      <c r="O27" s="44">
        <f t="shared" si="2"/>
        <v>10.5</v>
      </c>
      <c r="P27" s="22">
        <f t="shared" si="3"/>
        <v>12.25</v>
      </c>
    </row>
    <row r="28" spans="1:16" x14ac:dyDescent="0.3">
      <c r="A28" s="40">
        <v>27</v>
      </c>
      <c r="C28" s="21">
        <v>150</v>
      </c>
      <c r="D28" s="15" t="s">
        <v>415</v>
      </c>
      <c r="E28" s="15">
        <f>4336+3669.9+735</f>
        <v>8740.9</v>
      </c>
      <c r="F28" s="35" t="s">
        <v>12</v>
      </c>
      <c r="G28" s="16">
        <v>6348.99</v>
      </c>
      <c r="H28" s="16">
        <v>6720.8</v>
      </c>
      <c r="I28" s="16">
        <v>-371.81</v>
      </c>
      <c r="J28" s="17">
        <v>-5.53</v>
      </c>
      <c r="K28" s="18">
        <f>25/30</f>
        <v>0.83333333333333337</v>
      </c>
      <c r="L28" s="18">
        <f>1/6</f>
        <v>0.16666666666666666</v>
      </c>
      <c r="M28" s="19">
        <f t="shared" si="0"/>
        <v>607.00694444444446</v>
      </c>
      <c r="N28" s="44">
        <f t="shared" si="1"/>
        <v>1214.0138888888889</v>
      </c>
      <c r="O28" s="44">
        <f t="shared" si="2"/>
        <v>4370.45</v>
      </c>
      <c r="P28" s="22">
        <f t="shared" si="3"/>
        <v>4977.4569444444442</v>
      </c>
    </row>
    <row r="29" spans="1:16" x14ac:dyDescent="0.3">
      <c r="A29" s="40">
        <v>28</v>
      </c>
      <c r="C29" s="21">
        <v>475</v>
      </c>
      <c r="D29" s="15" t="s">
        <v>416</v>
      </c>
      <c r="E29" s="15">
        <f>61+56+50+12</f>
        <v>179</v>
      </c>
      <c r="F29" s="35" t="s">
        <v>9</v>
      </c>
      <c r="G29" s="16">
        <v>5698.64</v>
      </c>
      <c r="H29" s="16">
        <v>0</v>
      </c>
      <c r="I29" s="16">
        <v>5698.64</v>
      </c>
      <c r="J29" s="17">
        <v>100</v>
      </c>
      <c r="K29" s="18">
        <v>1</v>
      </c>
      <c r="L29" s="18">
        <f>1/5</f>
        <v>0.2</v>
      </c>
      <c r="M29" s="19">
        <f t="shared" si="0"/>
        <v>14.916666666666666</v>
      </c>
      <c r="N29" s="44">
        <f t="shared" si="1"/>
        <v>29.833333333333332</v>
      </c>
      <c r="O29" s="44">
        <f t="shared" si="2"/>
        <v>74.583333333333329</v>
      </c>
      <c r="P29" s="22">
        <f t="shared" si="3"/>
        <v>89.5</v>
      </c>
    </row>
    <row r="30" spans="1:16" x14ac:dyDescent="0.3">
      <c r="A30" s="40">
        <v>29</v>
      </c>
      <c r="C30" s="21">
        <v>1671</v>
      </c>
      <c r="D30" s="15" t="s">
        <v>417</v>
      </c>
      <c r="E30" s="15">
        <f>600+102</f>
        <v>702</v>
      </c>
      <c r="F30" s="35" t="s">
        <v>25</v>
      </c>
      <c r="G30" s="16">
        <v>5637.44</v>
      </c>
      <c r="H30" s="16">
        <v>4498.95</v>
      </c>
      <c r="I30" s="16">
        <v>1138.49</v>
      </c>
      <c r="J30" s="17">
        <v>25.31</v>
      </c>
      <c r="K30" s="18">
        <f>10/30</f>
        <v>0.33333333333333331</v>
      </c>
      <c r="L30" s="18">
        <f>1/3</f>
        <v>0.33333333333333331</v>
      </c>
      <c r="M30" s="19">
        <f t="shared" si="0"/>
        <v>19.5</v>
      </c>
      <c r="N30" s="44">
        <f t="shared" si="1"/>
        <v>39</v>
      </c>
      <c r="O30" s="44">
        <f t="shared" si="2"/>
        <v>175.5</v>
      </c>
      <c r="P30" s="22">
        <f t="shared" si="3"/>
        <v>195</v>
      </c>
    </row>
    <row r="31" spans="1:16" x14ac:dyDescent="0.3">
      <c r="A31" s="40">
        <v>30</v>
      </c>
      <c r="C31" s="21">
        <v>177</v>
      </c>
      <c r="D31" s="15" t="s">
        <v>50</v>
      </c>
      <c r="E31" s="17">
        <v>2147.6999999999998</v>
      </c>
      <c r="F31" s="35" t="s">
        <v>12</v>
      </c>
      <c r="G31" s="16">
        <v>5556.97</v>
      </c>
      <c r="H31" s="16">
        <v>4946.74</v>
      </c>
      <c r="I31" s="16">
        <v>610.22</v>
      </c>
      <c r="J31" s="17">
        <v>12.34</v>
      </c>
      <c r="K31" s="18">
        <f>25/30</f>
        <v>0.83333333333333337</v>
      </c>
      <c r="L31" s="18">
        <f>1/6</f>
        <v>0.16666666666666666</v>
      </c>
      <c r="M31" s="19">
        <f t="shared" si="0"/>
        <v>149.14583333333334</v>
      </c>
      <c r="N31" s="44">
        <f t="shared" si="1"/>
        <v>298.29166666666669</v>
      </c>
      <c r="O31" s="44">
        <f t="shared" si="2"/>
        <v>1073.8500000000001</v>
      </c>
      <c r="P31" s="22">
        <f t="shared" si="3"/>
        <v>1222.9958333333334</v>
      </c>
    </row>
    <row r="32" spans="1:16" x14ac:dyDescent="0.3">
      <c r="A32" s="40">
        <v>31</v>
      </c>
      <c r="C32" s="48">
        <v>4686</v>
      </c>
      <c r="D32" s="49" t="s">
        <v>418</v>
      </c>
      <c r="E32" s="15">
        <f>53+53+20</f>
        <v>126</v>
      </c>
      <c r="F32" s="35" t="s">
        <v>9</v>
      </c>
      <c r="G32" s="16">
        <v>5488.43</v>
      </c>
      <c r="H32" s="16">
        <v>5565</v>
      </c>
      <c r="I32" s="16">
        <v>-76.569999999999993</v>
      </c>
      <c r="J32" s="17">
        <v>-1.38</v>
      </c>
      <c r="K32" s="18">
        <v>1</v>
      </c>
      <c r="L32" s="18">
        <f>1/4</f>
        <v>0.25</v>
      </c>
      <c r="M32" s="19">
        <f t="shared" si="0"/>
        <v>10.5</v>
      </c>
      <c r="N32" s="44">
        <f t="shared" si="1"/>
        <v>21</v>
      </c>
      <c r="O32" s="44">
        <f t="shared" si="2"/>
        <v>42</v>
      </c>
      <c r="P32" s="22">
        <f t="shared" si="3"/>
        <v>52.5</v>
      </c>
    </row>
    <row r="33" spans="1:16" x14ac:dyDescent="0.3">
      <c r="A33" s="40">
        <v>32</v>
      </c>
      <c r="C33" s="21">
        <v>1670</v>
      </c>
      <c r="D33" s="15" t="s">
        <v>88</v>
      </c>
      <c r="E33" s="15">
        <f>107+25</f>
        <v>132</v>
      </c>
      <c r="F33" s="35" t="s">
        <v>34</v>
      </c>
      <c r="G33" s="16">
        <v>5265.2</v>
      </c>
      <c r="H33" s="16">
        <v>4374</v>
      </c>
      <c r="I33" s="16">
        <v>891.2</v>
      </c>
      <c r="J33" s="17">
        <v>20.37</v>
      </c>
      <c r="K33" s="18">
        <f>10/30</f>
        <v>0.33333333333333331</v>
      </c>
      <c r="L33" s="18">
        <f>1/3</f>
        <v>0.33333333333333331</v>
      </c>
      <c r="M33" s="19">
        <f t="shared" si="0"/>
        <v>3.6666666666666665</v>
      </c>
      <c r="N33" s="44">
        <f t="shared" si="1"/>
        <v>7.333333333333333</v>
      </c>
      <c r="O33" s="44">
        <f t="shared" si="2"/>
        <v>33</v>
      </c>
      <c r="P33" s="22">
        <f t="shared" si="3"/>
        <v>36.666666666666664</v>
      </c>
    </row>
    <row r="34" spans="1:16" x14ac:dyDescent="0.3">
      <c r="A34" s="40">
        <v>33</v>
      </c>
      <c r="C34" s="21">
        <v>739</v>
      </c>
      <c r="D34" s="15" t="s">
        <v>419</v>
      </c>
      <c r="E34" s="17">
        <f>443.09+409</f>
        <v>852.08999999999992</v>
      </c>
      <c r="F34" s="35" t="s">
        <v>16</v>
      </c>
      <c r="G34" s="16">
        <v>5197.01</v>
      </c>
      <c r="H34" s="16">
        <v>3944.52</v>
      </c>
      <c r="I34" s="16">
        <v>1252.49</v>
      </c>
      <c r="J34" s="17">
        <v>31.75</v>
      </c>
      <c r="K34" s="18">
        <v>1</v>
      </c>
      <c r="L34" s="18">
        <f>1/5</f>
        <v>0.2</v>
      </c>
      <c r="M34" s="19">
        <f t="shared" si="0"/>
        <v>71.007499999999993</v>
      </c>
      <c r="N34" s="44">
        <f t="shared" si="1"/>
        <v>142.01499999999999</v>
      </c>
      <c r="O34" s="44">
        <f t="shared" si="2"/>
        <v>355.03749999999997</v>
      </c>
      <c r="P34" s="22">
        <f t="shared" si="3"/>
        <v>426.04499999999996</v>
      </c>
    </row>
    <row r="35" spans="1:16" x14ac:dyDescent="0.3">
      <c r="A35" s="40">
        <v>34</v>
      </c>
      <c r="C35" s="21">
        <v>1169</v>
      </c>
      <c r="D35" s="15" t="s">
        <v>420</v>
      </c>
      <c r="E35" s="17">
        <f>1269.3+879+300.5+295.5</f>
        <v>2744.3</v>
      </c>
      <c r="F35" s="35" t="s">
        <v>12</v>
      </c>
      <c r="G35" s="16">
        <v>5043.53</v>
      </c>
      <c r="H35" s="16">
        <v>5013.74</v>
      </c>
      <c r="I35" s="16">
        <v>29.79</v>
      </c>
      <c r="J35" s="17">
        <v>0.59</v>
      </c>
      <c r="K35" s="18">
        <f>25/30</f>
        <v>0.83333333333333337</v>
      </c>
      <c r="L35" s="18">
        <f>1/6</f>
        <v>0.16666666666666666</v>
      </c>
      <c r="M35" s="19">
        <f t="shared" si="0"/>
        <v>190.57638888888891</v>
      </c>
      <c r="N35" s="44">
        <f t="shared" si="1"/>
        <v>381.15277777777783</v>
      </c>
      <c r="O35" s="44">
        <f t="shared" si="2"/>
        <v>1372.1500000000003</v>
      </c>
      <c r="P35" s="22">
        <f t="shared" si="3"/>
        <v>1562.7263888888892</v>
      </c>
    </row>
    <row r="36" spans="1:16" x14ac:dyDescent="0.3">
      <c r="A36" s="40">
        <v>35</v>
      </c>
      <c r="C36" s="21">
        <v>425</v>
      </c>
      <c r="D36" s="15" t="s">
        <v>56</v>
      </c>
      <c r="E36" s="15">
        <v>23</v>
      </c>
      <c r="F36" s="35" t="s">
        <v>9</v>
      </c>
      <c r="G36" s="16">
        <v>5006.45</v>
      </c>
      <c r="H36" s="16">
        <v>0</v>
      </c>
      <c r="I36" s="16">
        <v>5006.45</v>
      </c>
      <c r="J36" s="17">
        <v>100</v>
      </c>
      <c r="K36" s="18">
        <v>1</v>
      </c>
      <c r="L36" s="18">
        <f>1/5</f>
        <v>0.2</v>
      </c>
      <c r="M36" s="19">
        <f t="shared" si="0"/>
        <v>1.9166666666666667</v>
      </c>
      <c r="N36" s="44">
        <f t="shared" si="1"/>
        <v>3.8333333333333335</v>
      </c>
      <c r="O36" s="44">
        <f t="shared" si="2"/>
        <v>9.5833333333333339</v>
      </c>
      <c r="P36" s="22">
        <f t="shared" si="3"/>
        <v>11.5</v>
      </c>
    </row>
    <row r="37" spans="1:16" x14ac:dyDescent="0.3">
      <c r="A37" s="40">
        <v>36</v>
      </c>
      <c r="C37" s="47">
        <v>287</v>
      </c>
      <c r="D37" s="15" t="s">
        <v>421</v>
      </c>
      <c r="E37" s="15">
        <f>5+3+2+1</f>
        <v>11</v>
      </c>
      <c r="F37" s="35" t="s">
        <v>9</v>
      </c>
      <c r="G37" s="16">
        <v>5000.01</v>
      </c>
      <c r="H37" s="16">
        <v>3790.95</v>
      </c>
      <c r="I37" s="16">
        <v>1209.06</v>
      </c>
      <c r="J37" s="17">
        <v>31.89</v>
      </c>
      <c r="K37" s="18">
        <f>15/30</f>
        <v>0.5</v>
      </c>
      <c r="L37" s="18">
        <f>1/3</f>
        <v>0.33333333333333331</v>
      </c>
      <c r="M37" s="19">
        <f t="shared" si="0"/>
        <v>0.45833333333333331</v>
      </c>
      <c r="N37" s="44">
        <f t="shared" si="1"/>
        <v>0.91666666666666663</v>
      </c>
      <c r="O37" s="44">
        <f t="shared" si="2"/>
        <v>2.75</v>
      </c>
      <c r="P37" s="22">
        <f t="shared" si="3"/>
        <v>3.2083333333333335</v>
      </c>
    </row>
    <row r="38" spans="1:16" x14ac:dyDescent="0.3">
      <c r="A38" s="40">
        <v>37</v>
      </c>
      <c r="C38" s="21">
        <v>1306</v>
      </c>
      <c r="D38" s="15" t="s">
        <v>422</v>
      </c>
      <c r="E38" s="17">
        <v>1046.9000000000001</v>
      </c>
      <c r="F38" s="35" t="s">
        <v>12</v>
      </c>
      <c r="G38" s="16">
        <v>4928.6400000000003</v>
      </c>
      <c r="H38" s="16">
        <v>4717.88</v>
      </c>
      <c r="I38" s="16">
        <v>210.76</v>
      </c>
      <c r="J38" s="17">
        <v>4.47</v>
      </c>
      <c r="K38" s="18">
        <f>25/30</f>
        <v>0.83333333333333337</v>
      </c>
      <c r="L38" s="18">
        <f>1/6</f>
        <v>0.16666666666666666</v>
      </c>
      <c r="M38" s="19">
        <f t="shared" si="0"/>
        <v>72.7013888888889</v>
      </c>
      <c r="N38" s="44">
        <f t="shared" si="1"/>
        <v>145.4027777777778</v>
      </c>
      <c r="O38" s="44">
        <f t="shared" si="2"/>
        <v>523.45000000000005</v>
      </c>
      <c r="P38" s="22">
        <f t="shared" si="3"/>
        <v>596.15138888888896</v>
      </c>
    </row>
    <row r="39" spans="1:16" x14ac:dyDescent="0.3">
      <c r="A39" s="40">
        <v>38</v>
      </c>
      <c r="C39" s="21">
        <v>1509</v>
      </c>
      <c r="D39" s="15" t="s">
        <v>130</v>
      </c>
      <c r="E39" s="17">
        <v>8383.5499999999993</v>
      </c>
      <c r="F39" s="35" t="s">
        <v>12</v>
      </c>
      <c r="G39" s="16">
        <v>4803.33</v>
      </c>
      <c r="H39" s="16">
        <v>5449.31</v>
      </c>
      <c r="I39" s="16">
        <v>-645.98</v>
      </c>
      <c r="J39" s="17">
        <v>-11.85</v>
      </c>
      <c r="K39" s="18">
        <f>25/30</f>
        <v>0.83333333333333337</v>
      </c>
      <c r="L39" s="18">
        <f>1/6</f>
        <v>0.16666666666666666</v>
      </c>
      <c r="M39" s="19">
        <f t="shared" si="0"/>
        <v>582.19097222222217</v>
      </c>
      <c r="N39" s="44">
        <f t="shared" si="1"/>
        <v>1164.3819444444443</v>
      </c>
      <c r="O39" s="44">
        <f t="shared" si="2"/>
        <v>4191.7749999999996</v>
      </c>
      <c r="P39" s="22">
        <f t="shared" si="3"/>
        <v>4773.9659722222223</v>
      </c>
    </row>
    <row r="40" spans="1:16" x14ac:dyDescent="0.3">
      <c r="A40" s="40">
        <v>39</v>
      </c>
      <c r="C40" s="21">
        <v>1101</v>
      </c>
      <c r="D40" s="15" t="s">
        <v>368</v>
      </c>
      <c r="E40" s="17">
        <v>588.5</v>
      </c>
      <c r="F40" s="35" t="s">
        <v>12</v>
      </c>
      <c r="G40" s="16">
        <v>4745.47</v>
      </c>
      <c r="H40" s="16">
        <v>4647.8999999999996</v>
      </c>
      <c r="I40" s="16">
        <v>97.57</v>
      </c>
      <c r="J40" s="17">
        <v>2.1</v>
      </c>
      <c r="K40" s="18">
        <f>25/30</f>
        <v>0.83333333333333337</v>
      </c>
      <c r="L40" s="18">
        <f>1/6</f>
        <v>0.16666666666666666</v>
      </c>
      <c r="M40" s="19">
        <f t="shared" si="0"/>
        <v>40.868055555555557</v>
      </c>
      <c r="N40" s="44">
        <f t="shared" si="1"/>
        <v>81.736111111111114</v>
      </c>
      <c r="O40" s="44">
        <f t="shared" si="2"/>
        <v>294.25</v>
      </c>
      <c r="P40" s="22">
        <f t="shared" si="3"/>
        <v>335.11805555555554</v>
      </c>
    </row>
    <row r="41" spans="1:16" x14ac:dyDescent="0.3">
      <c r="A41" s="40">
        <v>40</v>
      </c>
      <c r="C41" s="21">
        <v>3360</v>
      </c>
      <c r="D41" s="15" t="s">
        <v>163</v>
      </c>
      <c r="E41" s="15">
        <v>84</v>
      </c>
      <c r="F41" s="35" t="s">
        <v>34</v>
      </c>
      <c r="G41" s="16">
        <v>4677.4799999999996</v>
      </c>
      <c r="H41" s="16">
        <v>3644.76</v>
      </c>
      <c r="I41" s="16">
        <v>1032.72</v>
      </c>
      <c r="J41" s="17">
        <v>28.33</v>
      </c>
      <c r="K41" s="18">
        <f>10/30</f>
        <v>0.33333333333333331</v>
      </c>
      <c r="L41" s="18">
        <f>1/3</f>
        <v>0.33333333333333331</v>
      </c>
      <c r="M41" s="19">
        <f t="shared" si="0"/>
        <v>2.333333333333333</v>
      </c>
      <c r="N41" s="44">
        <f t="shared" si="1"/>
        <v>4.6666666666666661</v>
      </c>
      <c r="O41" s="44">
        <f t="shared" si="2"/>
        <v>21</v>
      </c>
      <c r="P41" s="22">
        <f t="shared" si="3"/>
        <v>23.333333333333332</v>
      </c>
    </row>
    <row r="42" spans="1:16" x14ac:dyDescent="0.3">
      <c r="A42" s="40">
        <v>41</v>
      </c>
      <c r="C42" s="21">
        <v>545</v>
      </c>
      <c r="D42" s="15" t="s">
        <v>263</v>
      </c>
      <c r="E42" s="17">
        <f>308.08+83.64</f>
        <v>391.71999999999997</v>
      </c>
      <c r="F42" s="35" t="s">
        <v>9</v>
      </c>
      <c r="G42" s="16">
        <v>4612.54</v>
      </c>
      <c r="H42" s="16">
        <v>0</v>
      </c>
      <c r="I42" s="16">
        <v>4612.54</v>
      </c>
      <c r="J42" s="17">
        <v>100</v>
      </c>
      <c r="K42" s="18">
        <v>1</v>
      </c>
      <c r="L42" s="18">
        <f>1/6</f>
        <v>0.16666666666666666</v>
      </c>
      <c r="M42" s="19">
        <f t="shared" si="0"/>
        <v>32.643333333333331</v>
      </c>
      <c r="N42" s="44">
        <f t="shared" si="1"/>
        <v>65.286666666666662</v>
      </c>
      <c r="O42" s="44">
        <f t="shared" si="2"/>
        <v>195.85999999999999</v>
      </c>
      <c r="P42" s="22">
        <f t="shared" si="3"/>
        <v>228.50333333333333</v>
      </c>
    </row>
    <row r="43" spans="1:16" x14ac:dyDescent="0.3">
      <c r="A43" s="40">
        <v>42</v>
      </c>
      <c r="C43" s="21">
        <v>661</v>
      </c>
      <c r="D43" s="15" t="s">
        <v>423</v>
      </c>
      <c r="E43" s="15">
        <v>2</v>
      </c>
      <c r="F43" s="35" t="s">
        <v>9</v>
      </c>
      <c r="G43" s="16">
        <v>4610.09</v>
      </c>
      <c r="H43" s="16">
        <v>0</v>
      </c>
      <c r="I43" s="16">
        <v>4610.09</v>
      </c>
      <c r="J43" s="17">
        <v>100</v>
      </c>
      <c r="K43" s="18">
        <f>15/30</f>
        <v>0.5</v>
      </c>
      <c r="L43" s="18">
        <f>1/3</f>
        <v>0.33333333333333331</v>
      </c>
      <c r="M43" s="19">
        <f t="shared" si="0"/>
        <v>8.3333333333333329E-2</v>
      </c>
      <c r="N43" s="44">
        <f t="shared" si="1"/>
        <v>0.16666666666666666</v>
      </c>
      <c r="O43" s="44">
        <f t="shared" si="2"/>
        <v>0.5</v>
      </c>
      <c r="P43" s="22">
        <f t="shared" si="3"/>
        <v>0.58333333333333337</v>
      </c>
    </row>
    <row r="44" spans="1:16" x14ac:dyDescent="0.3">
      <c r="A44" s="40">
        <v>43</v>
      </c>
      <c r="C44" s="21">
        <v>408</v>
      </c>
      <c r="D44" s="15" t="s">
        <v>424</v>
      </c>
      <c r="E44" s="15">
        <f>377+254+100</f>
        <v>731</v>
      </c>
      <c r="F44" s="35" t="s">
        <v>9</v>
      </c>
      <c r="G44" s="16">
        <v>4585.7299999999996</v>
      </c>
      <c r="H44" s="16">
        <v>3310.43</v>
      </c>
      <c r="I44" s="16">
        <v>1275.3</v>
      </c>
      <c r="J44" s="17">
        <v>38.520000000000003</v>
      </c>
      <c r="K44" s="18">
        <f>15/30</f>
        <v>0.5</v>
      </c>
      <c r="L44" s="18">
        <f>1/6</f>
        <v>0.16666666666666666</v>
      </c>
      <c r="M44" s="19">
        <f t="shared" si="0"/>
        <v>30.458333333333332</v>
      </c>
      <c r="N44" s="44">
        <f t="shared" si="1"/>
        <v>60.916666666666664</v>
      </c>
      <c r="O44" s="44">
        <f t="shared" si="2"/>
        <v>365.5</v>
      </c>
      <c r="P44" s="22">
        <f t="shared" si="3"/>
        <v>395.95833333333331</v>
      </c>
    </row>
    <row r="45" spans="1:16" x14ac:dyDescent="0.3">
      <c r="A45" s="40">
        <v>44</v>
      </c>
      <c r="C45" s="21">
        <v>2899</v>
      </c>
      <c r="D45" s="15" t="s">
        <v>425</v>
      </c>
      <c r="E45" s="15">
        <f>3+1+1</f>
        <v>5</v>
      </c>
      <c r="F45" s="35" t="s">
        <v>9</v>
      </c>
      <c r="G45" s="16">
        <v>4414.05</v>
      </c>
      <c r="H45" s="16">
        <v>4500</v>
      </c>
      <c r="I45" s="16">
        <v>-85.95</v>
      </c>
      <c r="J45" s="17">
        <v>-1.91</v>
      </c>
      <c r="K45" s="18">
        <f>15/30</f>
        <v>0.5</v>
      </c>
      <c r="L45" s="18">
        <f>1/3</f>
        <v>0.33333333333333331</v>
      </c>
      <c r="M45" s="19">
        <f t="shared" si="0"/>
        <v>0.20833333333333334</v>
      </c>
      <c r="N45" s="44">
        <f t="shared" si="1"/>
        <v>0.41666666666666669</v>
      </c>
      <c r="O45" s="44">
        <f t="shared" si="2"/>
        <v>1.2500000000000002</v>
      </c>
      <c r="P45" s="22">
        <f t="shared" si="3"/>
        <v>1.4583333333333335</v>
      </c>
    </row>
    <row r="46" spans="1:16" x14ac:dyDescent="0.3">
      <c r="A46" s="40">
        <v>45</v>
      </c>
      <c r="C46" s="21">
        <v>4730</v>
      </c>
      <c r="D46" s="15" t="s">
        <v>100</v>
      </c>
      <c r="E46" s="15">
        <v>147</v>
      </c>
      <c r="F46" s="35" t="s">
        <v>9</v>
      </c>
      <c r="G46" s="16">
        <v>4336.1400000000003</v>
      </c>
      <c r="H46" s="16">
        <v>3699</v>
      </c>
      <c r="I46" s="16">
        <v>637.14</v>
      </c>
      <c r="J46" s="17">
        <v>17.22</v>
      </c>
      <c r="K46" s="18">
        <f>20/30</f>
        <v>0.66666666666666663</v>
      </c>
      <c r="L46" s="18">
        <f>1/6</f>
        <v>0.16666666666666666</v>
      </c>
      <c r="M46" s="19">
        <f t="shared" si="0"/>
        <v>8.1666666666666661</v>
      </c>
      <c r="N46" s="44">
        <f t="shared" si="1"/>
        <v>16.333333333333332</v>
      </c>
      <c r="O46" s="44">
        <f t="shared" si="2"/>
        <v>73.5</v>
      </c>
      <c r="P46" s="22">
        <f t="shared" si="3"/>
        <v>81.666666666666671</v>
      </c>
    </row>
    <row r="47" spans="1:16" x14ac:dyDescent="0.3">
      <c r="A47" s="40">
        <v>46</v>
      </c>
      <c r="C47" s="21">
        <v>163</v>
      </c>
      <c r="D47" s="15" t="s">
        <v>99</v>
      </c>
      <c r="E47" s="17">
        <v>1763.2</v>
      </c>
      <c r="F47" s="35" t="s">
        <v>12</v>
      </c>
      <c r="G47" s="16">
        <v>4334.45</v>
      </c>
      <c r="H47" s="16">
        <v>3744.41</v>
      </c>
      <c r="I47" s="16">
        <v>590.04999999999995</v>
      </c>
      <c r="J47" s="17">
        <v>15.76</v>
      </c>
      <c r="K47" s="18">
        <f>25/30</f>
        <v>0.83333333333333337</v>
      </c>
      <c r="L47" s="18">
        <f>1/6</f>
        <v>0.16666666666666666</v>
      </c>
      <c r="M47" s="19">
        <f t="shared" si="0"/>
        <v>122.44444444444446</v>
      </c>
      <c r="N47" s="44">
        <f t="shared" si="1"/>
        <v>244.88888888888891</v>
      </c>
      <c r="O47" s="44">
        <f t="shared" si="2"/>
        <v>881.6</v>
      </c>
      <c r="P47" s="22">
        <f t="shared" si="3"/>
        <v>1004.0444444444445</v>
      </c>
    </row>
    <row r="48" spans="1:16" x14ac:dyDescent="0.3">
      <c r="A48" s="40">
        <v>47</v>
      </c>
      <c r="C48" s="21">
        <v>3495</v>
      </c>
      <c r="D48" s="15" t="s">
        <v>426</v>
      </c>
      <c r="E48" s="17">
        <f>366.85+70.33</f>
        <v>437.18</v>
      </c>
      <c r="F48" s="35" t="s">
        <v>16</v>
      </c>
      <c r="G48" s="16">
        <v>4285.87</v>
      </c>
      <c r="H48" s="16">
        <v>3626.45</v>
      </c>
      <c r="I48" s="16">
        <v>659.42</v>
      </c>
      <c r="J48" s="17">
        <v>18.18</v>
      </c>
      <c r="K48" s="18">
        <v>1</v>
      </c>
      <c r="L48" s="18">
        <f>1/5</f>
        <v>0.2</v>
      </c>
      <c r="M48" s="19">
        <f t="shared" si="0"/>
        <v>36.431666666666665</v>
      </c>
      <c r="N48" s="44">
        <f t="shared" si="1"/>
        <v>72.86333333333333</v>
      </c>
      <c r="O48" s="44">
        <f t="shared" si="2"/>
        <v>182.1583333333333</v>
      </c>
      <c r="P48" s="22">
        <f t="shared" si="3"/>
        <v>218.58999999999997</v>
      </c>
    </row>
    <row r="49" spans="1:16" x14ac:dyDescent="0.3">
      <c r="A49" s="40">
        <v>48</v>
      </c>
      <c r="C49" s="21">
        <v>3403</v>
      </c>
      <c r="D49" s="15" t="s">
        <v>140</v>
      </c>
      <c r="E49" s="15">
        <v>79</v>
      </c>
      <c r="F49" s="35" t="s">
        <v>22</v>
      </c>
      <c r="G49" s="16">
        <v>4261.91</v>
      </c>
      <c r="H49" s="16">
        <v>3083.5</v>
      </c>
      <c r="I49" s="16">
        <v>1178.4100000000001</v>
      </c>
      <c r="J49" s="17">
        <v>38.22</v>
      </c>
      <c r="K49" s="18">
        <f>20/30</f>
        <v>0.66666666666666663</v>
      </c>
      <c r="L49" s="18">
        <f>1/6</f>
        <v>0.16666666666666666</v>
      </c>
      <c r="M49" s="19">
        <f t="shared" si="0"/>
        <v>4.3888888888888884</v>
      </c>
      <c r="N49" s="44">
        <f t="shared" si="1"/>
        <v>8.7777777777777768</v>
      </c>
      <c r="O49" s="44">
        <f t="shared" si="2"/>
        <v>39.5</v>
      </c>
      <c r="P49" s="22">
        <f t="shared" si="3"/>
        <v>43.888888888888886</v>
      </c>
    </row>
    <row r="50" spans="1:16" x14ac:dyDescent="0.3">
      <c r="A50" s="40">
        <v>49</v>
      </c>
      <c r="C50" s="21">
        <v>1238</v>
      </c>
      <c r="D50" s="15" t="s">
        <v>235</v>
      </c>
      <c r="E50" s="15">
        <f>29+8+4+4</f>
        <v>45</v>
      </c>
      <c r="F50" s="35" t="s">
        <v>9</v>
      </c>
      <c r="G50" s="16">
        <v>4261.08</v>
      </c>
      <c r="H50" s="16">
        <v>5655</v>
      </c>
      <c r="I50" s="16">
        <v>-1393.92</v>
      </c>
      <c r="J50" s="17">
        <v>-24.65</v>
      </c>
      <c r="K50" s="18">
        <f>20/30</f>
        <v>0.66666666666666663</v>
      </c>
      <c r="L50" s="18">
        <f>1/4</f>
        <v>0.25</v>
      </c>
      <c r="M50" s="19">
        <f t="shared" si="0"/>
        <v>2.5</v>
      </c>
      <c r="N50" s="44">
        <f t="shared" si="1"/>
        <v>5</v>
      </c>
      <c r="O50" s="44">
        <f t="shared" si="2"/>
        <v>15</v>
      </c>
      <c r="P50" s="22">
        <f t="shared" si="3"/>
        <v>17.5</v>
      </c>
    </row>
    <row r="51" spans="1:16" x14ac:dyDescent="0.3">
      <c r="A51" s="40">
        <v>50</v>
      </c>
      <c r="C51" s="21">
        <v>23</v>
      </c>
      <c r="D51" s="15" t="s">
        <v>280</v>
      </c>
      <c r="E51" s="15">
        <f>276+147</f>
        <v>423</v>
      </c>
      <c r="F51" s="35" t="s">
        <v>9</v>
      </c>
      <c r="G51" s="16">
        <v>4248.42</v>
      </c>
      <c r="H51" s="16">
        <v>1178.9000000000001</v>
      </c>
      <c r="I51" s="16">
        <v>3069.52</v>
      </c>
      <c r="J51" s="17">
        <v>260.37</v>
      </c>
      <c r="K51" s="18">
        <f>25/30</f>
        <v>0.83333333333333337</v>
      </c>
      <c r="L51" s="18">
        <f>1/4</f>
        <v>0.25</v>
      </c>
      <c r="M51" s="19">
        <f t="shared" si="0"/>
        <v>29.375</v>
      </c>
      <c r="N51" s="44">
        <f t="shared" si="1"/>
        <v>58.75</v>
      </c>
      <c r="O51" s="44">
        <f t="shared" si="2"/>
        <v>141</v>
      </c>
      <c r="P51" s="22">
        <f t="shared" si="3"/>
        <v>170.375</v>
      </c>
    </row>
    <row r="52" spans="1:16" x14ac:dyDescent="0.3">
      <c r="A52" s="40">
        <v>51</v>
      </c>
      <c r="C52" s="47">
        <v>345</v>
      </c>
      <c r="D52" s="15" t="s">
        <v>91</v>
      </c>
      <c r="E52" s="15">
        <f>12+2</f>
        <v>14</v>
      </c>
      <c r="F52" s="35" t="s">
        <v>9</v>
      </c>
      <c r="G52" s="16">
        <v>4228.95</v>
      </c>
      <c r="H52" s="16">
        <v>0</v>
      </c>
      <c r="I52" s="16">
        <v>4228.95</v>
      </c>
      <c r="J52" s="17">
        <v>100</v>
      </c>
      <c r="K52" s="18">
        <v>1</v>
      </c>
      <c r="L52" s="18">
        <f>1/6</f>
        <v>0.16666666666666666</v>
      </c>
      <c r="M52" s="19">
        <f t="shared" si="0"/>
        <v>1.1666666666666667</v>
      </c>
      <c r="N52" s="44">
        <f t="shared" si="1"/>
        <v>2.3333333333333335</v>
      </c>
      <c r="O52" s="44">
        <f t="shared" si="2"/>
        <v>7.0000000000000009</v>
      </c>
      <c r="P52" s="22">
        <f t="shared" si="3"/>
        <v>8.1666666666666679</v>
      </c>
    </row>
    <row r="53" spans="1:16" x14ac:dyDescent="0.3">
      <c r="A53" s="40">
        <v>52</v>
      </c>
      <c r="C53" s="21">
        <v>5104</v>
      </c>
      <c r="D53" s="15" t="s">
        <v>36</v>
      </c>
      <c r="E53" s="15">
        <f>4+2+2</f>
        <v>8</v>
      </c>
      <c r="F53" s="35" t="s">
        <v>9</v>
      </c>
      <c r="G53" s="16">
        <v>4177.54</v>
      </c>
      <c r="H53" s="16">
        <v>3920</v>
      </c>
      <c r="I53" s="16">
        <v>257.54000000000002</v>
      </c>
      <c r="J53" s="17">
        <v>6.57</v>
      </c>
      <c r="K53" s="18">
        <f>15/30</f>
        <v>0.5</v>
      </c>
      <c r="L53" s="18">
        <f>1/3</f>
        <v>0.33333333333333331</v>
      </c>
      <c r="M53" s="19">
        <f t="shared" si="0"/>
        <v>0.33333333333333331</v>
      </c>
      <c r="N53" s="44">
        <f t="shared" si="1"/>
        <v>0.66666666666666663</v>
      </c>
      <c r="O53" s="44">
        <f t="shared" si="2"/>
        <v>2</v>
      </c>
      <c r="P53" s="22">
        <f t="shared" si="3"/>
        <v>2.3333333333333335</v>
      </c>
    </row>
    <row r="54" spans="1:16" x14ac:dyDescent="0.3">
      <c r="A54" s="40">
        <v>53</v>
      </c>
      <c r="C54" s="21">
        <v>3837</v>
      </c>
      <c r="D54" s="15" t="s">
        <v>195</v>
      </c>
      <c r="E54" s="15">
        <v>44</v>
      </c>
      <c r="F54" s="35" t="s">
        <v>9</v>
      </c>
      <c r="G54" s="16">
        <v>4175.1899999999996</v>
      </c>
      <c r="H54" s="16">
        <v>3055.33</v>
      </c>
      <c r="I54" s="16">
        <v>1119.8599999999999</v>
      </c>
      <c r="J54" s="17">
        <v>36.65</v>
      </c>
      <c r="K54" s="18">
        <v>1</v>
      </c>
      <c r="L54" s="18">
        <f>1/6</f>
        <v>0.16666666666666666</v>
      </c>
      <c r="M54" s="19">
        <f t="shared" si="0"/>
        <v>3.6666666666666665</v>
      </c>
      <c r="N54" s="44">
        <f t="shared" si="1"/>
        <v>7.333333333333333</v>
      </c>
      <c r="O54" s="44">
        <f t="shared" si="2"/>
        <v>22</v>
      </c>
      <c r="P54" s="22">
        <f t="shared" si="3"/>
        <v>25.666666666666668</v>
      </c>
    </row>
    <row r="55" spans="1:16" x14ac:dyDescent="0.3">
      <c r="A55" s="40">
        <v>54</v>
      </c>
      <c r="C55" s="48">
        <v>1400</v>
      </c>
      <c r="D55" s="49" t="s">
        <v>427</v>
      </c>
      <c r="E55" s="15">
        <f>89+21+38</f>
        <v>148</v>
      </c>
      <c r="F55" s="35" t="s">
        <v>9</v>
      </c>
      <c r="G55" s="16">
        <v>4155.67</v>
      </c>
      <c r="H55" s="16">
        <v>2899.62</v>
      </c>
      <c r="I55" s="16">
        <v>1256.05</v>
      </c>
      <c r="J55" s="17">
        <v>43.32</v>
      </c>
      <c r="K55" s="18">
        <v>1</v>
      </c>
      <c r="L55" s="18">
        <f>1/4</f>
        <v>0.25</v>
      </c>
      <c r="M55" s="19">
        <f t="shared" si="0"/>
        <v>12.333333333333334</v>
      </c>
      <c r="N55" s="44">
        <f t="shared" si="1"/>
        <v>24.666666666666668</v>
      </c>
      <c r="O55" s="44">
        <f t="shared" si="2"/>
        <v>49.333333333333336</v>
      </c>
      <c r="P55" s="22">
        <f t="shared" si="3"/>
        <v>61.666666666666671</v>
      </c>
    </row>
    <row r="56" spans="1:16" x14ac:dyDescent="0.3">
      <c r="A56" s="40">
        <v>55</v>
      </c>
      <c r="C56" s="21">
        <v>529</v>
      </c>
      <c r="D56" s="15" t="s">
        <v>428</v>
      </c>
      <c r="E56" s="17">
        <v>259.08</v>
      </c>
      <c r="F56" s="35" t="s">
        <v>12</v>
      </c>
      <c r="G56" s="16">
        <v>4145.43</v>
      </c>
      <c r="H56" s="16">
        <v>0</v>
      </c>
      <c r="I56" s="16">
        <v>4145.43</v>
      </c>
      <c r="J56" s="17">
        <v>100</v>
      </c>
      <c r="K56" s="18">
        <v>1</v>
      </c>
      <c r="L56" s="18">
        <f>1/6</f>
        <v>0.16666666666666666</v>
      </c>
      <c r="M56" s="19">
        <f t="shared" si="0"/>
        <v>21.59</v>
      </c>
      <c r="N56" s="44">
        <f t="shared" si="1"/>
        <v>43.18</v>
      </c>
      <c r="O56" s="44">
        <f t="shared" si="2"/>
        <v>129.54000000000002</v>
      </c>
      <c r="P56" s="22">
        <f t="shared" si="3"/>
        <v>151.13000000000002</v>
      </c>
    </row>
    <row r="57" spans="1:16" x14ac:dyDescent="0.3">
      <c r="A57" s="40">
        <v>56</v>
      </c>
      <c r="C57" s="48">
        <v>4594</v>
      </c>
      <c r="D57" s="49" t="s">
        <v>45</v>
      </c>
      <c r="E57" s="15">
        <f>169+114+48</f>
        <v>331</v>
      </c>
      <c r="F57" s="35" t="s">
        <v>9</v>
      </c>
      <c r="G57" s="16">
        <v>3987.06</v>
      </c>
      <c r="H57" s="16">
        <v>2957.5</v>
      </c>
      <c r="I57" s="16">
        <v>1029.56</v>
      </c>
      <c r="J57" s="17">
        <v>34.81</v>
      </c>
      <c r="K57" s="18">
        <v>1</v>
      </c>
      <c r="L57" s="18">
        <f>1/4</f>
        <v>0.25</v>
      </c>
      <c r="M57" s="19">
        <f t="shared" si="0"/>
        <v>27.583333333333332</v>
      </c>
      <c r="N57" s="44">
        <f t="shared" si="1"/>
        <v>55.166666666666664</v>
      </c>
      <c r="O57" s="44">
        <f t="shared" si="2"/>
        <v>110.33333333333333</v>
      </c>
      <c r="P57" s="22">
        <f t="shared" si="3"/>
        <v>137.91666666666666</v>
      </c>
    </row>
    <row r="58" spans="1:16" x14ac:dyDescent="0.3">
      <c r="A58" s="40">
        <v>57</v>
      </c>
      <c r="C58" s="21">
        <v>1564</v>
      </c>
      <c r="D58" s="15" t="s">
        <v>242</v>
      </c>
      <c r="E58" s="15">
        <v>118</v>
      </c>
      <c r="F58" s="35" t="s">
        <v>9</v>
      </c>
      <c r="G58" s="16">
        <v>3961.12</v>
      </c>
      <c r="H58" s="16">
        <v>3540</v>
      </c>
      <c r="I58" s="16">
        <v>421.12</v>
      </c>
      <c r="J58" s="17">
        <v>11.9</v>
      </c>
      <c r="K58" s="18">
        <f>1/30</f>
        <v>3.3333333333333333E-2</v>
      </c>
      <c r="L58" s="18">
        <f>1/4</f>
        <v>0.25</v>
      </c>
      <c r="M58" s="19">
        <f t="shared" si="0"/>
        <v>0.32777777777777778</v>
      </c>
      <c r="N58" s="44">
        <f t="shared" si="1"/>
        <v>0.65555555555555556</v>
      </c>
      <c r="O58" s="44">
        <f t="shared" si="2"/>
        <v>39.333333333333336</v>
      </c>
      <c r="P58" s="22">
        <f t="shared" si="3"/>
        <v>39.661111111111111</v>
      </c>
    </row>
    <row r="59" spans="1:16" x14ac:dyDescent="0.3">
      <c r="A59" s="40">
        <v>58</v>
      </c>
      <c r="C59" s="21">
        <v>3930</v>
      </c>
      <c r="D59" s="15" t="s">
        <v>429</v>
      </c>
      <c r="E59" s="17">
        <v>29.5</v>
      </c>
      <c r="F59" s="35" t="s">
        <v>9</v>
      </c>
      <c r="G59" s="16">
        <v>3869.7</v>
      </c>
      <c r="H59" s="16">
        <v>3481</v>
      </c>
      <c r="I59" s="16">
        <v>388.7</v>
      </c>
      <c r="J59" s="17">
        <v>11.17</v>
      </c>
      <c r="K59" s="18">
        <v>1</v>
      </c>
      <c r="L59" s="18">
        <f>1/4</f>
        <v>0.25</v>
      </c>
      <c r="M59" s="19">
        <f t="shared" si="0"/>
        <v>2.4583333333333335</v>
      </c>
      <c r="N59" s="44">
        <f t="shared" si="1"/>
        <v>4.916666666666667</v>
      </c>
      <c r="O59" s="44">
        <f t="shared" si="2"/>
        <v>9.8333333333333339</v>
      </c>
      <c r="P59" s="22">
        <f t="shared" si="3"/>
        <v>12.291666666666668</v>
      </c>
    </row>
    <row r="60" spans="1:16" x14ac:dyDescent="0.3">
      <c r="A60" s="40">
        <v>59</v>
      </c>
      <c r="C60" s="21">
        <v>5033</v>
      </c>
      <c r="D60" s="15" t="s">
        <v>430</v>
      </c>
      <c r="E60" s="15">
        <f>41+13</f>
        <v>54</v>
      </c>
      <c r="F60" s="35" t="s">
        <v>9</v>
      </c>
      <c r="G60" s="16">
        <v>3834.97</v>
      </c>
      <c r="H60" s="16">
        <v>4510</v>
      </c>
      <c r="I60" s="16">
        <v>-675.03</v>
      </c>
      <c r="J60" s="17">
        <v>-14.97</v>
      </c>
      <c r="K60" s="18">
        <v>1</v>
      </c>
      <c r="L60" s="18">
        <f>1/6</f>
        <v>0.16666666666666666</v>
      </c>
      <c r="M60" s="19">
        <f t="shared" si="0"/>
        <v>4.5</v>
      </c>
      <c r="N60" s="44">
        <f t="shared" si="1"/>
        <v>9</v>
      </c>
      <c r="O60" s="44">
        <f t="shared" si="2"/>
        <v>27</v>
      </c>
      <c r="P60" s="22">
        <f t="shared" si="3"/>
        <v>31.5</v>
      </c>
    </row>
    <row r="61" spans="1:16" x14ac:dyDescent="0.3">
      <c r="A61" s="40">
        <v>60</v>
      </c>
      <c r="C61" s="21">
        <v>1153</v>
      </c>
      <c r="D61" s="15" t="s">
        <v>431</v>
      </c>
      <c r="E61" s="15">
        <f>3+1+1</f>
        <v>5</v>
      </c>
      <c r="F61" s="35" t="s">
        <v>9</v>
      </c>
      <c r="G61" s="16">
        <v>3803.12</v>
      </c>
      <c r="H61" s="16">
        <v>6909</v>
      </c>
      <c r="I61" s="16">
        <v>-3105.88</v>
      </c>
      <c r="J61" s="17">
        <v>-44.95</v>
      </c>
      <c r="K61" s="18">
        <f>15/30</f>
        <v>0.5</v>
      </c>
      <c r="L61" s="18">
        <f>1/3</f>
        <v>0.33333333333333331</v>
      </c>
      <c r="M61" s="19">
        <f t="shared" si="0"/>
        <v>0.20833333333333334</v>
      </c>
      <c r="N61" s="44">
        <f t="shared" si="1"/>
        <v>0.41666666666666669</v>
      </c>
      <c r="O61" s="44">
        <f t="shared" si="2"/>
        <v>1.2500000000000002</v>
      </c>
      <c r="P61" s="22">
        <f t="shared" si="3"/>
        <v>1.4583333333333335</v>
      </c>
    </row>
    <row r="62" spans="1:16" x14ac:dyDescent="0.3">
      <c r="A62" s="40">
        <v>61</v>
      </c>
      <c r="C62" s="21">
        <v>4930</v>
      </c>
      <c r="D62" s="15" t="s">
        <v>432</v>
      </c>
      <c r="E62" s="15">
        <v>1</v>
      </c>
      <c r="F62" s="35" t="s">
        <v>9</v>
      </c>
      <c r="G62" s="16">
        <v>3630.05</v>
      </c>
      <c r="H62" s="16">
        <v>3950</v>
      </c>
      <c r="I62" s="16">
        <v>-319.95</v>
      </c>
      <c r="J62" s="17">
        <v>-8.1</v>
      </c>
      <c r="K62" s="18">
        <v>1</v>
      </c>
      <c r="L62" s="18">
        <f>1/12</f>
        <v>8.3333333333333329E-2</v>
      </c>
      <c r="M62" s="19">
        <f t="shared" si="0"/>
        <v>8.3333333333333329E-2</v>
      </c>
      <c r="N62" s="44">
        <f t="shared" si="1"/>
        <v>0.16666666666666666</v>
      </c>
      <c r="O62" s="44">
        <f t="shared" si="2"/>
        <v>1</v>
      </c>
      <c r="P62" s="22">
        <f t="shared" si="3"/>
        <v>1.0833333333333333</v>
      </c>
    </row>
    <row r="63" spans="1:16" x14ac:dyDescent="0.3">
      <c r="A63" s="40">
        <v>62</v>
      </c>
      <c r="C63" s="21">
        <v>515</v>
      </c>
      <c r="D63" s="15" t="s">
        <v>433</v>
      </c>
      <c r="E63" s="17">
        <v>233.56</v>
      </c>
      <c r="F63" s="35" t="s">
        <v>12</v>
      </c>
      <c r="G63" s="16">
        <v>3560.09</v>
      </c>
      <c r="H63" s="16">
        <v>0</v>
      </c>
      <c r="I63" s="16">
        <v>3560.09</v>
      </c>
      <c r="J63" s="17">
        <v>100</v>
      </c>
      <c r="K63" s="18">
        <v>1</v>
      </c>
      <c r="L63" s="18">
        <f>1/6</f>
        <v>0.16666666666666666</v>
      </c>
      <c r="M63" s="19">
        <f t="shared" si="0"/>
        <v>19.463333333333335</v>
      </c>
      <c r="N63" s="44">
        <f t="shared" si="1"/>
        <v>38.926666666666669</v>
      </c>
      <c r="O63" s="44">
        <f t="shared" si="2"/>
        <v>116.78000000000002</v>
      </c>
      <c r="P63" s="22">
        <f t="shared" si="3"/>
        <v>136.24333333333334</v>
      </c>
    </row>
    <row r="64" spans="1:16" x14ac:dyDescent="0.3">
      <c r="A64" s="40">
        <v>63</v>
      </c>
      <c r="C64" s="21">
        <v>547</v>
      </c>
      <c r="D64" s="15" t="s">
        <v>434</v>
      </c>
      <c r="E64" s="17">
        <v>202.5</v>
      </c>
      <c r="F64" s="35" t="s">
        <v>9</v>
      </c>
      <c r="G64" s="16">
        <v>3542.9</v>
      </c>
      <c r="H64" s="16">
        <v>0</v>
      </c>
      <c r="I64" s="16">
        <v>3542.9</v>
      </c>
      <c r="J64" s="17">
        <v>100</v>
      </c>
      <c r="K64" s="18">
        <v>1</v>
      </c>
      <c r="L64" s="18">
        <f>1/6</f>
        <v>0.16666666666666666</v>
      </c>
      <c r="M64" s="19">
        <f t="shared" si="0"/>
        <v>16.875</v>
      </c>
      <c r="N64" s="44">
        <f t="shared" si="1"/>
        <v>33.75</v>
      </c>
      <c r="O64" s="44">
        <f t="shared" si="2"/>
        <v>101.25</v>
      </c>
      <c r="P64" s="22">
        <f t="shared" si="3"/>
        <v>118.125</v>
      </c>
    </row>
    <row r="65" spans="1:16" x14ac:dyDescent="0.3">
      <c r="A65" s="40">
        <v>64</v>
      </c>
      <c r="C65" s="21">
        <v>378</v>
      </c>
      <c r="D65" s="15" t="s">
        <v>438</v>
      </c>
      <c r="E65" s="15">
        <f>833+777</f>
        <v>1610</v>
      </c>
      <c r="F65" s="35" t="s">
        <v>9</v>
      </c>
      <c r="G65" s="16">
        <v>3536.6</v>
      </c>
      <c r="H65" s="16">
        <v>3290.35</v>
      </c>
      <c r="I65" s="16">
        <v>246.25</v>
      </c>
      <c r="J65" s="17">
        <v>7.48</v>
      </c>
      <c r="K65" s="18">
        <f>25/30</f>
        <v>0.83333333333333337</v>
      </c>
      <c r="L65" s="18">
        <f>1/6</f>
        <v>0.16666666666666666</v>
      </c>
      <c r="M65" s="19">
        <f t="shared" si="0"/>
        <v>111.80555555555556</v>
      </c>
      <c r="N65" s="44">
        <f t="shared" si="1"/>
        <v>223.61111111111111</v>
      </c>
      <c r="O65" s="44">
        <f t="shared" si="2"/>
        <v>805</v>
      </c>
      <c r="P65" s="22">
        <f t="shared" si="3"/>
        <v>916.80555555555554</v>
      </c>
    </row>
    <row r="66" spans="1:16" x14ac:dyDescent="0.3">
      <c r="A66" s="40">
        <v>65</v>
      </c>
      <c r="C66" s="21">
        <v>1272</v>
      </c>
      <c r="D66" s="15" t="s">
        <v>435</v>
      </c>
      <c r="E66" s="15">
        <f>62+51+34</f>
        <v>147</v>
      </c>
      <c r="F66" s="35" t="s">
        <v>9</v>
      </c>
      <c r="G66" s="16">
        <v>3503.7</v>
      </c>
      <c r="H66" s="16">
        <v>2556.88</v>
      </c>
      <c r="I66" s="16">
        <v>946.82</v>
      </c>
      <c r="J66" s="17">
        <v>37.03</v>
      </c>
      <c r="K66" s="18">
        <v>1</v>
      </c>
      <c r="L66" s="18">
        <f>1/5</f>
        <v>0.2</v>
      </c>
      <c r="M66" s="19">
        <f t="shared" ref="M66:M129" si="4">(E66/12)*K66</f>
        <v>12.25</v>
      </c>
      <c r="N66" s="44">
        <f t="shared" ref="N66:N129" si="5">((E66/12)*K66)+M66</f>
        <v>24.5</v>
      </c>
      <c r="O66" s="44">
        <f t="shared" ref="O66:O129" si="6">(E66/12)/L66</f>
        <v>61.25</v>
      </c>
      <c r="P66" s="22">
        <f t="shared" ref="P66:P129" si="7">O66+M66</f>
        <v>73.5</v>
      </c>
    </row>
    <row r="67" spans="1:16" x14ac:dyDescent="0.3">
      <c r="A67" s="40">
        <v>66</v>
      </c>
      <c r="C67" s="21">
        <v>893</v>
      </c>
      <c r="D67" s="15" t="s">
        <v>97</v>
      </c>
      <c r="E67" s="15">
        <v>131</v>
      </c>
      <c r="F67" s="35" t="s">
        <v>9</v>
      </c>
      <c r="G67" s="16">
        <v>3469.86</v>
      </c>
      <c r="H67" s="16">
        <v>2530.6999999999998</v>
      </c>
      <c r="I67" s="16">
        <v>939.16</v>
      </c>
      <c r="J67" s="17">
        <v>37.11</v>
      </c>
      <c r="K67" s="18">
        <v>1</v>
      </c>
      <c r="L67" s="18">
        <f>1/4</f>
        <v>0.25</v>
      </c>
      <c r="M67" s="19">
        <f t="shared" si="4"/>
        <v>10.916666666666666</v>
      </c>
      <c r="N67" s="44">
        <f t="shared" si="5"/>
        <v>21.833333333333332</v>
      </c>
      <c r="O67" s="44">
        <f t="shared" si="6"/>
        <v>43.666666666666664</v>
      </c>
      <c r="P67" s="22">
        <f t="shared" si="7"/>
        <v>54.583333333333329</v>
      </c>
    </row>
    <row r="68" spans="1:16" x14ac:dyDescent="0.3">
      <c r="A68" s="40">
        <v>67</v>
      </c>
      <c r="C68" s="21">
        <v>2126</v>
      </c>
      <c r="D68" s="15" t="s">
        <v>436</v>
      </c>
      <c r="E68" s="15">
        <v>1</v>
      </c>
      <c r="F68" s="35" t="s">
        <v>9</v>
      </c>
      <c r="G68" s="16">
        <v>3420</v>
      </c>
      <c r="H68" s="16">
        <v>3120</v>
      </c>
      <c r="I68" s="16">
        <v>300</v>
      </c>
      <c r="J68" s="17">
        <v>9.6199999999999992</v>
      </c>
      <c r="K68" s="18">
        <v>1</v>
      </c>
      <c r="L68" s="18">
        <f>1/12</f>
        <v>8.3333333333333329E-2</v>
      </c>
      <c r="M68" s="19">
        <f t="shared" si="4"/>
        <v>8.3333333333333329E-2</v>
      </c>
      <c r="N68" s="44">
        <f t="shared" si="5"/>
        <v>0.16666666666666666</v>
      </c>
      <c r="O68" s="44">
        <f t="shared" si="6"/>
        <v>1</v>
      </c>
      <c r="P68" s="22">
        <f t="shared" si="7"/>
        <v>1.0833333333333333</v>
      </c>
    </row>
    <row r="69" spans="1:16" x14ac:dyDescent="0.3">
      <c r="A69" s="40">
        <v>68</v>
      </c>
      <c r="C69" s="21">
        <v>1000</v>
      </c>
      <c r="D69" s="15" t="s">
        <v>437</v>
      </c>
      <c r="E69" s="15">
        <f>5+4</f>
        <v>9</v>
      </c>
      <c r="F69" s="35" t="s">
        <v>9</v>
      </c>
      <c r="G69" s="16">
        <v>3405.97</v>
      </c>
      <c r="H69" s="16">
        <v>2875</v>
      </c>
      <c r="I69" s="16">
        <v>530.97</v>
      </c>
      <c r="J69" s="17">
        <v>18.47</v>
      </c>
      <c r="K69" s="18">
        <v>1</v>
      </c>
      <c r="L69" s="18">
        <f>1/4</f>
        <v>0.25</v>
      </c>
      <c r="M69" s="19">
        <f t="shared" si="4"/>
        <v>0.75</v>
      </c>
      <c r="N69" s="44">
        <f t="shared" si="5"/>
        <v>1.5</v>
      </c>
      <c r="O69" s="44">
        <f t="shared" si="6"/>
        <v>3</v>
      </c>
      <c r="P69" s="22">
        <f t="shared" si="7"/>
        <v>3.75</v>
      </c>
    </row>
    <row r="70" spans="1:16" x14ac:dyDescent="0.3">
      <c r="A70" s="40">
        <v>69</v>
      </c>
      <c r="C70" s="47">
        <v>153</v>
      </c>
      <c r="D70" s="15" t="s">
        <v>210</v>
      </c>
      <c r="E70" s="15">
        <v>1316</v>
      </c>
      <c r="F70" s="35" t="s">
        <v>9</v>
      </c>
      <c r="G70" s="16">
        <v>3375.69</v>
      </c>
      <c r="H70" s="16">
        <v>0</v>
      </c>
      <c r="I70" s="16">
        <v>3375.69</v>
      </c>
      <c r="J70" s="17">
        <v>100</v>
      </c>
      <c r="K70" s="18">
        <f>20/30</f>
        <v>0.66666666666666663</v>
      </c>
      <c r="L70" s="18">
        <f>1/5</f>
        <v>0.2</v>
      </c>
      <c r="M70" s="19">
        <f t="shared" si="4"/>
        <v>73.111111111111114</v>
      </c>
      <c r="N70" s="44">
        <f t="shared" si="5"/>
        <v>146.22222222222223</v>
      </c>
      <c r="O70" s="44">
        <f t="shared" si="6"/>
        <v>548.33333333333337</v>
      </c>
      <c r="P70" s="22">
        <f t="shared" si="7"/>
        <v>621.44444444444446</v>
      </c>
    </row>
    <row r="71" spans="1:16" x14ac:dyDescent="0.3">
      <c r="A71" s="40">
        <v>70</v>
      </c>
      <c r="C71" s="21">
        <v>523</v>
      </c>
      <c r="D71" s="15" t="s">
        <v>439</v>
      </c>
      <c r="E71" s="17">
        <f>187.92+116</f>
        <v>303.91999999999996</v>
      </c>
      <c r="F71" s="35" t="s">
        <v>12</v>
      </c>
      <c r="G71" s="16">
        <v>3372.47</v>
      </c>
      <c r="H71" s="16">
        <v>0</v>
      </c>
      <c r="I71" s="16">
        <v>3372.47</v>
      </c>
      <c r="J71" s="17">
        <v>100</v>
      </c>
      <c r="K71" s="18">
        <v>1</v>
      </c>
      <c r="L71" s="18">
        <f>1/6</f>
        <v>0.16666666666666666</v>
      </c>
      <c r="M71" s="19">
        <f t="shared" si="4"/>
        <v>25.326666666666664</v>
      </c>
      <c r="N71" s="44">
        <f t="shared" si="5"/>
        <v>50.653333333333329</v>
      </c>
      <c r="O71" s="44">
        <f t="shared" si="6"/>
        <v>151.96</v>
      </c>
      <c r="P71" s="22">
        <f t="shared" si="7"/>
        <v>177.28666666666666</v>
      </c>
    </row>
    <row r="72" spans="1:16" x14ac:dyDescent="0.3">
      <c r="A72" s="40">
        <v>71</v>
      </c>
      <c r="C72" s="21">
        <v>4719</v>
      </c>
      <c r="D72" s="15" t="s">
        <v>440</v>
      </c>
      <c r="E72" s="15">
        <f>1830+1026</f>
        <v>2856</v>
      </c>
      <c r="F72" s="35" t="s">
        <v>272</v>
      </c>
      <c r="G72" s="16">
        <v>3339.38</v>
      </c>
      <c r="H72" s="16">
        <v>2928</v>
      </c>
      <c r="I72" s="16">
        <v>411.38</v>
      </c>
      <c r="J72" s="17">
        <v>14.05</v>
      </c>
      <c r="K72" s="18">
        <f>10/30</f>
        <v>0.33333333333333331</v>
      </c>
      <c r="L72" s="18">
        <f>1/5</f>
        <v>0.2</v>
      </c>
      <c r="M72" s="19">
        <f t="shared" si="4"/>
        <v>79.333333333333329</v>
      </c>
      <c r="N72" s="44">
        <f t="shared" si="5"/>
        <v>158.66666666666666</v>
      </c>
      <c r="O72" s="44">
        <f t="shared" si="6"/>
        <v>1190</v>
      </c>
      <c r="P72" s="22">
        <f t="shared" si="7"/>
        <v>1269.3333333333333</v>
      </c>
    </row>
    <row r="73" spans="1:16" x14ac:dyDescent="0.3">
      <c r="A73" s="40">
        <v>72</v>
      </c>
      <c r="C73" s="21">
        <v>3894</v>
      </c>
      <c r="D73" s="15" t="s">
        <v>441</v>
      </c>
      <c r="E73" s="15">
        <f>181+77+33</f>
        <v>291</v>
      </c>
      <c r="F73" s="35" t="s">
        <v>136</v>
      </c>
      <c r="G73" s="16">
        <v>3333.75</v>
      </c>
      <c r="H73" s="16">
        <v>2520.3000000000002</v>
      </c>
      <c r="I73" s="16">
        <v>813.45</v>
      </c>
      <c r="J73" s="17">
        <v>32.28</v>
      </c>
      <c r="K73" s="18">
        <f>10/30</f>
        <v>0.33333333333333331</v>
      </c>
      <c r="L73" s="18">
        <f>1/3</f>
        <v>0.33333333333333331</v>
      </c>
      <c r="M73" s="19">
        <f t="shared" si="4"/>
        <v>8.0833333333333321</v>
      </c>
      <c r="N73" s="44">
        <f t="shared" si="5"/>
        <v>16.166666666666664</v>
      </c>
      <c r="O73" s="44">
        <f t="shared" si="6"/>
        <v>72.75</v>
      </c>
      <c r="P73" s="22">
        <f t="shared" si="7"/>
        <v>80.833333333333329</v>
      </c>
    </row>
    <row r="74" spans="1:16" x14ac:dyDescent="0.3">
      <c r="A74" s="40">
        <v>73</v>
      </c>
      <c r="C74" s="21">
        <v>3938</v>
      </c>
      <c r="D74" s="15" t="s">
        <v>81</v>
      </c>
      <c r="E74" s="15">
        <v>16</v>
      </c>
      <c r="F74" s="35" t="s">
        <v>25</v>
      </c>
      <c r="G74" s="16">
        <v>3320.84</v>
      </c>
      <c r="H74" s="16">
        <v>2627</v>
      </c>
      <c r="I74" s="16">
        <v>693.84</v>
      </c>
      <c r="J74" s="17">
        <v>26.41</v>
      </c>
      <c r="K74" s="18">
        <f>10/30</f>
        <v>0.33333333333333331</v>
      </c>
      <c r="L74" s="18">
        <f>1/3</f>
        <v>0.33333333333333331</v>
      </c>
      <c r="M74" s="19">
        <f t="shared" si="4"/>
        <v>0.44444444444444442</v>
      </c>
      <c r="N74" s="44">
        <f t="shared" si="5"/>
        <v>0.88888888888888884</v>
      </c>
      <c r="O74" s="44">
        <f t="shared" si="6"/>
        <v>4</v>
      </c>
      <c r="P74" s="22">
        <f t="shared" si="7"/>
        <v>4.4444444444444446</v>
      </c>
    </row>
    <row r="75" spans="1:16" x14ac:dyDescent="0.3">
      <c r="A75" s="40">
        <v>74</v>
      </c>
      <c r="C75" s="48">
        <v>1387</v>
      </c>
      <c r="D75" s="49" t="s">
        <v>247</v>
      </c>
      <c r="E75" s="17">
        <f>75.5+19.5+63.5+32</f>
        <v>190.5</v>
      </c>
      <c r="F75" s="35" t="s">
        <v>9</v>
      </c>
      <c r="G75" s="16">
        <v>3260.86</v>
      </c>
      <c r="H75" s="16">
        <v>3171</v>
      </c>
      <c r="I75" s="16">
        <v>89.86</v>
      </c>
      <c r="J75" s="17">
        <v>2.83</v>
      </c>
      <c r="K75" s="18">
        <v>1</v>
      </c>
      <c r="L75" s="18">
        <f>1/4</f>
        <v>0.25</v>
      </c>
      <c r="M75" s="19">
        <f t="shared" si="4"/>
        <v>15.875</v>
      </c>
      <c r="N75" s="44">
        <f t="shared" si="5"/>
        <v>31.75</v>
      </c>
      <c r="O75" s="44">
        <f t="shared" si="6"/>
        <v>63.5</v>
      </c>
      <c r="P75" s="22">
        <f t="shared" si="7"/>
        <v>79.375</v>
      </c>
    </row>
    <row r="76" spans="1:16" x14ac:dyDescent="0.3">
      <c r="A76" s="40">
        <v>75</v>
      </c>
      <c r="C76" s="21">
        <v>4920</v>
      </c>
      <c r="D76" s="15" t="s">
        <v>61</v>
      </c>
      <c r="E76" s="15">
        <f>29+17</f>
        <v>46</v>
      </c>
      <c r="F76" s="35" t="s">
        <v>9</v>
      </c>
      <c r="G76" s="16">
        <v>3211.92</v>
      </c>
      <c r="H76" s="16">
        <v>2523</v>
      </c>
      <c r="I76" s="16">
        <v>688.92</v>
      </c>
      <c r="J76" s="17">
        <v>27.31</v>
      </c>
      <c r="K76" s="18">
        <f>1</f>
        <v>1</v>
      </c>
      <c r="L76" s="18">
        <f>1/6</f>
        <v>0.16666666666666666</v>
      </c>
      <c r="M76" s="19">
        <f t="shared" si="4"/>
        <v>3.8333333333333335</v>
      </c>
      <c r="N76" s="44">
        <f t="shared" si="5"/>
        <v>7.666666666666667</v>
      </c>
      <c r="O76" s="44">
        <f t="shared" si="6"/>
        <v>23.000000000000004</v>
      </c>
      <c r="P76" s="22">
        <f t="shared" si="7"/>
        <v>26.833333333333336</v>
      </c>
    </row>
    <row r="77" spans="1:16" x14ac:dyDescent="0.3">
      <c r="A77" s="40">
        <v>76</v>
      </c>
      <c r="C77" s="21">
        <v>538</v>
      </c>
      <c r="D77" s="15" t="s">
        <v>442</v>
      </c>
      <c r="E77" s="15">
        <f>13+9+6</f>
        <v>28</v>
      </c>
      <c r="F77" s="35" t="s">
        <v>9</v>
      </c>
      <c r="G77" s="16">
        <v>3193.09</v>
      </c>
      <c r="H77" s="16">
        <v>0</v>
      </c>
      <c r="I77" s="16">
        <v>3193.09</v>
      </c>
      <c r="J77" s="17">
        <v>100</v>
      </c>
      <c r="K77" s="18">
        <v>1</v>
      </c>
      <c r="L77" s="18">
        <f>1/4</f>
        <v>0.25</v>
      </c>
      <c r="M77" s="19">
        <f t="shared" si="4"/>
        <v>2.3333333333333335</v>
      </c>
      <c r="N77" s="44">
        <f t="shared" si="5"/>
        <v>4.666666666666667</v>
      </c>
      <c r="O77" s="44">
        <f t="shared" si="6"/>
        <v>9.3333333333333339</v>
      </c>
      <c r="P77" s="22">
        <f t="shared" si="7"/>
        <v>11.666666666666668</v>
      </c>
    </row>
    <row r="78" spans="1:16" x14ac:dyDescent="0.3">
      <c r="A78" s="40">
        <v>77</v>
      </c>
      <c r="C78" s="48">
        <v>1380</v>
      </c>
      <c r="D78" s="49" t="s">
        <v>443</v>
      </c>
      <c r="E78" s="15">
        <f>134+29</f>
        <v>163</v>
      </c>
      <c r="F78" s="35" t="s">
        <v>9</v>
      </c>
      <c r="G78" s="16">
        <v>3161.5</v>
      </c>
      <c r="H78" s="16">
        <v>2410.1999999999998</v>
      </c>
      <c r="I78" s="16">
        <v>751.3</v>
      </c>
      <c r="J78" s="17">
        <v>31.17</v>
      </c>
      <c r="K78" s="18">
        <v>1</v>
      </c>
      <c r="L78" s="18">
        <f>1/4</f>
        <v>0.25</v>
      </c>
      <c r="M78" s="19">
        <f t="shared" si="4"/>
        <v>13.583333333333334</v>
      </c>
      <c r="N78" s="44">
        <f t="shared" si="5"/>
        <v>27.166666666666668</v>
      </c>
      <c r="O78" s="44">
        <f t="shared" si="6"/>
        <v>54.333333333333336</v>
      </c>
      <c r="P78" s="22">
        <f t="shared" si="7"/>
        <v>67.916666666666671</v>
      </c>
    </row>
    <row r="79" spans="1:16" x14ac:dyDescent="0.3">
      <c r="A79" s="40">
        <v>78</v>
      </c>
      <c r="C79" s="21">
        <v>4328</v>
      </c>
      <c r="D79" s="15" t="s">
        <v>444</v>
      </c>
      <c r="E79" s="17">
        <v>4795.25</v>
      </c>
      <c r="F79" s="35" t="s">
        <v>12</v>
      </c>
      <c r="G79" s="16">
        <v>3119.61</v>
      </c>
      <c r="H79" s="16">
        <v>2080.54</v>
      </c>
      <c r="I79" s="16">
        <v>1039.07</v>
      </c>
      <c r="J79" s="17">
        <v>49.94</v>
      </c>
      <c r="K79" s="18">
        <f>25/30</f>
        <v>0.83333333333333337</v>
      </c>
      <c r="L79" s="18">
        <f>1/6</f>
        <v>0.16666666666666666</v>
      </c>
      <c r="M79" s="19">
        <f t="shared" si="4"/>
        <v>333.00347222222223</v>
      </c>
      <c r="N79" s="44">
        <f t="shared" si="5"/>
        <v>666.00694444444446</v>
      </c>
      <c r="O79" s="44">
        <f t="shared" si="6"/>
        <v>2397.6250000000005</v>
      </c>
      <c r="P79" s="22">
        <f t="shared" si="7"/>
        <v>2730.6284722222226</v>
      </c>
    </row>
    <row r="80" spans="1:16" x14ac:dyDescent="0.3">
      <c r="A80" s="40">
        <v>79</v>
      </c>
      <c r="C80" s="21">
        <v>2472</v>
      </c>
      <c r="D80" s="15" t="s">
        <v>193</v>
      </c>
      <c r="E80" s="17">
        <v>1516.5</v>
      </c>
      <c r="F80" s="35" t="s">
        <v>12</v>
      </c>
      <c r="G80" s="16">
        <v>3116.17</v>
      </c>
      <c r="H80" s="16">
        <v>2956.64</v>
      </c>
      <c r="I80" s="16">
        <v>159.53</v>
      </c>
      <c r="J80" s="17">
        <v>5.4</v>
      </c>
      <c r="K80" s="18">
        <f>25/30</f>
        <v>0.83333333333333337</v>
      </c>
      <c r="L80" s="18">
        <f>1/6</f>
        <v>0.16666666666666666</v>
      </c>
      <c r="M80" s="19">
        <f t="shared" si="4"/>
        <v>105.3125</v>
      </c>
      <c r="N80" s="44">
        <f t="shared" si="5"/>
        <v>210.625</v>
      </c>
      <c r="O80" s="44">
        <f t="shared" si="6"/>
        <v>758.25</v>
      </c>
      <c r="P80" s="22">
        <f t="shared" si="7"/>
        <v>863.5625</v>
      </c>
    </row>
    <row r="81" spans="1:16" x14ac:dyDescent="0.3">
      <c r="A81" s="40">
        <v>80</v>
      </c>
      <c r="C81" s="21">
        <v>1907</v>
      </c>
      <c r="D81" s="15" t="s">
        <v>52</v>
      </c>
      <c r="E81" s="15">
        <v>10</v>
      </c>
      <c r="F81" s="35" t="s">
        <v>9</v>
      </c>
      <c r="G81" s="16">
        <v>3106.74</v>
      </c>
      <c r="H81" s="16">
        <v>2121.7399999999998</v>
      </c>
      <c r="I81" s="16">
        <v>985</v>
      </c>
      <c r="J81" s="17">
        <v>46.42</v>
      </c>
      <c r="K81" s="18">
        <v>1</v>
      </c>
      <c r="L81" s="18">
        <f>1/12</f>
        <v>8.3333333333333329E-2</v>
      </c>
      <c r="M81" s="19">
        <f t="shared" si="4"/>
        <v>0.83333333333333337</v>
      </c>
      <c r="N81" s="44">
        <f t="shared" si="5"/>
        <v>1.6666666666666667</v>
      </c>
      <c r="O81" s="44">
        <f t="shared" si="6"/>
        <v>10.000000000000002</v>
      </c>
      <c r="P81" s="22">
        <f t="shared" si="7"/>
        <v>10.833333333333336</v>
      </c>
    </row>
    <row r="82" spans="1:16" x14ac:dyDescent="0.3">
      <c r="A82" s="40">
        <v>81</v>
      </c>
      <c r="C82" s="21">
        <v>2153</v>
      </c>
      <c r="D82" s="15" t="s">
        <v>10</v>
      </c>
      <c r="E82" s="15">
        <v>124</v>
      </c>
      <c r="F82" s="35" t="s">
        <v>9</v>
      </c>
      <c r="G82" s="16">
        <v>3091.92</v>
      </c>
      <c r="H82" s="16">
        <v>3232.94</v>
      </c>
      <c r="I82" s="16">
        <v>-141.02000000000001</v>
      </c>
      <c r="J82" s="17">
        <v>-4.3600000000000003</v>
      </c>
      <c r="K82" s="18">
        <v>1</v>
      </c>
      <c r="L82" s="18">
        <f>1/4</f>
        <v>0.25</v>
      </c>
      <c r="M82" s="19">
        <f t="shared" si="4"/>
        <v>10.333333333333334</v>
      </c>
      <c r="N82" s="44">
        <f t="shared" si="5"/>
        <v>20.666666666666668</v>
      </c>
      <c r="O82" s="44">
        <f t="shared" si="6"/>
        <v>41.333333333333336</v>
      </c>
      <c r="P82" s="22">
        <f t="shared" si="7"/>
        <v>51.666666666666671</v>
      </c>
    </row>
    <row r="83" spans="1:16" x14ac:dyDescent="0.3">
      <c r="A83" s="40">
        <v>82</v>
      </c>
      <c r="C83" s="21">
        <v>160</v>
      </c>
      <c r="D83" s="15" t="s">
        <v>331</v>
      </c>
      <c r="E83" s="17">
        <f>519.7+112</f>
        <v>631.70000000000005</v>
      </c>
      <c r="F83" s="35" t="s">
        <v>12</v>
      </c>
      <c r="G83" s="16">
        <v>3036.63</v>
      </c>
      <c r="H83" s="16">
        <v>3585.93</v>
      </c>
      <c r="I83" s="16">
        <v>-549.29999999999995</v>
      </c>
      <c r="J83" s="17">
        <v>-15.32</v>
      </c>
      <c r="K83" s="18">
        <f>25/30</f>
        <v>0.83333333333333337</v>
      </c>
      <c r="L83" s="18">
        <f>1/6</f>
        <v>0.16666666666666666</v>
      </c>
      <c r="M83" s="19">
        <f t="shared" si="4"/>
        <v>43.868055555555564</v>
      </c>
      <c r="N83" s="44">
        <f t="shared" si="5"/>
        <v>87.736111111111128</v>
      </c>
      <c r="O83" s="44">
        <f t="shared" si="6"/>
        <v>315.85000000000008</v>
      </c>
      <c r="P83" s="22">
        <f t="shared" si="7"/>
        <v>359.71805555555562</v>
      </c>
    </row>
    <row r="84" spans="1:16" x14ac:dyDescent="0.3">
      <c r="A84" s="40">
        <v>83</v>
      </c>
      <c r="C84" s="21">
        <v>527</v>
      </c>
      <c r="D84" s="15" t="s">
        <v>445</v>
      </c>
      <c r="E84" s="17">
        <v>201.96</v>
      </c>
      <c r="F84" s="35" t="s">
        <v>12</v>
      </c>
      <c r="G84" s="16">
        <v>3029.14</v>
      </c>
      <c r="H84" s="16">
        <v>0</v>
      </c>
      <c r="I84" s="16">
        <v>3029.14</v>
      </c>
      <c r="J84" s="17">
        <v>100</v>
      </c>
      <c r="K84" s="18">
        <v>1</v>
      </c>
      <c r="L84" s="18">
        <f>1/6</f>
        <v>0.16666666666666666</v>
      </c>
      <c r="M84" s="19">
        <f t="shared" si="4"/>
        <v>16.830000000000002</v>
      </c>
      <c r="N84" s="44">
        <f t="shared" si="5"/>
        <v>33.660000000000004</v>
      </c>
      <c r="O84" s="44">
        <f t="shared" si="6"/>
        <v>100.98000000000002</v>
      </c>
      <c r="P84" s="22">
        <f t="shared" si="7"/>
        <v>117.81000000000002</v>
      </c>
    </row>
    <row r="85" spans="1:16" x14ac:dyDescent="0.3">
      <c r="A85" s="40">
        <v>84</v>
      </c>
      <c r="C85" s="47">
        <v>320</v>
      </c>
      <c r="D85" s="15" t="s">
        <v>59</v>
      </c>
      <c r="E85" s="15">
        <v>67</v>
      </c>
      <c r="F85" s="35" t="s">
        <v>9</v>
      </c>
      <c r="G85" s="16">
        <v>3020.59</v>
      </c>
      <c r="H85" s="16">
        <v>3082</v>
      </c>
      <c r="I85" s="16">
        <v>-61.41</v>
      </c>
      <c r="J85" s="17">
        <v>-1.99</v>
      </c>
      <c r="K85" s="18">
        <v>1</v>
      </c>
      <c r="L85" s="18">
        <f>1/12</f>
        <v>8.3333333333333329E-2</v>
      </c>
      <c r="M85" s="19">
        <f t="shared" si="4"/>
        <v>5.583333333333333</v>
      </c>
      <c r="N85" s="44">
        <f t="shared" si="5"/>
        <v>11.166666666666666</v>
      </c>
      <c r="O85" s="44">
        <f t="shared" si="6"/>
        <v>67</v>
      </c>
      <c r="P85" s="22">
        <f t="shared" si="7"/>
        <v>72.583333333333329</v>
      </c>
    </row>
    <row r="86" spans="1:16" x14ac:dyDescent="0.3">
      <c r="A86" s="40">
        <v>85</v>
      </c>
      <c r="C86" s="21">
        <v>3793</v>
      </c>
      <c r="D86" s="15" t="s">
        <v>323</v>
      </c>
      <c r="E86" s="15">
        <v>491</v>
      </c>
      <c r="F86" s="35" t="s">
        <v>9</v>
      </c>
      <c r="G86" s="16">
        <v>3009.04</v>
      </c>
      <c r="H86" s="16">
        <v>3093.3</v>
      </c>
      <c r="I86" s="16">
        <v>-84.26</v>
      </c>
      <c r="J86" s="17">
        <v>-2.72</v>
      </c>
      <c r="K86" s="18">
        <f>20/30</f>
        <v>0.66666666666666663</v>
      </c>
      <c r="L86" s="18">
        <f>1/4</f>
        <v>0.25</v>
      </c>
      <c r="M86" s="19">
        <f t="shared" si="4"/>
        <v>27.277777777777775</v>
      </c>
      <c r="N86" s="44">
        <f t="shared" si="5"/>
        <v>54.55555555555555</v>
      </c>
      <c r="O86" s="44">
        <f t="shared" si="6"/>
        <v>163.66666666666666</v>
      </c>
      <c r="P86" s="22">
        <f t="shared" si="7"/>
        <v>190.94444444444443</v>
      </c>
    </row>
    <row r="87" spans="1:16" x14ac:dyDescent="0.3">
      <c r="A87" s="40">
        <v>86</v>
      </c>
      <c r="C87" s="21">
        <v>439</v>
      </c>
      <c r="D87" s="15" t="s">
        <v>168</v>
      </c>
      <c r="E87" s="15">
        <v>599</v>
      </c>
      <c r="F87" s="35" t="s">
        <v>9</v>
      </c>
      <c r="G87" s="16">
        <v>2991.83</v>
      </c>
      <c r="H87" s="16">
        <v>2154.12</v>
      </c>
      <c r="I87" s="16">
        <v>837.71</v>
      </c>
      <c r="J87" s="17">
        <v>38.89</v>
      </c>
      <c r="K87" s="18">
        <f>15/30</f>
        <v>0.5</v>
      </c>
      <c r="L87" s="18">
        <f>1/2</f>
        <v>0.5</v>
      </c>
      <c r="M87" s="19">
        <f t="shared" si="4"/>
        <v>24.958333333333332</v>
      </c>
      <c r="N87" s="44">
        <f t="shared" si="5"/>
        <v>49.916666666666664</v>
      </c>
      <c r="O87" s="44">
        <f t="shared" si="6"/>
        <v>99.833333333333329</v>
      </c>
      <c r="P87" s="22">
        <f t="shared" si="7"/>
        <v>124.79166666666666</v>
      </c>
    </row>
    <row r="88" spans="1:16" x14ac:dyDescent="0.3">
      <c r="A88" s="40">
        <v>87</v>
      </c>
      <c r="C88" s="48">
        <v>1379</v>
      </c>
      <c r="D88" s="49" t="s">
        <v>310</v>
      </c>
      <c r="E88" s="17">
        <v>99.5</v>
      </c>
      <c r="F88" s="35" t="s">
        <v>9</v>
      </c>
      <c r="G88" s="16">
        <v>2987.05</v>
      </c>
      <c r="H88" s="16">
        <v>2285.25</v>
      </c>
      <c r="I88" s="16">
        <v>701.8</v>
      </c>
      <c r="J88" s="17">
        <v>30.71</v>
      </c>
      <c r="K88" s="18">
        <v>1</v>
      </c>
      <c r="L88" s="18">
        <f>1/4</f>
        <v>0.25</v>
      </c>
      <c r="M88" s="19">
        <f t="shared" si="4"/>
        <v>8.2916666666666661</v>
      </c>
      <c r="N88" s="44">
        <f t="shared" si="5"/>
        <v>16.583333333333332</v>
      </c>
      <c r="O88" s="44">
        <f t="shared" si="6"/>
        <v>33.166666666666664</v>
      </c>
      <c r="P88" s="22">
        <f t="shared" si="7"/>
        <v>41.458333333333329</v>
      </c>
    </row>
    <row r="89" spans="1:16" x14ac:dyDescent="0.3">
      <c r="A89" s="40">
        <v>88</v>
      </c>
      <c r="C89" s="21">
        <v>4143</v>
      </c>
      <c r="D89" s="15" t="s">
        <v>143</v>
      </c>
      <c r="E89" s="15">
        <v>501</v>
      </c>
      <c r="F89" s="35" t="s">
        <v>9</v>
      </c>
      <c r="G89" s="16">
        <v>2970.16</v>
      </c>
      <c r="H89" s="16">
        <v>1898.43</v>
      </c>
      <c r="I89" s="16">
        <v>1071.73</v>
      </c>
      <c r="J89" s="17">
        <v>56.45</v>
      </c>
      <c r="K89" s="18">
        <f>20/30</f>
        <v>0.66666666666666663</v>
      </c>
      <c r="L89" s="18">
        <f>1/6</f>
        <v>0.16666666666666666</v>
      </c>
      <c r="M89" s="19">
        <f t="shared" si="4"/>
        <v>27.833333333333332</v>
      </c>
      <c r="N89" s="44">
        <f t="shared" si="5"/>
        <v>55.666666666666664</v>
      </c>
      <c r="O89" s="44">
        <f t="shared" si="6"/>
        <v>250.5</v>
      </c>
      <c r="P89" s="22">
        <f t="shared" si="7"/>
        <v>278.33333333333331</v>
      </c>
    </row>
    <row r="90" spans="1:16" x14ac:dyDescent="0.3">
      <c r="A90" s="40">
        <v>89</v>
      </c>
      <c r="C90" s="21">
        <v>1783</v>
      </c>
      <c r="D90" s="15" t="s">
        <v>268</v>
      </c>
      <c r="E90" s="15">
        <f>271+157</f>
        <v>428</v>
      </c>
      <c r="F90" s="35" t="s">
        <v>9</v>
      </c>
      <c r="G90" s="16">
        <v>2964.42</v>
      </c>
      <c r="H90" s="16">
        <v>2066.14</v>
      </c>
      <c r="I90" s="16">
        <v>898.28</v>
      </c>
      <c r="J90" s="17">
        <v>43.48</v>
      </c>
      <c r="K90" s="18">
        <f>25/30</f>
        <v>0.83333333333333337</v>
      </c>
      <c r="L90" s="18">
        <f>1/4</f>
        <v>0.25</v>
      </c>
      <c r="M90" s="19">
        <f t="shared" si="4"/>
        <v>29.722222222222221</v>
      </c>
      <c r="N90" s="44">
        <f t="shared" si="5"/>
        <v>59.444444444444443</v>
      </c>
      <c r="O90" s="44">
        <f t="shared" si="6"/>
        <v>142.66666666666666</v>
      </c>
      <c r="P90" s="22">
        <f t="shared" si="7"/>
        <v>172.38888888888889</v>
      </c>
    </row>
    <row r="91" spans="1:16" x14ac:dyDescent="0.3">
      <c r="A91" s="40">
        <v>90</v>
      </c>
      <c r="C91" s="21">
        <v>1452</v>
      </c>
      <c r="D91" s="15" t="s">
        <v>282</v>
      </c>
      <c r="E91" s="15">
        <v>16</v>
      </c>
      <c r="F91" s="35" t="s">
        <v>9</v>
      </c>
      <c r="G91" s="16">
        <v>2956.31</v>
      </c>
      <c r="H91" s="16">
        <v>3120</v>
      </c>
      <c r="I91" s="16">
        <v>-163.69</v>
      </c>
      <c r="J91" s="17">
        <v>-5.25</v>
      </c>
      <c r="K91" s="18">
        <v>1</v>
      </c>
      <c r="L91" s="18">
        <f>1/5</f>
        <v>0.2</v>
      </c>
      <c r="M91" s="19">
        <f t="shared" si="4"/>
        <v>1.3333333333333333</v>
      </c>
      <c r="N91" s="44">
        <f t="shared" si="5"/>
        <v>2.6666666666666665</v>
      </c>
      <c r="O91" s="44">
        <f t="shared" si="6"/>
        <v>6.6666666666666661</v>
      </c>
      <c r="P91" s="22">
        <f t="shared" si="7"/>
        <v>7.9999999999999991</v>
      </c>
    </row>
    <row r="92" spans="1:16" x14ac:dyDescent="0.3">
      <c r="A92" s="40">
        <v>91</v>
      </c>
      <c r="C92" s="21">
        <v>1016</v>
      </c>
      <c r="D92" s="15" t="s">
        <v>106</v>
      </c>
      <c r="E92" s="15">
        <v>5876</v>
      </c>
      <c r="F92" s="35" t="s">
        <v>9</v>
      </c>
      <c r="G92" s="16">
        <v>2928.44</v>
      </c>
      <c r="H92" s="16">
        <v>2095.89</v>
      </c>
      <c r="I92" s="16">
        <v>832.55</v>
      </c>
      <c r="J92" s="17">
        <v>39.72</v>
      </c>
      <c r="K92" s="18">
        <v>1</v>
      </c>
      <c r="L92" s="18">
        <f>1/4</f>
        <v>0.25</v>
      </c>
      <c r="M92" s="19">
        <f t="shared" si="4"/>
        <v>489.66666666666669</v>
      </c>
      <c r="N92" s="44">
        <f t="shared" si="5"/>
        <v>979.33333333333337</v>
      </c>
      <c r="O92" s="44">
        <f t="shared" si="6"/>
        <v>1958.6666666666667</v>
      </c>
      <c r="P92" s="22">
        <f t="shared" si="7"/>
        <v>2448.3333333333335</v>
      </c>
    </row>
    <row r="93" spans="1:16" x14ac:dyDescent="0.3">
      <c r="A93" s="40">
        <v>92</v>
      </c>
      <c r="C93" s="21">
        <v>3093</v>
      </c>
      <c r="D93" s="15" t="s">
        <v>330</v>
      </c>
      <c r="E93" s="15">
        <v>119</v>
      </c>
      <c r="F93" s="35" t="s">
        <v>9</v>
      </c>
      <c r="G93" s="16">
        <v>2833.19</v>
      </c>
      <c r="H93" s="16">
        <v>2110.42</v>
      </c>
      <c r="I93" s="16">
        <v>722.77</v>
      </c>
      <c r="J93" s="17">
        <v>34.25</v>
      </c>
      <c r="K93" s="18">
        <f>10/30</f>
        <v>0.33333333333333331</v>
      </c>
      <c r="L93" s="18">
        <f>1/3</f>
        <v>0.33333333333333331</v>
      </c>
      <c r="M93" s="19">
        <f t="shared" si="4"/>
        <v>3.3055555555555554</v>
      </c>
      <c r="N93" s="44">
        <f t="shared" si="5"/>
        <v>6.6111111111111107</v>
      </c>
      <c r="O93" s="44">
        <f t="shared" si="6"/>
        <v>29.75</v>
      </c>
      <c r="P93" s="22">
        <f t="shared" si="7"/>
        <v>33.055555555555557</v>
      </c>
    </row>
    <row r="94" spans="1:16" x14ac:dyDescent="0.3">
      <c r="A94" s="40">
        <v>93</v>
      </c>
      <c r="C94" s="21">
        <v>3636</v>
      </c>
      <c r="D94" s="15" t="s">
        <v>446</v>
      </c>
      <c r="E94" s="15">
        <f>70+16</f>
        <v>86</v>
      </c>
      <c r="F94" s="35" t="s">
        <v>22</v>
      </c>
      <c r="G94" s="16">
        <v>2815.2</v>
      </c>
      <c r="H94" s="16">
        <v>1830</v>
      </c>
      <c r="I94" s="16">
        <v>985.2</v>
      </c>
      <c r="J94" s="17">
        <v>53.84</v>
      </c>
      <c r="K94" s="18">
        <f>20/30</f>
        <v>0.66666666666666663</v>
      </c>
      <c r="L94" s="18">
        <f>1/6</f>
        <v>0.16666666666666666</v>
      </c>
      <c r="M94" s="19">
        <f t="shared" si="4"/>
        <v>4.7777777777777777</v>
      </c>
      <c r="N94" s="44">
        <f t="shared" si="5"/>
        <v>9.5555555555555554</v>
      </c>
      <c r="O94" s="44">
        <f t="shared" si="6"/>
        <v>43.000000000000007</v>
      </c>
      <c r="P94" s="22">
        <f t="shared" si="7"/>
        <v>47.777777777777786</v>
      </c>
    </row>
    <row r="95" spans="1:16" x14ac:dyDescent="0.3">
      <c r="A95" s="40">
        <v>94</v>
      </c>
      <c r="C95" s="21">
        <v>154</v>
      </c>
      <c r="D95" s="15" t="s">
        <v>447</v>
      </c>
      <c r="E95" s="17">
        <v>196.5</v>
      </c>
      <c r="F95" s="35" t="s">
        <v>12</v>
      </c>
      <c r="G95" s="16">
        <v>2810.15</v>
      </c>
      <c r="H95" s="16">
        <v>2790.3</v>
      </c>
      <c r="I95" s="16">
        <v>19.850000000000001</v>
      </c>
      <c r="J95" s="17">
        <v>0.71</v>
      </c>
      <c r="K95" s="18">
        <f>25/30</f>
        <v>0.83333333333333337</v>
      </c>
      <c r="L95" s="18">
        <f>1/6</f>
        <v>0.16666666666666666</v>
      </c>
      <c r="M95" s="19">
        <f t="shared" si="4"/>
        <v>13.645833333333334</v>
      </c>
      <c r="N95" s="44">
        <f t="shared" si="5"/>
        <v>27.291666666666668</v>
      </c>
      <c r="O95" s="44">
        <f t="shared" si="6"/>
        <v>98.25</v>
      </c>
      <c r="P95" s="22">
        <f t="shared" si="7"/>
        <v>111.89583333333333</v>
      </c>
    </row>
    <row r="96" spans="1:16" x14ac:dyDescent="0.3">
      <c r="A96" s="40">
        <v>95</v>
      </c>
      <c r="C96" s="21">
        <v>504</v>
      </c>
      <c r="D96" s="15" t="s">
        <v>448</v>
      </c>
      <c r="E96" s="15">
        <v>29</v>
      </c>
      <c r="F96" s="35" t="s">
        <v>9</v>
      </c>
      <c r="G96" s="16">
        <v>2772.29</v>
      </c>
      <c r="H96" s="16">
        <v>936</v>
      </c>
      <c r="I96" s="16">
        <v>1836.29</v>
      </c>
      <c r="J96" s="17">
        <v>196.18</v>
      </c>
      <c r="K96" s="18">
        <v>1</v>
      </c>
      <c r="L96" s="18">
        <f>1/6</f>
        <v>0.16666666666666666</v>
      </c>
      <c r="M96" s="19">
        <f t="shared" si="4"/>
        <v>2.4166666666666665</v>
      </c>
      <c r="N96" s="44">
        <f t="shared" si="5"/>
        <v>4.833333333333333</v>
      </c>
      <c r="O96" s="44">
        <f t="shared" si="6"/>
        <v>14.5</v>
      </c>
      <c r="P96" s="22">
        <f t="shared" si="7"/>
        <v>16.916666666666668</v>
      </c>
    </row>
    <row r="97" spans="1:16" x14ac:dyDescent="0.3">
      <c r="A97" s="40">
        <v>96</v>
      </c>
      <c r="C97" s="21">
        <v>3840</v>
      </c>
      <c r="D97" s="15" t="s">
        <v>51</v>
      </c>
      <c r="E97" s="15">
        <f>4+3+1</f>
        <v>8</v>
      </c>
      <c r="F97" s="35" t="s">
        <v>9</v>
      </c>
      <c r="G97" s="16">
        <v>2752.58</v>
      </c>
      <c r="H97" s="16">
        <v>2396</v>
      </c>
      <c r="I97" s="16">
        <v>356.58</v>
      </c>
      <c r="J97" s="17">
        <v>14.88</v>
      </c>
      <c r="K97" s="18">
        <v>1</v>
      </c>
      <c r="L97" s="18">
        <f>1/4</f>
        <v>0.25</v>
      </c>
      <c r="M97" s="19">
        <f t="shared" si="4"/>
        <v>0.66666666666666663</v>
      </c>
      <c r="N97" s="44">
        <f t="shared" si="5"/>
        <v>1.3333333333333333</v>
      </c>
      <c r="O97" s="44">
        <f t="shared" si="6"/>
        <v>2.6666666666666665</v>
      </c>
      <c r="P97" s="22">
        <f t="shared" si="7"/>
        <v>3.333333333333333</v>
      </c>
    </row>
    <row r="98" spans="1:16" x14ac:dyDescent="0.3">
      <c r="A98" s="40">
        <v>97</v>
      </c>
      <c r="C98" s="21">
        <v>1187</v>
      </c>
      <c r="D98" s="15" t="s">
        <v>449</v>
      </c>
      <c r="E98" s="17">
        <v>59.5</v>
      </c>
      <c r="F98" s="35" t="s">
        <v>9</v>
      </c>
      <c r="G98" s="16">
        <v>2749.73</v>
      </c>
      <c r="H98" s="16">
        <v>1701.7</v>
      </c>
      <c r="I98" s="16">
        <v>1048.03</v>
      </c>
      <c r="J98" s="17">
        <v>61.59</v>
      </c>
      <c r="K98" s="18">
        <v>1</v>
      </c>
      <c r="L98" s="18">
        <f>1/4</f>
        <v>0.25</v>
      </c>
      <c r="M98" s="19">
        <f t="shared" si="4"/>
        <v>4.958333333333333</v>
      </c>
      <c r="N98" s="44">
        <f t="shared" si="5"/>
        <v>9.9166666666666661</v>
      </c>
      <c r="O98" s="44">
        <f t="shared" si="6"/>
        <v>19.833333333333332</v>
      </c>
      <c r="P98" s="22">
        <f t="shared" si="7"/>
        <v>24.791666666666664</v>
      </c>
    </row>
    <row r="99" spans="1:16" x14ac:dyDescent="0.3">
      <c r="A99" s="40">
        <v>98</v>
      </c>
      <c r="C99" s="21">
        <v>12</v>
      </c>
      <c r="D99" s="15" t="s">
        <v>450</v>
      </c>
      <c r="E99" s="15">
        <v>996</v>
      </c>
      <c r="F99" s="35" t="s">
        <v>9</v>
      </c>
      <c r="G99" s="16">
        <v>2732.47</v>
      </c>
      <c r="H99" s="16">
        <v>194.7</v>
      </c>
      <c r="I99" s="16">
        <v>2537.77</v>
      </c>
      <c r="J99" s="17">
        <v>1303.43</v>
      </c>
      <c r="K99" s="18">
        <v>1</v>
      </c>
      <c r="L99" s="18">
        <f>1/5</f>
        <v>0.2</v>
      </c>
      <c r="M99" s="19">
        <f t="shared" si="4"/>
        <v>83</v>
      </c>
      <c r="N99" s="44">
        <f t="shared" si="5"/>
        <v>166</v>
      </c>
      <c r="O99" s="44">
        <f t="shared" si="6"/>
        <v>415</v>
      </c>
      <c r="P99" s="22">
        <f t="shared" si="7"/>
        <v>498</v>
      </c>
    </row>
    <row r="100" spans="1:16" x14ac:dyDescent="0.3">
      <c r="A100" s="40">
        <v>99</v>
      </c>
      <c r="C100" s="21">
        <v>3708</v>
      </c>
      <c r="D100" s="15" t="s">
        <v>451</v>
      </c>
      <c r="E100" s="15">
        <f>30+9</f>
        <v>39</v>
      </c>
      <c r="F100" s="35" t="s">
        <v>9</v>
      </c>
      <c r="G100" s="16">
        <v>2731.85</v>
      </c>
      <c r="H100" s="16">
        <v>1961.7</v>
      </c>
      <c r="I100" s="16">
        <v>770.15</v>
      </c>
      <c r="J100" s="17">
        <v>39.26</v>
      </c>
      <c r="K100" s="18">
        <v>1</v>
      </c>
      <c r="L100" s="18">
        <f>1/6</f>
        <v>0.16666666666666666</v>
      </c>
      <c r="M100" s="19">
        <f t="shared" si="4"/>
        <v>3.25</v>
      </c>
      <c r="N100" s="44">
        <f t="shared" si="5"/>
        <v>6.5</v>
      </c>
      <c r="O100" s="44">
        <f t="shared" si="6"/>
        <v>19.5</v>
      </c>
      <c r="P100" s="22">
        <f t="shared" si="7"/>
        <v>22.75</v>
      </c>
    </row>
    <row r="101" spans="1:16" x14ac:dyDescent="0.3">
      <c r="A101" s="40">
        <v>100</v>
      </c>
      <c r="C101" s="21">
        <v>1270</v>
      </c>
      <c r="D101" s="15" t="s">
        <v>101</v>
      </c>
      <c r="E101" s="15">
        <v>136</v>
      </c>
      <c r="F101" s="35" t="s">
        <v>9</v>
      </c>
      <c r="G101" s="16">
        <v>2731.46</v>
      </c>
      <c r="H101" s="16">
        <v>1912.01</v>
      </c>
      <c r="I101" s="16">
        <v>819.45</v>
      </c>
      <c r="J101" s="17">
        <v>42.86</v>
      </c>
      <c r="K101" s="18">
        <f>15/30</f>
        <v>0.5</v>
      </c>
      <c r="L101" s="18">
        <f>1/2</f>
        <v>0.5</v>
      </c>
      <c r="M101" s="19">
        <f t="shared" si="4"/>
        <v>5.666666666666667</v>
      </c>
      <c r="N101" s="44">
        <f t="shared" si="5"/>
        <v>11.333333333333334</v>
      </c>
      <c r="O101" s="44">
        <f t="shared" si="6"/>
        <v>22.666666666666668</v>
      </c>
      <c r="P101" s="22">
        <f t="shared" si="7"/>
        <v>28.333333333333336</v>
      </c>
    </row>
    <row r="102" spans="1:16" x14ac:dyDescent="0.3">
      <c r="A102" s="40">
        <v>101</v>
      </c>
      <c r="C102" s="21">
        <v>1501</v>
      </c>
      <c r="D102" s="15" t="s">
        <v>404</v>
      </c>
      <c r="E102" s="20">
        <f>366265/1000</f>
        <v>366.26499999999999</v>
      </c>
      <c r="F102" s="35" t="s">
        <v>16</v>
      </c>
      <c r="G102" s="16">
        <v>2696.37</v>
      </c>
      <c r="H102" s="16">
        <v>3113.25</v>
      </c>
      <c r="I102" s="16">
        <v>-416.88</v>
      </c>
      <c r="J102" s="17">
        <v>-13.39</v>
      </c>
      <c r="K102" s="18">
        <v>1</v>
      </c>
      <c r="L102" s="18">
        <f>1/4</f>
        <v>0.25</v>
      </c>
      <c r="M102" s="19">
        <f t="shared" si="4"/>
        <v>30.522083333333331</v>
      </c>
      <c r="N102" s="44">
        <f t="shared" si="5"/>
        <v>61.044166666666662</v>
      </c>
      <c r="O102" s="44">
        <f t="shared" si="6"/>
        <v>122.08833333333332</v>
      </c>
      <c r="P102" s="22">
        <f t="shared" si="7"/>
        <v>152.61041666666665</v>
      </c>
    </row>
    <row r="103" spans="1:16" x14ac:dyDescent="0.3">
      <c r="A103" s="40">
        <v>102</v>
      </c>
      <c r="C103" s="21">
        <v>3659</v>
      </c>
      <c r="D103" s="15" t="s">
        <v>452</v>
      </c>
      <c r="E103" s="15">
        <f>1596+961</f>
        <v>2557</v>
      </c>
      <c r="F103" s="35" t="s">
        <v>12</v>
      </c>
      <c r="G103" s="16">
        <v>2696.16</v>
      </c>
      <c r="H103" s="16">
        <v>2713.2</v>
      </c>
      <c r="I103" s="16">
        <v>-17.04</v>
      </c>
      <c r="J103" s="17">
        <v>-0.63</v>
      </c>
      <c r="K103" s="18">
        <v>1</v>
      </c>
      <c r="L103" s="18">
        <f>1/4</f>
        <v>0.25</v>
      </c>
      <c r="M103" s="19">
        <f t="shared" si="4"/>
        <v>213.08333333333334</v>
      </c>
      <c r="N103" s="44">
        <f t="shared" si="5"/>
        <v>426.16666666666669</v>
      </c>
      <c r="O103" s="44">
        <f t="shared" si="6"/>
        <v>852.33333333333337</v>
      </c>
      <c r="P103" s="22">
        <f t="shared" si="7"/>
        <v>1065.4166666666667</v>
      </c>
    </row>
    <row r="104" spans="1:16" x14ac:dyDescent="0.3">
      <c r="A104" s="40">
        <v>103</v>
      </c>
      <c r="C104" s="21">
        <v>861</v>
      </c>
      <c r="D104" s="15" t="s">
        <v>112</v>
      </c>
      <c r="E104" s="15">
        <v>681</v>
      </c>
      <c r="F104" s="35" t="s">
        <v>9</v>
      </c>
      <c r="G104" s="16">
        <v>2670.72</v>
      </c>
      <c r="H104" s="16">
        <v>2313.37</v>
      </c>
      <c r="I104" s="16">
        <v>357.35</v>
      </c>
      <c r="J104" s="17">
        <v>15.45</v>
      </c>
      <c r="K104" s="18">
        <v>1</v>
      </c>
      <c r="L104" s="18">
        <f>1/4</f>
        <v>0.25</v>
      </c>
      <c r="M104" s="19">
        <f t="shared" si="4"/>
        <v>56.75</v>
      </c>
      <c r="N104" s="44">
        <f t="shared" si="5"/>
        <v>113.5</v>
      </c>
      <c r="O104" s="44">
        <f t="shared" si="6"/>
        <v>227</v>
      </c>
      <c r="P104" s="22">
        <f t="shared" si="7"/>
        <v>283.75</v>
      </c>
    </row>
    <row r="105" spans="1:16" x14ac:dyDescent="0.3">
      <c r="A105" s="40">
        <v>104</v>
      </c>
      <c r="C105" s="21">
        <v>4656</v>
      </c>
      <c r="D105" s="15" t="s">
        <v>209</v>
      </c>
      <c r="E105" s="15">
        <f>273+80</f>
        <v>353</v>
      </c>
      <c r="F105" s="35" t="s">
        <v>9</v>
      </c>
      <c r="G105" s="16">
        <v>2664.7</v>
      </c>
      <c r="H105" s="16">
        <v>2402.4</v>
      </c>
      <c r="I105" s="16">
        <v>262.3</v>
      </c>
      <c r="J105" s="17">
        <v>10.92</v>
      </c>
      <c r="K105" s="18">
        <f>15/30</f>
        <v>0.5</v>
      </c>
      <c r="L105" s="18">
        <f>1/4</f>
        <v>0.25</v>
      </c>
      <c r="M105" s="19">
        <f t="shared" si="4"/>
        <v>14.708333333333334</v>
      </c>
      <c r="N105" s="44">
        <f t="shared" si="5"/>
        <v>29.416666666666668</v>
      </c>
      <c r="O105" s="44">
        <f t="shared" si="6"/>
        <v>117.66666666666667</v>
      </c>
      <c r="P105" s="22">
        <f t="shared" si="7"/>
        <v>132.375</v>
      </c>
    </row>
    <row r="106" spans="1:16" x14ac:dyDescent="0.3">
      <c r="A106" s="40">
        <v>105</v>
      </c>
      <c r="C106" s="21">
        <v>3902</v>
      </c>
      <c r="D106" s="15" t="s">
        <v>453</v>
      </c>
      <c r="E106" s="15">
        <f>39+34+15</f>
        <v>88</v>
      </c>
      <c r="F106" s="35" t="s">
        <v>25</v>
      </c>
      <c r="G106" s="16">
        <v>2639.33</v>
      </c>
      <c r="H106" s="16">
        <v>2084</v>
      </c>
      <c r="I106" s="16">
        <v>555.33000000000004</v>
      </c>
      <c r="J106" s="17">
        <v>26.65</v>
      </c>
      <c r="K106" s="18">
        <f>10/30</f>
        <v>0.33333333333333331</v>
      </c>
      <c r="L106" s="18">
        <f>1/2</f>
        <v>0.5</v>
      </c>
      <c r="M106" s="19">
        <f t="shared" si="4"/>
        <v>2.4444444444444442</v>
      </c>
      <c r="N106" s="44">
        <f t="shared" si="5"/>
        <v>4.8888888888888884</v>
      </c>
      <c r="O106" s="44">
        <f t="shared" si="6"/>
        <v>14.666666666666666</v>
      </c>
      <c r="P106" s="22">
        <f t="shared" si="7"/>
        <v>17.111111111111111</v>
      </c>
    </row>
    <row r="107" spans="1:16" x14ac:dyDescent="0.3">
      <c r="A107" s="40">
        <v>106</v>
      </c>
      <c r="C107" s="47">
        <v>346</v>
      </c>
      <c r="D107" s="15" t="s">
        <v>128</v>
      </c>
      <c r="E107" s="15">
        <v>9</v>
      </c>
      <c r="F107" s="35" t="s">
        <v>9</v>
      </c>
      <c r="G107" s="16">
        <v>2635.58</v>
      </c>
      <c r="H107" s="16">
        <v>0</v>
      </c>
      <c r="I107" s="16">
        <v>2635.58</v>
      </c>
      <c r="J107" s="17">
        <v>100</v>
      </c>
      <c r="K107" s="18">
        <v>1</v>
      </c>
      <c r="L107" s="18">
        <f>1/6</f>
        <v>0.16666666666666666</v>
      </c>
      <c r="M107" s="19">
        <f t="shared" si="4"/>
        <v>0.75</v>
      </c>
      <c r="N107" s="44">
        <f t="shared" si="5"/>
        <v>1.5</v>
      </c>
      <c r="O107" s="44">
        <f t="shared" si="6"/>
        <v>4.5</v>
      </c>
      <c r="P107" s="22">
        <f t="shared" si="7"/>
        <v>5.25</v>
      </c>
    </row>
    <row r="108" spans="1:16" x14ac:dyDescent="0.3">
      <c r="A108" s="40">
        <v>107</v>
      </c>
      <c r="C108" s="47">
        <v>341</v>
      </c>
      <c r="D108" s="15" t="s">
        <v>454</v>
      </c>
      <c r="E108" s="15">
        <v>26</v>
      </c>
      <c r="F108" s="35" t="s">
        <v>9</v>
      </c>
      <c r="G108" s="16">
        <v>2609.7600000000002</v>
      </c>
      <c r="H108" s="16">
        <v>0</v>
      </c>
      <c r="I108" s="16">
        <v>2609.7600000000002</v>
      </c>
      <c r="J108" s="17">
        <v>100</v>
      </c>
      <c r="K108" s="18">
        <v>1</v>
      </c>
      <c r="L108" s="18">
        <f>1/6</f>
        <v>0.16666666666666666</v>
      </c>
      <c r="M108" s="19">
        <f t="shared" si="4"/>
        <v>2.1666666666666665</v>
      </c>
      <c r="N108" s="44">
        <f t="shared" si="5"/>
        <v>4.333333333333333</v>
      </c>
      <c r="O108" s="44">
        <f t="shared" si="6"/>
        <v>13</v>
      </c>
      <c r="P108" s="22">
        <f t="shared" si="7"/>
        <v>15.166666666666666</v>
      </c>
    </row>
    <row r="109" spans="1:16" x14ac:dyDescent="0.3">
      <c r="A109" s="40">
        <v>108</v>
      </c>
      <c r="C109" s="21">
        <v>510</v>
      </c>
      <c r="D109" s="15" t="s">
        <v>378</v>
      </c>
      <c r="E109" s="17">
        <f>165.64+123.32</f>
        <v>288.95999999999998</v>
      </c>
      <c r="F109" s="35" t="s">
        <v>12</v>
      </c>
      <c r="G109" s="16">
        <v>2607.08</v>
      </c>
      <c r="H109" s="16">
        <v>0</v>
      </c>
      <c r="I109" s="16">
        <v>2607.08</v>
      </c>
      <c r="J109" s="17">
        <v>100</v>
      </c>
      <c r="K109" s="18">
        <v>1</v>
      </c>
      <c r="L109" s="18">
        <f>1/6</f>
        <v>0.16666666666666666</v>
      </c>
      <c r="M109" s="19">
        <f t="shared" si="4"/>
        <v>24.08</v>
      </c>
      <c r="N109" s="44">
        <f t="shared" si="5"/>
        <v>48.16</v>
      </c>
      <c r="O109" s="44">
        <f t="shared" si="6"/>
        <v>144.47999999999999</v>
      </c>
      <c r="P109" s="22">
        <f t="shared" si="7"/>
        <v>168.56</v>
      </c>
    </row>
    <row r="110" spans="1:16" x14ac:dyDescent="0.3">
      <c r="A110" s="40">
        <v>109</v>
      </c>
      <c r="C110" s="21">
        <v>4782</v>
      </c>
      <c r="D110" s="15" t="s">
        <v>455</v>
      </c>
      <c r="E110" s="15">
        <v>5</v>
      </c>
      <c r="F110" s="35" t="s">
        <v>9</v>
      </c>
      <c r="G110" s="16">
        <v>2600.02</v>
      </c>
      <c r="H110" s="16">
        <v>2600</v>
      </c>
      <c r="I110" s="16">
        <v>0.02</v>
      </c>
      <c r="J110" s="17">
        <v>0</v>
      </c>
      <c r="K110" s="18">
        <v>1</v>
      </c>
      <c r="L110" s="18">
        <f>1/4</f>
        <v>0.25</v>
      </c>
      <c r="M110" s="19">
        <f t="shared" si="4"/>
        <v>0.41666666666666669</v>
      </c>
      <c r="N110" s="44">
        <f t="shared" si="5"/>
        <v>0.83333333333333337</v>
      </c>
      <c r="O110" s="44">
        <f t="shared" si="6"/>
        <v>1.6666666666666667</v>
      </c>
      <c r="P110" s="22">
        <f t="shared" si="7"/>
        <v>2.0833333333333335</v>
      </c>
    </row>
    <row r="111" spans="1:16" x14ac:dyDescent="0.3">
      <c r="A111" s="40">
        <v>110</v>
      </c>
      <c r="C111" s="21">
        <v>520</v>
      </c>
      <c r="D111" s="15" t="s">
        <v>298</v>
      </c>
      <c r="E111" s="17">
        <v>167.28</v>
      </c>
      <c r="F111" s="35" t="s">
        <v>12</v>
      </c>
      <c r="G111" s="16">
        <v>2599.15</v>
      </c>
      <c r="H111" s="16">
        <v>0</v>
      </c>
      <c r="I111" s="16">
        <v>2599.15</v>
      </c>
      <c r="J111" s="17">
        <v>100</v>
      </c>
      <c r="K111" s="18">
        <v>1</v>
      </c>
      <c r="L111" s="18">
        <f>1/6</f>
        <v>0.16666666666666666</v>
      </c>
      <c r="M111" s="19">
        <f t="shared" si="4"/>
        <v>13.94</v>
      </c>
      <c r="N111" s="44">
        <f t="shared" si="5"/>
        <v>27.88</v>
      </c>
      <c r="O111" s="44">
        <f t="shared" si="6"/>
        <v>83.64</v>
      </c>
      <c r="P111" s="22">
        <f t="shared" si="7"/>
        <v>97.58</v>
      </c>
    </row>
    <row r="112" spans="1:16" x14ac:dyDescent="0.3">
      <c r="A112" s="40">
        <v>111</v>
      </c>
      <c r="C112" s="21">
        <v>348</v>
      </c>
      <c r="D112" s="15" t="s">
        <v>153</v>
      </c>
      <c r="E112" s="17">
        <v>589.1</v>
      </c>
      <c r="F112" s="35" t="s">
        <v>12</v>
      </c>
      <c r="G112" s="16">
        <v>2570.41</v>
      </c>
      <c r="H112" s="16">
        <v>2342.7600000000002</v>
      </c>
      <c r="I112" s="16">
        <v>227.66</v>
      </c>
      <c r="J112" s="17">
        <v>9.7200000000000006</v>
      </c>
      <c r="K112" s="18">
        <f>15/30</f>
        <v>0.5</v>
      </c>
      <c r="L112" s="18">
        <f>1/5</f>
        <v>0.2</v>
      </c>
      <c r="M112" s="19">
        <f t="shared" si="4"/>
        <v>24.545833333333334</v>
      </c>
      <c r="N112" s="44">
        <f t="shared" si="5"/>
        <v>49.091666666666669</v>
      </c>
      <c r="O112" s="44">
        <f t="shared" si="6"/>
        <v>245.45833333333334</v>
      </c>
      <c r="P112" s="22">
        <f t="shared" si="7"/>
        <v>270.00416666666666</v>
      </c>
    </row>
    <row r="113" spans="1:16" x14ac:dyDescent="0.3">
      <c r="A113" s="40">
        <v>112</v>
      </c>
      <c r="C113" s="21">
        <v>543</v>
      </c>
      <c r="D113" s="15" t="s">
        <v>456</v>
      </c>
      <c r="E113" s="17">
        <f>167.96+71.4</f>
        <v>239.36</v>
      </c>
      <c r="F113" s="35" t="s">
        <v>9</v>
      </c>
      <c r="G113" s="16">
        <v>2561.67</v>
      </c>
      <c r="H113" s="16">
        <v>0</v>
      </c>
      <c r="I113" s="16">
        <v>2561.67</v>
      </c>
      <c r="J113" s="17">
        <v>100</v>
      </c>
      <c r="K113" s="18">
        <v>1</v>
      </c>
      <c r="L113" s="18">
        <f>1/6</f>
        <v>0.16666666666666666</v>
      </c>
      <c r="M113" s="19">
        <f t="shared" si="4"/>
        <v>19.946666666666669</v>
      </c>
      <c r="N113" s="44">
        <f t="shared" si="5"/>
        <v>39.893333333333338</v>
      </c>
      <c r="O113" s="44">
        <f t="shared" si="6"/>
        <v>119.68000000000002</v>
      </c>
      <c r="P113" s="22">
        <f t="shared" si="7"/>
        <v>139.62666666666669</v>
      </c>
    </row>
    <row r="114" spans="1:16" x14ac:dyDescent="0.3">
      <c r="A114" s="40">
        <v>113</v>
      </c>
      <c r="C114" s="21">
        <v>1240</v>
      </c>
      <c r="D114" s="15" t="s">
        <v>47</v>
      </c>
      <c r="E114" s="15">
        <f>3+1+1</f>
        <v>5</v>
      </c>
      <c r="F114" s="35" t="s">
        <v>9</v>
      </c>
      <c r="G114" s="16">
        <v>2557.46</v>
      </c>
      <c r="H114" s="16">
        <v>2640</v>
      </c>
      <c r="I114" s="16">
        <v>-82.54</v>
      </c>
      <c r="J114" s="17">
        <v>-3.13</v>
      </c>
      <c r="K114" s="18">
        <f>20/30</f>
        <v>0.66666666666666663</v>
      </c>
      <c r="L114" s="18">
        <f>1/4</f>
        <v>0.25</v>
      </c>
      <c r="M114" s="19">
        <f t="shared" si="4"/>
        <v>0.27777777777777779</v>
      </c>
      <c r="N114" s="44">
        <f t="shared" si="5"/>
        <v>0.55555555555555558</v>
      </c>
      <c r="O114" s="44">
        <f t="shared" si="6"/>
        <v>1.6666666666666667</v>
      </c>
      <c r="P114" s="22">
        <f t="shared" si="7"/>
        <v>1.9444444444444446</v>
      </c>
    </row>
    <row r="115" spans="1:16" x14ac:dyDescent="0.3">
      <c r="A115" s="40">
        <v>114</v>
      </c>
      <c r="C115" s="21">
        <v>4105</v>
      </c>
      <c r="D115" s="15" t="s">
        <v>321</v>
      </c>
      <c r="E115" s="15">
        <v>278</v>
      </c>
      <c r="F115" s="35" t="s">
        <v>9</v>
      </c>
      <c r="G115" s="16">
        <v>2553.34</v>
      </c>
      <c r="H115" s="16">
        <v>1743.36</v>
      </c>
      <c r="I115" s="16">
        <v>809.98</v>
      </c>
      <c r="J115" s="17">
        <v>46.46</v>
      </c>
      <c r="K115" s="18">
        <v>1</v>
      </c>
      <c r="L115" s="18">
        <f>1/3</f>
        <v>0.33333333333333331</v>
      </c>
      <c r="M115" s="19">
        <f t="shared" si="4"/>
        <v>23.166666666666668</v>
      </c>
      <c r="N115" s="44">
        <f t="shared" si="5"/>
        <v>46.333333333333336</v>
      </c>
      <c r="O115" s="44">
        <f t="shared" si="6"/>
        <v>69.500000000000014</v>
      </c>
      <c r="P115" s="22">
        <f t="shared" si="7"/>
        <v>92.666666666666686</v>
      </c>
    </row>
    <row r="116" spans="1:16" x14ac:dyDescent="0.3">
      <c r="A116" s="40">
        <v>115</v>
      </c>
      <c r="C116" s="21">
        <v>570</v>
      </c>
      <c r="D116" s="15" t="s">
        <v>457</v>
      </c>
      <c r="E116" s="15">
        <v>3</v>
      </c>
      <c r="F116" s="35" t="s">
        <v>9</v>
      </c>
      <c r="G116" s="16">
        <v>2530.04</v>
      </c>
      <c r="H116" s="16">
        <v>2148</v>
      </c>
      <c r="I116" s="16">
        <v>382.04</v>
      </c>
      <c r="J116" s="17">
        <v>17.79</v>
      </c>
      <c r="K116" s="18">
        <v>1</v>
      </c>
      <c r="L116" s="18">
        <f>1/12</f>
        <v>8.3333333333333329E-2</v>
      </c>
      <c r="M116" s="19">
        <f t="shared" si="4"/>
        <v>0.25</v>
      </c>
      <c r="N116" s="44">
        <f t="shared" si="5"/>
        <v>0.5</v>
      </c>
      <c r="O116" s="44">
        <f t="shared" si="6"/>
        <v>3</v>
      </c>
      <c r="P116" s="22">
        <f t="shared" si="7"/>
        <v>3.25</v>
      </c>
    </row>
    <row r="117" spans="1:16" x14ac:dyDescent="0.3">
      <c r="A117" s="40">
        <v>116</v>
      </c>
      <c r="C117" s="21">
        <v>2819</v>
      </c>
      <c r="D117" s="15" t="s">
        <v>813</v>
      </c>
      <c r="E117" s="15">
        <f>27+71</f>
        <v>98</v>
      </c>
      <c r="F117" s="35" t="s">
        <v>9</v>
      </c>
      <c r="G117" s="16">
        <v>2496.6799999999998</v>
      </c>
      <c r="H117" s="16">
        <v>2295</v>
      </c>
      <c r="I117" s="16">
        <v>201.68</v>
      </c>
      <c r="J117" s="17">
        <v>8.7899999999999991</v>
      </c>
      <c r="K117" s="18">
        <v>1</v>
      </c>
      <c r="L117" s="18">
        <f>1/8</f>
        <v>0.125</v>
      </c>
      <c r="M117" s="19">
        <f t="shared" si="4"/>
        <v>8.1666666666666661</v>
      </c>
      <c r="N117" s="44">
        <f t="shared" si="5"/>
        <v>16.333333333333332</v>
      </c>
      <c r="O117" s="44">
        <f t="shared" si="6"/>
        <v>65.333333333333329</v>
      </c>
      <c r="P117" s="22">
        <f t="shared" si="7"/>
        <v>73.5</v>
      </c>
    </row>
    <row r="118" spans="1:16" x14ac:dyDescent="0.3">
      <c r="A118" s="40">
        <v>117</v>
      </c>
      <c r="C118" s="21">
        <v>513</v>
      </c>
      <c r="D118" s="15" t="s">
        <v>361</v>
      </c>
      <c r="E118" s="17">
        <f>160.77+50.5</f>
        <v>211.27</v>
      </c>
      <c r="F118" s="35" t="s">
        <v>12</v>
      </c>
      <c r="G118" s="16">
        <v>2488.1</v>
      </c>
      <c r="H118" s="16">
        <v>0</v>
      </c>
      <c r="I118" s="16">
        <v>2488.1</v>
      </c>
      <c r="J118" s="17">
        <v>100</v>
      </c>
      <c r="K118" s="18">
        <v>1</v>
      </c>
      <c r="L118" s="18">
        <f>1/6</f>
        <v>0.16666666666666666</v>
      </c>
      <c r="M118" s="19">
        <f t="shared" si="4"/>
        <v>17.605833333333333</v>
      </c>
      <c r="N118" s="44">
        <f t="shared" si="5"/>
        <v>35.211666666666666</v>
      </c>
      <c r="O118" s="44">
        <f t="shared" si="6"/>
        <v>105.63500000000001</v>
      </c>
      <c r="P118" s="22">
        <f t="shared" si="7"/>
        <v>123.24083333333334</v>
      </c>
    </row>
    <row r="119" spans="1:16" x14ac:dyDescent="0.3">
      <c r="A119" s="40">
        <v>118</v>
      </c>
      <c r="C119" s="47">
        <v>162</v>
      </c>
      <c r="D119" s="15" t="s">
        <v>68</v>
      </c>
      <c r="E119" s="17">
        <v>1433.7</v>
      </c>
      <c r="F119" s="35" t="s">
        <v>12</v>
      </c>
      <c r="G119" s="16">
        <v>2486.4699999999998</v>
      </c>
      <c r="H119" s="16">
        <v>2184.48</v>
      </c>
      <c r="I119" s="16">
        <v>301.99</v>
      </c>
      <c r="J119" s="17">
        <v>13.82</v>
      </c>
      <c r="K119" s="18">
        <f>25/30</f>
        <v>0.83333333333333337</v>
      </c>
      <c r="L119" s="18">
        <f>1/6</f>
        <v>0.16666666666666666</v>
      </c>
      <c r="M119" s="19">
        <f t="shared" si="4"/>
        <v>99.562500000000014</v>
      </c>
      <c r="N119" s="44">
        <f t="shared" si="5"/>
        <v>199.12500000000003</v>
      </c>
      <c r="O119" s="44">
        <f t="shared" si="6"/>
        <v>716.85000000000014</v>
      </c>
      <c r="P119" s="22">
        <f t="shared" si="7"/>
        <v>816.41250000000014</v>
      </c>
    </row>
    <row r="120" spans="1:16" x14ac:dyDescent="0.3">
      <c r="A120" s="40">
        <v>119</v>
      </c>
      <c r="C120" s="21">
        <v>4877</v>
      </c>
      <c r="D120" s="15" t="s">
        <v>458</v>
      </c>
      <c r="E120" s="15">
        <f>16+10</f>
        <v>26</v>
      </c>
      <c r="F120" s="35" t="s">
        <v>25</v>
      </c>
      <c r="G120" s="16">
        <v>2483.2399999999998</v>
      </c>
      <c r="H120" s="16">
        <v>1910</v>
      </c>
      <c r="I120" s="16">
        <v>573.24</v>
      </c>
      <c r="J120" s="17">
        <v>30.01</v>
      </c>
      <c r="K120" s="18">
        <f>10/30</f>
        <v>0.33333333333333331</v>
      </c>
      <c r="L120" s="18">
        <f>1/3</f>
        <v>0.33333333333333331</v>
      </c>
      <c r="M120" s="19">
        <f t="shared" si="4"/>
        <v>0.7222222222222221</v>
      </c>
      <c r="N120" s="44">
        <f t="shared" si="5"/>
        <v>1.4444444444444442</v>
      </c>
      <c r="O120" s="44">
        <f t="shared" si="6"/>
        <v>6.5</v>
      </c>
      <c r="P120" s="22">
        <f t="shared" si="7"/>
        <v>7.2222222222222223</v>
      </c>
    </row>
    <row r="121" spans="1:16" x14ac:dyDescent="0.3">
      <c r="A121" s="40">
        <v>120</v>
      </c>
      <c r="C121" s="21">
        <v>1239</v>
      </c>
      <c r="D121" s="15" t="s">
        <v>312</v>
      </c>
      <c r="E121" s="15">
        <f>57+24</f>
        <v>81</v>
      </c>
      <c r="F121" s="35" t="s">
        <v>9</v>
      </c>
      <c r="G121" s="16">
        <v>2473.48</v>
      </c>
      <c r="H121" s="16">
        <v>1596</v>
      </c>
      <c r="I121" s="16">
        <v>877.48</v>
      </c>
      <c r="J121" s="17">
        <v>54.98</v>
      </c>
      <c r="K121" s="18">
        <f>1</f>
        <v>1</v>
      </c>
      <c r="L121" s="18">
        <f>1/6</f>
        <v>0.16666666666666666</v>
      </c>
      <c r="M121" s="19">
        <f t="shared" si="4"/>
        <v>6.75</v>
      </c>
      <c r="N121" s="44">
        <f t="shared" si="5"/>
        <v>13.5</v>
      </c>
      <c r="O121" s="44">
        <f t="shared" si="6"/>
        <v>40.5</v>
      </c>
      <c r="P121" s="22">
        <f t="shared" si="7"/>
        <v>47.25</v>
      </c>
    </row>
    <row r="122" spans="1:16" x14ac:dyDescent="0.3">
      <c r="A122" s="40">
        <v>121</v>
      </c>
      <c r="C122" s="21">
        <v>4204</v>
      </c>
      <c r="D122" s="15" t="s">
        <v>286</v>
      </c>
      <c r="E122" s="17">
        <f>193.5+153</f>
        <v>346.5</v>
      </c>
      <c r="F122" s="35" t="s">
        <v>9</v>
      </c>
      <c r="G122" s="16">
        <v>2469.25</v>
      </c>
      <c r="H122" s="16">
        <v>1567.35</v>
      </c>
      <c r="I122" s="16">
        <v>901.9</v>
      </c>
      <c r="J122" s="17">
        <v>57.54</v>
      </c>
      <c r="K122" s="18">
        <v>1</v>
      </c>
      <c r="L122" s="18">
        <f>1/4</f>
        <v>0.25</v>
      </c>
      <c r="M122" s="19">
        <f t="shared" si="4"/>
        <v>28.875</v>
      </c>
      <c r="N122" s="44">
        <f t="shared" si="5"/>
        <v>57.75</v>
      </c>
      <c r="O122" s="44">
        <f t="shared" si="6"/>
        <v>115.5</v>
      </c>
      <c r="P122" s="22">
        <f t="shared" si="7"/>
        <v>144.375</v>
      </c>
    </row>
    <row r="123" spans="1:16" x14ac:dyDescent="0.3">
      <c r="A123" s="40">
        <v>122</v>
      </c>
      <c r="C123" s="21">
        <v>785</v>
      </c>
      <c r="D123" s="15" t="s">
        <v>115</v>
      </c>
      <c r="E123" s="15">
        <f>7+4</f>
        <v>11</v>
      </c>
      <c r="F123" s="35" t="s">
        <v>9</v>
      </c>
      <c r="G123" s="16">
        <v>2464.21</v>
      </c>
      <c r="H123" s="16">
        <v>1911.4</v>
      </c>
      <c r="I123" s="16">
        <v>552.80999999999995</v>
      </c>
      <c r="J123" s="17">
        <v>28.92</v>
      </c>
      <c r="K123" s="18">
        <f>15/30</f>
        <v>0.5</v>
      </c>
      <c r="L123" s="18">
        <f>1/4</f>
        <v>0.25</v>
      </c>
      <c r="M123" s="19">
        <f t="shared" si="4"/>
        <v>0.45833333333333331</v>
      </c>
      <c r="N123" s="44">
        <f t="shared" si="5"/>
        <v>0.91666666666666663</v>
      </c>
      <c r="O123" s="44">
        <f t="shared" si="6"/>
        <v>3.6666666666666665</v>
      </c>
      <c r="P123" s="22">
        <f t="shared" si="7"/>
        <v>4.125</v>
      </c>
    </row>
    <row r="124" spans="1:16" x14ac:dyDescent="0.3">
      <c r="A124" s="40">
        <v>123</v>
      </c>
      <c r="C124" s="21">
        <v>244</v>
      </c>
      <c r="D124" s="15" t="s">
        <v>459</v>
      </c>
      <c r="E124" s="15">
        <v>5</v>
      </c>
      <c r="F124" s="35" t="s">
        <v>9</v>
      </c>
      <c r="G124" s="16">
        <v>2406.96</v>
      </c>
      <c r="H124" s="16">
        <v>2445</v>
      </c>
      <c r="I124" s="16">
        <v>-38.04</v>
      </c>
      <c r="J124" s="17">
        <v>-1.56</v>
      </c>
      <c r="K124" s="18">
        <v>1</v>
      </c>
      <c r="L124" s="18">
        <f>1/12</f>
        <v>8.3333333333333329E-2</v>
      </c>
      <c r="M124" s="19">
        <f t="shared" si="4"/>
        <v>0.41666666666666669</v>
      </c>
      <c r="N124" s="44">
        <f t="shared" si="5"/>
        <v>0.83333333333333337</v>
      </c>
      <c r="O124" s="44">
        <f t="shared" si="6"/>
        <v>5.0000000000000009</v>
      </c>
      <c r="P124" s="22">
        <f t="shared" si="7"/>
        <v>5.4166666666666679</v>
      </c>
    </row>
    <row r="125" spans="1:16" x14ac:dyDescent="0.3">
      <c r="A125" s="40">
        <v>124</v>
      </c>
      <c r="C125" s="21">
        <v>469</v>
      </c>
      <c r="D125" s="15" t="s">
        <v>220</v>
      </c>
      <c r="E125" s="15">
        <v>536</v>
      </c>
      <c r="F125" s="35" t="s">
        <v>9</v>
      </c>
      <c r="G125" s="16">
        <v>2401.63</v>
      </c>
      <c r="H125" s="16">
        <v>2282.5</v>
      </c>
      <c r="I125" s="16">
        <v>119.13</v>
      </c>
      <c r="J125" s="17">
        <v>5.22</v>
      </c>
      <c r="K125" s="18">
        <v>1</v>
      </c>
      <c r="L125" s="18">
        <f>1/12</f>
        <v>8.3333333333333329E-2</v>
      </c>
      <c r="M125" s="19">
        <f t="shared" si="4"/>
        <v>44.666666666666664</v>
      </c>
      <c r="N125" s="44">
        <f t="shared" si="5"/>
        <v>89.333333333333329</v>
      </c>
      <c r="O125" s="44">
        <f t="shared" si="6"/>
        <v>536</v>
      </c>
      <c r="P125" s="22">
        <f t="shared" si="7"/>
        <v>580.66666666666663</v>
      </c>
    </row>
    <row r="126" spans="1:16" x14ac:dyDescent="0.3">
      <c r="A126" s="40">
        <v>125</v>
      </c>
      <c r="C126" s="21">
        <v>1039</v>
      </c>
      <c r="D126" s="15" t="s">
        <v>114</v>
      </c>
      <c r="E126" s="15">
        <f>5488+4382</f>
        <v>9870</v>
      </c>
      <c r="F126" s="35" t="s">
        <v>9</v>
      </c>
      <c r="G126" s="16">
        <v>2380.06</v>
      </c>
      <c r="H126" s="16">
        <v>2744</v>
      </c>
      <c r="I126" s="16">
        <v>-363.94</v>
      </c>
      <c r="J126" s="17">
        <v>-13.26</v>
      </c>
      <c r="K126" s="18">
        <v>1</v>
      </c>
      <c r="L126" s="18">
        <f>1/4</f>
        <v>0.25</v>
      </c>
      <c r="M126" s="19">
        <f t="shared" si="4"/>
        <v>822.5</v>
      </c>
      <c r="N126" s="44">
        <f t="shared" si="5"/>
        <v>1645</v>
      </c>
      <c r="O126" s="44">
        <f t="shared" si="6"/>
        <v>3290</v>
      </c>
      <c r="P126" s="22">
        <f t="shared" si="7"/>
        <v>4112.5</v>
      </c>
    </row>
    <row r="127" spans="1:16" x14ac:dyDescent="0.3">
      <c r="A127" s="40">
        <v>126</v>
      </c>
      <c r="C127" s="47">
        <v>402</v>
      </c>
      <c r="D127" s="15" t="s">
        <v>60</v>
      </c>
      <c r="E127" s="15">
        <v>4</v>
      </c>
      <c r="F127" s="35" t="s">
        <v>9</v>
      </c>
      <c r="G127" s="16">
        <v>2354.59</v>
      </c>
      <c r="H127" s="16">
        <v>0</v>
      </c>
      <c r="I127" s="16">
        <v>2354.59</v>
      </c>
      <c r="J127" s="17">
        <v>100</v>
      </c>
      <c r="K127" s="18">
        <f>20/30</f>
        <v>0.66666666666666663</v>
      </c>
      <c r="L127" s="18">
        <f>1/7</f>
        <v>0.14285714285714285</v>
      </c>
      <c r="M127" s="19">
        <f t="shared" si="4"/>
        <v>0.22222222222222221</v>
      </c>
      <c r="N127" s="44">
        <f t="shared" si="5"/>
        <v>0.44444444444444442</v>
      </c>
      <c r="O127" s="44">
        <f t="shared" si="6"/>
        <v>2.3333333333333335</v>
      </c>
      <c r="P127" s="22">
        <f t="shared" si="7"/>
        <v>2.5555555555555558</v>
      </c>
    </row>
    <row r="128" spans="1:16" x14ac:dyDescent="0.3">
      <c r="A128" s="40">
        <v>127</v>
      </c>
      <c r="C128" s="21">
        <v>519</v>
      </c>
      <c r="D128" s="15" t="s">
        <v>460</v>
      </c>
      <c r="E128" s="17">
        <f>159.12+63.24</f>
        <v>222.36</v>
      </c>
      <c r="F128" s="35" t="s">
        <v>12</v>
      </c>
      <c r="G128" s="16">
        <v>2344.31</v>
      </c>
      <c r="H128" s="16">
        <v>0</v>
      </c>
      <c r="I128" s="16">
        <v>2344.31</v>
      </c>
      <c r="J128" s="17">
        <v>100</v>
      </c>
      <c r="K128" s="18">
        <v>1</v>
      </c>
      <c r="L128" s="18">
        <f>1/6</f>
        <v>0.16666666666666666</v>
      </c>
      <c r="M128" s="19">
        <f t="shared" si="4"/>
        <v>18.53</v>
      </c>
      <c r="N128" s="44">
        <f t="shared" si="5"/>
        <v>37.06</v>
      </c>
      <c r="O128" s="44">
        <f t="shared" si="6"/>
        <v>111.18</v>
      </c>
      <c r="P128" s="22">
        <f t="shared" si="7"/>
        <v>129.71</v>
      </c>
    </row>
    <row r="129" spans="1:16" x14ac:dyDescent="0.3">
      <c r="A129" s="40">
        <v>128</v>
      </c>
      <c r="C129" s="21">
        <v>260</v>
      </c>
      <c r="D129" s="15" t="s">
        <v>243</v>
      </c>
      <c r="E129" s="15">
        <f>2+2+1</f>
        <v>5</v>
      </c>
      <c r="F129" s="35" t="s">
        <v>9</v>
      </c>
      <c r="G129" s="16">
        <v>2282</v>
      </c>
      <c r="H129" s="16">
        <v>0</v>
      </c>
      <c r="I129" s="16">
        <v>2282</v>
      </c>
      <c r="J129" s="17">
        <v>100</v>
      </c>
      <c r="K129" s="18">
        <f>15/30</f>
        <v>0.5</v>
      </c>
      <c r="L129" s="18">
        <f>1/3</f>
        <v>0.33333333333333331</v>
      </c>
      <c r="M129" s="19">
        <f t="shared" si="4"/>
        <v>0.20833333333333334</v>
      </c>
      <c r="N129" s="44">
        <f t="shared" si="5"/>
        <v>0.41666666666666669</v>
      </c>
      <c r="O129" s="44">
        <f t="shared" si="6"/>
        <v>1.2500000000000002</v>
      </c>
      <c r="P129" s="22">
        <f t="shared" si="7"/>
        <v>1.4583333333333335</v>
      </c>
    </row>
    <row r="130" spans="1:16" x14ac:dyDescent="0.3">
      <c r="A130" s="40">
        <v>129</v>
      </c>
      <c r="C130" s="21">
        <v>512</v>
      </c>
      <c r="D130" s="15" t="s">
        <v>461</v>
      </c>
      <c r="E130" s="17">
        <f>118.32+99.44</f>
        <v>217.76</v>
      </c>
      <c r="F130" s="35" t="s">
        <v>12</v>
      </c>
      <c r="G130" s="16">
        <v>2212.58</v>
      </c>
      <c r="H130" s="16">
        <v>0</v>
      </c>
      <c r="I130" s="16">
        <v>2212.58</v>
      </c>
      <c r="J130" s="17">
        <v>100</v>
      </c>
      <c r="K130" s="18">
        <v>1</v>
      </c>
      <c r="L130" s="18">
        <f>1/6</f>
        <v>0.16666666666666666</v>
      </c>
      <c r="M130" s="19">
        <f t="shared" ref="M130:M193" si="8">(E130/12)*K130</f>
        <v>18.146666666666665</v>
      </c>
      <c r="N130" s="44">
        <f t="shared" ref="N130:N193" si="9">((E130/12)*K130)+M130</f>
        <v>36.293333333333329</v>
      </c>
      <c r="O130" s="44">
        <f t="shared" ref="O130:O193" si="10">(E130/12)/L130</f>
        <v>108.88</v>
      </c>
      <c r="P130" s="22">
        <f t="shared" ref="P130:P193" si="11">O130+M130</f>
        <v>127.02666666666666</v>
      </c>
    </row>
    <row r="131" spans="1:16" x14ac:dyDescent="0.3">
      <c r="A131" s="40">
        <v>130</v>
      </c>
      <c r="C131" s="21">
        <v>166</v>
      </c>
      <c r="D131" s="15" t="s">
        <v>307</v>
      </c>
      <c r="E131" s="15">
        <f>95+75+55</f>
        <v>225</v>
      </c>
      <c r="F131" s="35" t="s">
        <v>9</v>
      </c>
      <c r="G131" s="16">
        <v>2210.11</v>
      </c>
      <c r="H131" s="16">
        <v>1154.7</v>
      </c>
      <c r="I131" s="16">
        <v>1055.4100000000001</v>
      </c>
      <c r="J131" s="17">
        <v>91.4</v>
      </c>
      <c r="K131" s="18">
        <f>25/30</f>
        <v>0.83333333333333337</v>
      </c>
      <c r="L131" s="18">
        <f>1/4</f>
        <v>0.25</v>
      </c>
      <c r="M131" s="19">
        <f t="shared" si="8"/>
        <v>15.625</v>
      </c>
      <c r="N131" s="44">
        <f t="shared" si="9"/>
        <v>31.25</v>
      </c>
      <c r="O131" s="44">
        <f t="shared" si="10"/>
        <v>75</v>
      </c>
      <c r="P131" s="22">
        <f t="shared" si="11"/>
        <v>90.625</v>
      </c>
    </row>
    <row r="132" spans="1:16" x14ac:dyDescent="0.3">
      <c r="A132" s="40">
        <v>131</v>
      </c>
      <c r="C132" s="21">
        <v>1602</v>
      </c>
      <c r="D132" s="15" t="s">
        <v>107</v>
      </c>
      <c r="E132" s="15">
        <f>63+27</f>
        <v>90</v>
      </c>
      <c r="F132" s="35" t="s">
        <v>9</v>
      </c>
      <c r="G132" s="16">
        <v>2208.0300000000002</v>
      </c>
      <c r="H132" s="16">
        <v>1573.48</v>
      </c>
      <c r="I132" s="16">
        <v>634.54999999999995</v>
      </c>
      <c r="J132" s="17">
        <v>40.33</v>
      </c>
      <c r="K132" s="18">
        <f>25/30</f>
        <v>0.83333333333333337</v>
      </c>
      <c r="L132" s="18">
        <f>1/4</f>
        <v>0.25</v>
      </c>
      <c r="M132" s="19">
        <f t="shared" si="8"/>
        <v>6.25</v>
      </c>
      <c r="N132" s="44">
        <f t="shared" si="9"/>
        <v>12.5</v>
      </c>
      <c r="O132" s="44">
        <f t="shared" si="10"/>
        <v>30</v>
      </c>
      <c r="P132" s="22">
        <f t="shared" si="11"/>
        <v>36.25</v>
      </c>
    </row>
    <row r="133" spans="1:16" x14ac:dyDescent="0.3">
      <c r="A133" s="40">
        <v>132</v>
      </c>
      <c r="C133" s="21">
        <v>521</v>
      </c>
      <c r="D133" s="15" t="s">
        <v>462</v>
      </c>
      <c r="E133" s="17">
        <f>142.16+85.68</f>
        <v>227.84</v>
      </c>
      <c r="F133" s="35" t="s">
        <v>12</v>
      </c>
      <c r="G133" s="16">
        <v>2206.1</v>
      </c>
      <c r="H133" s="16">
        <v>0</v>
      </c>
      <c r="I133" s="16">
        <v>2206.1</v>
      </c>
      <c r="J133" s="17">
        <v>100</v>
      </c>
      <c r="K133" s="18">
        <v>1</v>
      </c>
      <c r="L133" s="18">
        <f>1/6</f>
        <v>0.16666666666666666</v>
      </c>
      <c r="M133" s="19">
        <f t="shared" si="8"/>
        <v>18.986666666666668</v>
      </c>
      <c r="N133" s="44">
        <f t="shared" si="9"/>
        <v>37.973333333333336</v>
      </c>
      <c r="O133" s="44">
        <f t="shared" si="10"/>
        <v>113.92000000000002</v>
      </c>
      <c r="P133" s="22">
        <f t="shared" si="11"/>
        <v>132.90666666666669</v>
      </c>
    </row>
    <row r="134" spans="1:16" x14ac:dyDescent="0.3">
      <c r="A134" s="40">
        <v>133</v>
      </c>
      <c r="C134" s="21">
        <v>524</v>
      </c>
      <c r="D134" s="15" t="s">
        <v>463</v>
      </c>
      <c r="E134" s="17">
        <v>117.5</v>
      </c>
      <c r="F134" s="35" t="s">
        <v>12</v>
      </c>
      <c r="G134" s="16">
        <v>2186.58</v>
      </c>
      <c r="H134" s="16">
        <v>0</v>
      </c>
      <c r="I134" s="16">
        <v>2186.58</v>
      </c>
      <c r="J134" s="17">
        <v>100</v>
      </c>
      <c r="K134" s="18">
        <v>1</v>
      </c>
      <c r="L134" s="18">
        <f>1/6</f>
        <v>0.16666666666666666</v>
      </c>
      <c r="M134" s="19">
        <f t="shared" si="8"/>
        <v>9.7916666666666661</v>
      </c>
      <c r="N134" s="44">
        <f t="shared" si="9"/>
        <v>19.583333333333332</v>
      </c>
      <c r="O134" s="44">
        <f t="shared" si="10"/>
        <v>58.75</v>
      </c>
      <c r="P134" s="22">
        <f t="shared" si="11"/>
        <v>68.541666666666671</v>
      </c>
    </row>
    <row r="135" spans="1:16" x14ac:dyDescent="0.3">
      <c r="A135" s="40">
        <v>134</v>
      </c>
      <c r="C135" s="47">
        <v>343</v>
      </c>
      <c r="D135" s="15" t="s">
        <v>103</v>
      </c>
      <c r="E135" s="15">
        <v>268</v>
      </c>
      <c r="F135" s="35" t="s">
        <v>22</v>
      </c>
      <c r="G135" s="16">
        <v>2172.6799999999998</v>
      </c>
      <c r="H135" s="16">
        <v>2144</v>
      </c>
      <c r="I135" s="16">
        <v>28.68</v>
      </c>
      <c r="J135" s="17">
        <v>1.34</v>
      </c>
      <c r="K135" s="18">
        <f>20/30</f>
        <v>0.66666666666666663</v>
      </c>
      <c r="L135" s="18">
        <f>1/5</f>
        <v>0.2</v>
      </c>
      <c r="M135" s="19">
        <f t="shared" si="8"/>
        <v>14.888888888888888</v>
      </c>
      <c r="N135" s="44">
        <f t="shared" si="9"/>
        <v>29.777777777777775</v>
      </c>
      <c r="O135" s="44">
        <f t="shared" si="10"/>
        <v>111.66666666666666</v>
      </c>
      <c r="P135" s="22">
        <f t="shared" si="11"/>
        <v>126.55555555555554</v>
      </c>
    </row>
    <row r="136" spans="1:16" x14ac:dyDescent="0.3">
      <c r="A136" s="40">
        <v>135</v>
      </c>
      <c r="C136" s="47">
        <v>569</v>
      </c>
      <c r="D136" s="49" t="s">
        <v>248</v>
      </c>
      <c r="E136" s="15">
        <f>4+2</f>
        <v>6</v>
      </c>
      <c r="F136" s="35" t="s">
        <v>9</v>
      </c>
      <c r="G136" s="16">
        <v>2170.02</v>
      </c>
      <c r="H136" s="16">
        <v>2500</v>
      </c>
      <c r="I136" s="16">
        <v>-329.98</v>
      </c>
      <c r="J136" s="17">
        <v>-13.2</v>
      </c>
      <c r="K136" s="18">
        <v>1</v>
      </c>
      <c r="L136" s="18">
        <f>1/12</f>
        <v>8.3333333333333329E-2</v>
      </c>
      <c r="M136" s="19">
        <f t="shared" si="8"/>
        <v>0.5</v>
      </c>
      <c r="N136" s="44">
        <f t="shared" si="9"/>
        <v>1</v>
      </c>
      <c r="O136" s="44">
        <f t="shared" si="10"/>
        <v>6</v>
      </c>
      <c r="P136" s="22">
        <f t="shared" si="11"/>
        <v>6.5</v>
      </c>
    </row>
    <row r="137" spans="1:16" x14ac:dyDescent="0.3">
      <c r="A137" s="40">
        <v>136</v>
      </c>
      <c r="C137" s="21">
        <v>456</v>
      </c>
      <c r="D137" s="15" t="s">
        <v>214</v>
      </c>
      <c r="E137" s="15">
        <v>901</v>
      </c>
      <c r="F137" s="35" t="s">
        <v>9</v>
      </c>
      <c r="G137" s="16">
        <v>2169.3000000000002</v>
      </c>
      <c r="H137" s="16">
        <v>1741.58</v>
      </c>
      <c r="I137" s="16">
        <v>427.72</v>
      </c>
      <c r="J137" s="17">
        <v>24.56</v>
      </c>
      <c r="K137" s="18">
        <v>1</v>
      </c>
      <c r="L137" s="18">
        <f>1/12</f>
        <v>8.3333333333333329E-2</v>
      </c>
      <c r="M137" s="19">
        <f t="shared" si="8"/>
        <v>75.083333333333329</v>
      </c>
      <c r="N137" s="44">
        <f t="shared" si="9"/>
        <v>150.16666666666666</v>
      </c>
      <c r="O137" s="44">
        <f t="shared" si="10"/>
        <v>901</v>
      </c>
      <c r="P137" s="22">
        <f t="shared" si="11"/>
        <v>976.08333333333337</v>
      </c>
    </row>
    <row r="138" spans="1:16" x14ac:dyDescent="0.3">
      <c r="A138" s="40">
        <v>137</v>
      </c>
      <c r="C138" s="47">
        <v>699</v>
      </c>
      <c r="D138" s="15" t="s">
        <v>117</v>
      </c>
      <c r="E138" s="17">
        <f>341.52+241.35</f>
        <v>582.87</v>
      </c>
      <c r="F138" s="35" t="s">
        <v>16</v>
      </c>
      <c r="G138" s="16">
        <v>2158.15</v>
      </c>
      <c r="H138" s="16">
        <v>2254.0300000000002</v>
      </c>
      <c r="I138" s="16">
        <v>-95.88</v>
      </c>
      <c r="J138" s="17">
        <v>-4.25</v>
      </c>
      <c r="K138" s="18">
        <v>1</v>
      </c>
      <c r="L138" s="18">
        <f>1/4</f>
        <v>0.25</v>
      </c>
      <c r="M138" s="19">
        <f t="shared" si="8"/>
        <v>48.572499999999998</v>
      </c>
      <c r="N138" s="44">
        <f t="shared" si="9"/>
        <v>97.144999999999996</v>
      </c>
      <c r="O138" s="44">
        <f t="shared" si="10"/>
        <v>194.29</v>
      </c>
      <c r="P138" s="22">
        <f t="shared" si="11"/>
        <v>242.86249999999998</v>
      </c>
    </row>
    <row r="139" spans="1:16" x14ac:dyDescent="0.3">
      <c r="A139" s="40">
        <v>138</v>
      </c>
      <c r="C139" s="21">
        <v>259</v>
      </c>
      <c r="D139" s="15" t="s">
        <v>464</v>
      </c>
      <c r="E139" s="15">
        <f>2+2+1+1</f>
        <v>6</v>
      </c>
      <c r="F139" s="35" t="s">
        <v>9</v>
      </c>
      <c r="G139" s="16">
        <v>2147.8200000000002</v>
      </c>
      <c r="H139" s="16">
        <v>1507.58</v>
      </c>
      <c r="I139" s="16">
        <v>640.24</v>
      </c>
      <c r="J139" s="17">
        <v>42.47</v>
      </c>
      <c r="K139" s="18">
        <f>15/30</f>
        <v>0.5</v>
      </c>
      <c r="L139" s="18">
        <f>1/3</f>
        <v>0.33333333333333331</v>
      </c>
      <c r="M139" s="19">
        <f t="shared" si="8"/>
        <v>0.25</v>
      </c>
      <c r="N139" s="44">
        <f t="shared" si="9"/>
        <v>0.5</v>
      </c>
      <c r="O139" s="44">
        <f t="shared" si="10"/>
        <v>1.5</v>
      </c>
      <c r="P139" s="22">
        <f t="shared" si="11"/>
        <v>1.75</v>
      </c>
    </row>
    <row r="140" spans="1:16" x14ac:dyDescent="0.3">
      <c r="A140" s="40">
        <v>139</v>
      </c>
      <c r="C140" s="21">
        <v>2063</v>
      </c>
      <c r="D140" s="15" t="s">
        <v>44</v>
      </c>
      <c r="E140" s="15">
        <v>7</v>
      </c>
      <c r="F140" s="35" t="s">
        <v>9</v>
      </c>
      <c r="G140" s="16">
        <v>2138</v>
      </c>
      <c r="H140" s="16">
        <v>2086</v>
      </c>
      <c r="I140" s="16">
        <v>52</v>
      </c>
      <c r="J140" s="17">
        <v>2.4900000000000002</v>
      </c>
      <c r="K140" s="18">
        <f>20/30</f>
        <v>0.66666666666666663</v>
      </c>
      <c r="L140" s="18">
        <f>1/4</f>
        <v>0.25</v>
      </c>
      <c r="M140" s="19">
        <f t="shared" si="8"/>
        <v>0.3888888888888889</v>
      </c>
      <c r="N140" s="44">
        <f t="shared" si="9"/>
        <v>0.77777777777777779</v>
      </c>
      <c r="O140" s="44">
        <f t="shared" si="10"/>
        <v>2.3333333333333335</v>
      </c>
      <c r="P140" s="22">
        <f t="shared" si="11"/>
        <v>2.7222222222222223</v>
      </c>
    </row>
    <row r="141" spans="1:16" x14ac:dyDescent="0.3">
      <c r="A141" s="40">
        <v>140</v>
      </c>
      <c r="C141" s="21">
        <v>857</v>
      </c>
      <c r="D141" s="15" t="s">
        <v>208</v>
      </c>
      <c r="E141" s="15">
        <v>155</v>
      </c>
      <c r="F141" s="35" t="s">
        <v>9</v>
      </c>
      <c r="G141" s="16">
        <v>2126.56</v>
      </c>
      <c r="H141" s="16">
        <v>1937.5</v>
      </c>
      <c r="I141" s="16">
        <v>189.06</v>
      </c>
      <c r="J141" s="17">
        <v>9.76</v>
      </c>
      <c r="K141" s="18">
        <v>1</v>
      </c>
      <c r="L141" s="18">
        <f>1/4</f>
        <v>0.25</v>
      </c>
      <c r="M141" s="19">
        <f t="shared" si="8"/>
        <v>12.916666666666666</v>
      </c>
      <c r="N141" s="44">
        <f t="shared" si="9"/>
        <v>25.833333333333332</v>
      </c>
      <c r="O141" s="44">
        <f t="shared" si="10"/>
        <v>51.666666666666664</v>
      </c>
      <c r="P141" s="22">
        <f t="shared" si="11"/>
        <v>64.583333333333329</v>
      </c>
    </row>
    <row r="142" spans="1:16" x14ac:dyDescent="0.3">
      <c r="A142" s="40">
        <v>141</v>
      </c>
      <c r="C142" s="21">
        <v>2200</v>
      </c>
      <c r="D142" s="15" t="s">
        <v>306</v>
      </c>
      <c r="E142" s="15">
        <v>185</v>
      </c>
      <c r="F142" s="35" t="s">
        <v>9</v>
      </c>
      <c r="G142" s="16">
        <v>2113.0500000000002</v>
      </c>
      <c r="H142" s="16">
        <v>1421.96</v>
      </c>
      <c r="I142" s="16">
        <v>691.09</v>
      </c>
      <c r="J142" s="17">
        <v>48.6</v>
      </c>
      <c r="K142" s="18">
        <f>15/30</f>
        <v>0.5</v>
      </c>
      <c r="L142" s="18">
        <f>1/3</f>
        <v>0.33333333333333331</v>
      </c>
      <c r="M142" s="19">
        <f t="shared" si="8"/>
        <v>7.708333333333333</v>
      </c>
      <c r="N142" s="44">
        <f t="shared" si="9"/>
        <v>15.416666666666666</v>
      </c>
      <c r="O142" s="44">
        <f t="shared" si="10"/>
        <v>46.25</v>
      </c>
      <c r="P142" s="22">
        <f t="shared" si="11"/>
        <v>53.958333333333336</v>
      </c>
    </row>
    <row r="143" spans="1:16" x14ac:dyDescent="0.3">
      <c r="A143" s="40">
        <v>142</v>
      </c>
      <c r="C143" s="21">
        <v>1945</v>
      </c>
      <c r="D143" s="15" t="s">
        <v>465</v>
      </c>
      <c r="E143" s="15">
        <v>16</v>
      </c>
      <c r="F143" s="35" t="s">
        <v>9</v>
      </c>
      <c r="G143" s="16">
        <v>2102.5</v>
      </c>
      <c r="H143" s="16">
        <v>2080</v>
      </c>
      <c r="I143" s="16">
        <v>22.5</v>
      </c>
      <c r="J143" s="17">
        <v>1.08</v>
      </c>
      <c r="K143" s="18">
        <f>15/30</f>
        <v>0.5</v>
      </c>
      <c r="L143" s="18">
        <f>1/6</f>
        <v>0.16666666666666666</v>
      </c>
      <c r="M143" s="19">
        <f t="shared" si="8"/>
        <v>0.66666666666666663</v>
      </c>
      <c r="N143" s="44">
        <f t="shared" si="9"/>
        <v>1.3333333333333333</v>
      </c>
      <c r="O143" s="44">
        <f t="shared" si="10"/>
        <v>8</v>
      </c>
      <c r="P143" s="22">
        <f t="shared" si="11"/>
        <v>8.6666666666666661</v>
      </c>
    </row>
    <row r="144" spans="1:16" x14ac:dyDescent="0.3">
      <c r="A144" s="40">
        <v>143</v>
      </c>
      <c r="C144" s="21">
        <v>356</v>
      </c>
      <c r="D144" s="15" t="s">
        <v>69</v>
      </c>
      <c r="E144" s="17">
        <f>101.05+100.55+53.85</f>
        <v>255.45</v>
      </c>
      <c r="F144" s="35" t="s">
        <v>16</v>
      </c>
      <c r="G144" s="16">
        <v>2092.54</v>
      </c>
      <c r="H144" s="16">
        <v>1899.74</v>
      </c>
      <c r="I144" s="16">
        <v>192.8</v>
      </c>
      <c r="J144" s="17">
        <v>10.15</v>
      </c>
      <c r="K144" s="18">
        <v>1</v>
      </c>
      <c r="L144" s="18">
        <f>1/5</f>
        <v>0.2</v>
      </c>
      <c r="M144" s="19">
        <f t="shared" si="8"/>
        <v>21.287499999999998</v>
      </c>
      <c r="N144" s="44">
        <f t="shared" si="9"/>
        <v>42.574999999999996</v>
      </c>
      <c r="O144" s="44">
        <f t="shared" si="10"/>
        <v>106.43749999999999</v>
      </c>
      <c r="P144" s="22">
        <f t="shared" si="11"/>
        <v>127.72499999999998</v>
      </c>
    </row>
    <row r="145" spans="1:16" x14ac:dyDescent="0.3">
      <c r="A145" s="40">
        <v>144</v>
      </c>
      <c r="C145" s="21">
        <v>358</v>
      </c>
      <c r="D145" s="15" t="s">
        <v>466</v>
      </c>
      <c r="E145" s="17">
        <v>224.7</v>
      </c>
      <c r="F145" s="35" t="s">
        <v>16</v>
      </c>
      <c r="G145" s="16">
        <v>2072.65</v>
      </c>
      <c r="H145" s="16">
        <v>1921.71</v>
      </c>
      <c r="I145" s="16">
        <v>150.94</v>
      </c>
      <c r="J145" s="17">
        <v>7.85</v>
      </c>
      <c r="K145" s="18">
        <v>1</v>
      </c>
      <c r="L145" s="18">
        <f>1/5</f>
        <v>0.2</v>
      </c>
      <c r="M145" s="19">
        <f t="shared" si="8"/>
        <v>18.724999999999998</v>
      </c>
      <c r="N145" s="44">
        <f t="shared" si="9"/>
        <v>37.449999999999996</v>
      </c>
      <c r="O145" s="44">
        <f t="shared" si="10"/>
        <v>93.624999999999986</v>
      </c>
      <c r="P145" s="22">
        <f t="shared" si="11"/>
        <v>112.34999999999998</v>
      </c>
    </row>
    <row r="146" spans="1:16" x14ac:dyDescent="0.3">
      <c r="A146" s="40">
        <v>145</v>
      </c>
      <c r="C146" s="47">
        <v>346</v>
      </c>
      <c r="D146" s="15" t="s">
        <v>467</v>
      </c>
      <c r="E146" s="15">
        <v>359</v>
      </c>
      <c r="F146" s="35" t="s">
        <v>12</v>
      </c>
      <c r="G146" s="16">
        <v>2065.02</v>
      </c>
      <c r="H146" s="16">
        <v>1906.26</v>
      </c>
      <c r="I146" s="16">
        <v>158.76</v>
      </c>
      <c r="J146" s="17">
        <v>8.33</v>
      </c>
      <c r="K146" s="18">
        <f>15/30</f>
        <v>0.5</v>
      </c>
      <c r="L146" s="18">
        <f>1/5</f>
        <v>0.2</v>
      </c>
      <c r="M146" s="19">
        <f t="shared" si="8"/>
        <v>14.958333333333334</v>
      </c>
      <c r="N146" s="44">
        <f t="shared" si="9"/>
        <v>29.916666666666668</v>
      </c>
      <c r="O146" s="44">
        <f t="shared" si="10"/>
        <v>149.58333333333334</v>
      </c>
      <c r="P146" s="22">
        <f t="shared" si="11"/>
        <v>164.54166666666669</v>
      </c>
    </row>
    <row r="147" spans="1:16" x14ac:dyDescent="0.3">
      <c r="A147" s="40">
        <v>146</v>
      </c>
      <c r="C147" s="21">
        <v>550</v>
      </c>
      <c r="D147" s="15" t="s">
        <v>468</v>
      </c>
      <c r="E147" s="17">
        <v>1653.6</v>
      </c>
      <c r="F147" s="35" t="s">
        <v>12</v>
      </c>
      <c r="G147" s="16">
        <v>2055.27</v>
      </c>
      <c r="H147" s="16">
        <v>1984.32</v>
      </c>
      <c r="I147" s="16">
        <v>70.95</v>
      </c>
      <c r="J147" s="17">
        <v>3.58</v>
      </c>
      <c r="K147" s="18">
        <f>20/30</f>
        <v>0.66666666666666663</v>
      </c>
      <c r="L147" s="18">
        <f>1/4</f>
        <v>0.25</v>
      </c>
      <c r="M147" s="19">
        <f t="shared" si="8"/>
        <v>91.866666666666646</v>
      </c>
      <c r="N147" s="44">
        <f t="shared" si="9"/>
        <v>183.73333333333329</v>
      </c>
      <c r="O147" s="44">
        <f t="shared" si="10"/>
        <v>551.19999999999993</v>
      </c>
      <c r="P147" s="22">
        <f t="shared" si="11"/>
        <v>643.06666666666661</v>
      </c>
    </row>
    <row r="148" spans="1:16" x14ac:dyDescent="0.3">
      <c r="A148" s="40">
        <v>147</v>
      </c>
      <c r="C148" s="21">
        <v>4551</v>
      </c>
      <c r="D148" s="15" t="s">
        <v>386</v>
      </c>
      <c r="E148" s="15">
        <v>24</v>
      </c>
      <c r="F148" s="35" t="s">
        <v>9</v>
      </c>
      <c r="G148" s="16">
        <v>2037.7</v>
      </c>
      <c r="H148" s="16">
        <v>1598.82</v>
      </c>
      <c r="I148" s="16">
        <v>438.88</v>
      </c>
      <c r="J148" s="17">
        <v>27.45</v>
      </c>
      <c r="K148" s="18">
        <f>20/30</f>
        <v>0.66666666666666663</v>
      </c>
      <c r="L148" s="18">
        <f>1/6</f>
        <v>0.16666666666666666</v>
      </c>
      <c r="M148" s="19">
        <f t="shared" si="8"/>
        <v>1.3333333333333333</v>
      </c>
      <c r="N148" s="44">
        <f t="shared" si="9"/>
        <v>2.6666666666666665</v>
      </c>
      <c r="O148" s="44">
        <f t="shared" si="10"/>
        <v>12</v>
      </c>
      <c r="P148" s="22">
        <f t="shared" si="11"/>
        <v>13.333333333333334</v>
      </c>
    </row>
    <row r="149" spans="1:16" x14ac:dyDescent="0.3">
      <c r="A149" s="40">
        <v>148</v>
      </c>
      <c r="C149" s="21">
        <v>3769</v>
      </c>
      <c r="D149" s="15" t="s">
        <v>392</v>
      </c>
      <c r="E149" s="15">
        <v>12</v>
      </c>
      <c r="F149" s="35" t="s">
        <v>9</v>
      </c>
      <c r="G149" s="16">
        <v>2030.31</v>
      </c>
      <c r="H149" s="16">
        <v>1944</v>
      </c>
      <c r="I149" s="16">
        <v>86.31</v>
      </c>
      <c r="J149" s="17">
        <v>4.4400000000000004</v>
      </c>
      <c r="K149" s="18">
        <f>20/30</f>
        <v>0.66666666666666663</v>
      </c>
      <c r="L149" s="18">
        <f>1/12</f>
        <v>8.3333333333333329E-2</v>
      </c>
      <c r="M149" s="19">
        <f t="shared" si="8"/>
        <v>0.66666666666666663</v>
      </c>
      <c r="N149" s="44">
        <f t="shared" si="9"/>
        <v>1.3333333333333333</v>
      </c>
      <c r="O149" s="44">
        <f t="shared" si="10"/>
        <v>12</v>
      </c>
      <c r="P149" s="22">
        <f t="shared" si="11"/>
        <v>12.666666666666666</v>
      </c>
    </row>
    <row r="150" spans="1:16" x14ac:dyDescent="0.3">
      <c r="A150" s="40">
        <v>149</v>
      </c>
      <c r="C150" s="21">
        <v>654</v>
      </c>
      <c r="D150" s="15" t="s">
        <v>335</v>
      </c>
      <c r="E150" s="17">
        <v>136.74</v>
      </c>
      <c r="F150" s="35" t="s">
        <v>16</v>
      </c>
      <c r="G150" s="16">
        <v>2028</v>
      </c>
      <c r="H150" s="16">
        <v>2046.48</v>
      </c>
      <c r="I150" s="16">
        <v>-18.48</v>
      </c>
      <c r="J150" s="17">
        <v>-0.9</v>
      </c>
      <c r="K150" s="18">
        <f>20/30</f>
        <v>0.66666666666666663</v>
      </c>
      <c r="L150" s="18">
        <f>1/6</f>
        <v>0.16666666666666666</v>
      </c>
      <c r="M150" s="19">
        <f t="shared" si="8"/>
        <v>7.5966666666666676</v>
      </c>
      <c r="N150" s="44">
        <f t="shared" si="9"/>
        <v>15.193333333333335</v>
      </c>
      <c r="O150" s="44">
        <f t="shared" si="10"/>
        <v>68.370000000000019</v>
      </c>
      <c r="P150" s="22">
        <f t="shared" si="11"/>
        <v>75.966666666666683</v>
      </c>
    </row>
    <row r="151" spans="1:16" x14ac:dyDescent="0.3">
      <c r="A151" s="40">
        <v>150</v>
      </c>
      <c r="C151" s="21">
        <v>1578</v>
      </c>
      <c r="D151" s="15" t="s">
        <v>469</v>
      </c>
      <c r="E151" s="15">
        <v>119</v>
      </c>
      <c r="F151" s="35" t="s">
        <v>9</v>
      </c>
      <c r="G151" s="16">
        <v>2027.78</v>
      </c>
      <c r="H151" s="16">
        <v>1521.93</v>
      </c>
      <c r="I151" s="16">
        <v>505.85</v>
      </c>
      <c r="J151" s="17">
        <v>33.24</v>
      </c>
      <c r="K151" s="18">
        <v>1</v>
      </c>
      <c r="L151" s="18">
        <f>1/6</f>
        <v>0.16666666666666666</v>
      </c>
      <c r="M151" s="19">
        <f t="shared" si="8"/>
        <v>9.9166666666666661</v>
      </c>
      <c r="N151" s="44">
        <f t="shared" si="9"/>
        <v>19.833333333333332</v>
      </c>
      <c r="O151" s="44">
        <f t="shared" si="10"/>
        <v>59.5</v>
      </c>
      <c r="P151" s="22">
        <f t="shared" si="11"/>
        <v>69.416666666666671</v>
      </c>
    </row>
    <row r="152" spans="1:16" x14ac:dyDescent="0.3">
      <c r="A152" s="40">
        <v>151</v>
      </c>
      <c r="C152" s="21">
        <v>1390</v>
      </c>
      <c r="D152" s="15" t="s">
        <v>470</v>
      </c>
      <c r="E152" s="15">
        <v>47</v>
      </c>
      <c r="F152" s="35" t="s">
        <v>9</v>
      </c>
      <c r="G152" s="16">
        <v>2015.03</v>
      </c>
      <c r="H152" s="16">
        <v>1828.3</v>
      </c>
      <c r="I152" s="16">
        <v>186.73</v>
      </c>
      <c r="J152" s="17">
        <v>10.210000000000001</v>
      </c>
      <c r="K152" s="18">
        <v>1</v>
      </c>
      <c r="L152" s="18">
        <f>1/4</f>
        <v>0.25</v>
      </c>
      <c r="M152" s="19">
        <f t="shared" si="8"/>
        <v>3.9166666666666665</v>
      </c>
      <c r="N152" s="44">
        <f t="shared" si="9"/>
        <v>7.833333333333333</v>
      </c>
      <c r="O152" s="44">
        <f t="shared" si="10"/>
        <v>15.666666666666666</v>
      </c>
      <c r="P152" s="22">
        <f t="shared" si="11"/>
        <v>19.583333333333332</v>
      </c>
    </row>
    <row r="153" spans="1:16" x14ac:dyDescent="0.3">
      <c r="A153" s="40">
        <v>152</v>
      </c>
      <c r="C153" s="21">
        <v>1556</v>
      </c>
      <c r="D153" s="15" t="s">
        <v>471</v>
      </c>
      <c r="E153" s="15">
        <v>276</v>
      </c>
      <c r="F153" s="35" t="s">
        <v>9</v>
      </c>
      <c r="G153" s="16">
        <v>1984.33</v>
      </c>
      <c r="H153" s="16">
        <v>1710</v>
      </c>
      <c r="I153" s="16">
        <v>274.33</v>
      </c>
      <c r="J153" s="17">
        <v>16.04</v>
      </c>
      <c r="K153" s="18">
        <v>1</v>
      </c>
      <c r="L153" s="18">
        <f>1/4</f>
        <v>0.25</v>
      </c>
      <c r="M153" s="19">
        <f t="shared" si="8"/>
        <v>23</v>
      </c>
      <c r="N153" s="44">
        <f t="shared" si="9"/>
        <v>46</v>
      </c>
      <c r="O153" s="44">
        <f t="shared" si="10"/>
        <v>92</v>
      </c>
      <c r="P153" s="22">
        <f t="shared" si="11"/>
        <v>115</v>
      </c>
    </row>
    <row r="154" spans="1:16" x14ac:dyDescent="0.3">
      <c r="A154" s="40">
        <v>153</v>
      </c>
      <c r="C154" s="21">
        <v>319</v>
      </c>
      <c r="D154" s="15" t="s">
        <v>472</v>
      </c>
      <c r="E154" s="15">
        <v>28</v>
      </c>
      <c r="F154" s="35" t="s">
        <v>9</v>
      </c>
      <c r="G154" s="16">
        <v>1979.1</v>
      </c>
      <c r="H154" s="16">
        <v>2352</v>
      </c>
      <c r="I154" s="16">
        <v>-372.9</v>
      </c>
      <c r="J154" s="17">
        <v>-15.85</v>
      </c>
      <c r="K154" s="18">
        <v>1</v>
      </c>
      <c r="L154" s="18">
        <f>1/8</f>
        <v>0.125</v>
      </c>
      <c r="M154" s="19">
        <f t="shared" si="8"/>
        <v>2.3333333333333335</v>
      </c>
      <c r="N154" s="44">
        <f t="shared" si="9"/>
        <v>4.666666666666667</v>
      </c>
      <c r="O154" s="44">
        <f t="shared" si="10"/>
        <v>18.666666666666668</v>
      </c>
      <c r="P154" s="22">
        <f t="shared" si="11"/>
        <v>21</v>
      </c>
    </row>
    <row r="155" spans="1:16" x14ac:dyDescent="0.3">
      <c r="A155" s="40">
        <v>154</v>
      </c>
      <c r="C155" s="21">
        <v>528</v>
      </c>
      <c r="D155" s="15" t="s">
        <v>473</v>
      </c>
      <c r="E155" s="17">
        <v>128.52000000000001</v>
      </c>
      <c r="F155" s="35" t="s">
        <v>12</v>
      </c>
      <c r="G155" s="16">
        <v>1975.16</v>
      </c>
      <c r="H155" s="16">
        <v>0</v>
      </c>
      <c r="I155" s="16">
        <v>1975.16</v>
      </c>
      <c r="J155" s="17">
        <v>100</v>
      </c>
      <c r="K155" s="18">
        <v>1</v>
      </c>
      <c r="L155" s="18">
        <f>1/6</f>
        <v>0.16666666666666666</v>
      </c>
      <c r="M155" s="19">
        <f t="shared" si="8"/>
        <v>10.71</v>
      </c>
      <c r="N155" s="44">
        <f t="shared" si="9"/>
        <v>21.42</v>
      </c>
      <c r="O155" s="44">
        <f t="shared" si="10"/>
        <v>64.260000000000005</v>
      </c>
      <c r="P155" s="22">
        <f t="shared" si="11"/>
        <v>74.97</v>
      </c>
    </row>
    <row r="156" spans="1:16" x14ac:dyDescent="0.3">
      <c r="A156" s="40">
        <v>155</v>
      </c>
      <c r="C156" s="21">
        <v>537</v>
      </c>
      <c r="D156" s="15" t="s">
        <v>474</v>
      </c>
      <c r="E156" s="15">
        <f>11+6+6</f>
        <v>23</v>
      </c>
      <c r="F156" s="35" t="s">
        <v>9</v>
      </c>
      <c r="G156" s="16">
        <v>1974.42</v>
      </c>
      <c r="H156" s="16">
        <v>0</v>
      </c>
      <c r="I156" s="16">
        <v>1974.42</v>
      </c>
      <c r="J156" s="17">
        <v>100</v>
      </c>
      <c r="K156" s="18">
        <v>1</v>
      </c>
      <c r="L156" s="18">
        <f>1/4</f>
        <v>0.25</v>
      </c>
      <c r="M156" s="19">
        <f t="shared" si="8"/>
        <v>1.9166666666666667</v>
      </c>
      <c r="N156" s="44">
        <f t="shared" si="9"/>
        <v>3.8333333333333335</v>
      </c>
      <c r="O156" s="44">
        <f t="shared" si="10"/>
        <v>7.666666666666667</v>
      </c>
      <c r="P156" s="22">
        <f t="shared" si="11"/>
        <v>9.5833333333333339</v>
      </c>
    </row>
    <row r="157" spans="1:16" x14ac:dyDescent="0.3">
      <c r="A157" s="40">
        <v>156</v>
      </c>
      <c r="C157" s="21">
        <v>2216</v>
      </c>
      <c r="D157" s="15" t="s">
        <v>173</v>
      </c>
      <c r="E157" s="15">
        <f>58+57+34</f>
        <v>149</v>
      </c>
      <c r="F157" s="35" t="s">
        <v>9</v>
      </c>
      <c r="G157" s="16">
        <v>1959.57</v>
      </c>
      <c r="H157" s="16">
        <v>1450</v>
      </c>
      <c r="I157" s="16">
        <v>509.57</v>
      </c>
      <c r="J157" s="17">
        <v>35.14</v>
      </c>
      <c r="K157" s="18">
        <f>10/30</f>
        <v>0.33333333333333331</v>
      </c>
      <c r="L157" s="18">
        <f>1/3</f>
        <v>0.33333333333333331</v>
      </c>
      <c r="M157" s="19">
        <f t="shared" si="8"/>
        <v>4.1388888888888884</v>
      </c>
      <c r="N157" s="44">
        <f t="shared" si="9"/>
        <v>8.2777777777777768</v>
      </c>
      <c r="O157" s="44">
        <f t="shared" si="10"/>
        <v>37.25</v>
      </c>
      <c r="P157" s="22">
        <f t="shared" si="11"/>
        <v>41.388888888888886</v>
      </c>
    </row>
    <row r="158" spans="1:16" x14ac:dyDescent="0.3">
      <c r="A158" s="40">
        <v>157</v>
      </c>
      <c r="C158" s="21">
        <v>2103</v>
      </c>
      <c r="D158" s="15" t="s">
        <v>126</v>
      </c>
      <c r="E158" s="15">
        <v>61</v>
      </c>
      <c r="F158" s="35" t="s">
        <v>9</v>
      </c>
      <c r="G158" s="16">
        <v>1959.04</v>
      </c>
      <c r="H158" s="16">
        <v>1813.6</v>
      </c>
      <c r="I158" s="16">
        <v>145.44</v>
      </c>
      <c r="J158" s="17">
        <v>8.02</v>
      </c>
      <c r="K158" s="18">
        <v>1</v>
      </c>
      <c r="L158" s="18">
        <f>1/6</f>
        <v>0.16666666666666666</v>
      </c>
      <c r="M158" s="19">
        <f t="shared" si="8"/>
        <v>5.083333333333333</v>
      </c>
      <c r="N158" s="44">
        <f t="shared" si="9"/>
        <v>10.166666666666666</v>
      </c>
      <c r="O158" s="44">
        <f t="shared" si="10"/>
        <v>30.5</v>
      </c>
      <c r="P158" s="22">
        <f t="shared" si="11"/>
        <v>35.583333333333336</v>
      </c>
    </row>
    <row r="159" spans="1:16" x14ac:dyDescent="0.3">
      <c r="A159" s="40">
        <v>158</v>
      </c>
      <c r="C159" s="21">
        <v>1909</v>
      </c>
      <c r="D159" s="15" t="s">
        <v>120</v>
      </c>
      <c r="E159" s="15">
        <v>306</v>
      </c>
      <c r="F159" s="35" t="s">
        <v>9</v>
      </c>
      <c r="G159" s="16">
        <v>1949.79</v>
      </c>
      <c r="H159" s="16">
        <v>1508.94</v>
      </c>
      <c r="I159" s="16">
        <v>440.85</v>
      </c>
      <c r="J159" s="17">
        <v>29.22</v>
      </c>
      <c r="K159" s="18">
        <v>1</v>
      </c>
      <c r="L159" s="18">
        <f>1/3</f>
        <v>0.33333333333333331</v>
      </c>
      <c r="M159" s="19">
        <f t="shared" si="8"/>
        <v>25.5</v>
      </c>
      <c r="N159" s="44">
        <f t="shared" si="9"/>
        <v>51</v>
      </c>
      <c r="O159" s="44">
        <f t="shared" si="10"/>
        <v>76.5</v>
      </c>
      <c r="P159" s="22">
        <f t="shared" si="11"/>
        <v>102</v>
      </c>
    </row>
    <row r="160" spans="1:16" x14ac:dyDescent="0.3">
      <c r="A160" s="40">
        <v>159</v>
      </c>
      <c r="C160" s="21">
        <v>3198</v>
      </c>
      <c r="D160" s="15" t="s">
        <v>475</v>
      </c>
      <c r="E160" s="17">
        <f>170.24+100.41</f>
        <v>270.64999999999998</v>
      </c>
      <c r="F160" s="35" t="s">
        <v>16</v>
      </c>
      <c r="G160" s="16">
        <v>1948.68</v>
      </c>
      <c r="H160" s="16">
        <v>1391.44</v>
      </c>
      <c r="I160" s="16">
        <v>557.24</v>
      </c>
      <c r="J160" s="17">
        <v>40.049999999999997</v>
      </c>
      <c r="K160" s="18">
        <v>1</v>
      </c>
      <c r="L160" s="18">
        <f>1/5</f>
        <v>0.2</v>
      </c>
      <c r="M160" s="19">
        <f t="shared" si="8"/>
        <v>22.554166666666664</v>
      </c>
      <c r="N160" s="44">
        <f t="shared" si="9"/>
        <v>45.108333333333327</v>
      </c>
      <c r="O160" s="44">
        <f t="shared" si="10"/>
        <v>112.77083333333331</v>
      </c>
      <c r="P160" s="22">
        <f t="shared" si="11"/>
        <v>135.32499999999999</v>
      </c>
    </row>
    <row r="161" spans="1:16" x14ac:dyDescent="0.3">
      <c r="A161" s="40">
        <v>160</v>
      </c>
      <c r="C161" s="21">
        <v>535</v>
      </c>
      <c r="D161" s="15" t="s">
        <v>48</v>
      </c>
      <c r="E161" s="15">
        <v>225</v>
      </c>
      <c r="F161" s="35" t="s">
        <v>9</v>
      </c>
      <c r="G161" s="16">
        <v>1942.49</v>
      </c>
      <c r="H161" s="16">
        <v>2025</v>
      </c>
      <c r="I161" s="16">
        <v>-82.51</v>
      </c>
      <c r="J161" s="17">
        <v>-4.07</v>
      </c>
      <c r="K161" s="18">
        <f>25/30</f>
        <v>0.83333333333333337</v>
      </c>
      <c r="L161" s="18">
        <f>1/4</f>
        <v>0.25</v>
      </c>
      <c r="M161" s="19">
        <f t="shared" si="8"/>
        <v>15.625</v>
      </c>
      <c r="N161" s="44">
        <f t="shared" si="9"/>
        <v>31.25</v>
      </c>
      <c r="O161" s="44">
        <f t="shared" si="10"/>
        <v>75</v>
      </c>
      <c r="P161" s="22">
        <f t="shared" si="11"/>
        <v>90.625</v>
      </c>
    </row>
    <row r="162" spans="1:16" x14ac:dyDescent="0.3">
      <c r="A162" s="40">
        <v>161</v>
      </c>
      <c r="C162" s="21">
        <v>4260</v>
      </c>
      <c r="D162" s="15" t="s">
        <v>319</v>
      </c>
      <c r="E162" s="15">
        <v>135</v>
      </c>
      <c r="F162" s="35" t="s">
        <v>9</v>
      </c>
      <c r="G162" s="16">
        <v>1938.78</v>
      </c>
      <c r="H162" s="16">
        <v>1671.98</v>
      </c>
      <c r="I162" s="16">
        <v>266.8</v>
      </c>
      <c r="J162" s="17">
        <v>15.96</v>
      </c>
      <c r="K162" s="18">
        <v>1</v>
      </c>
      <c r="L162" s="18">
        <f>1/6</f>
        <v>0.16666666666666666</v>
      </c>
      <c r="M162" s="19">
        <f t="shared" si="8"/>
        <v>11.25</v>
      </c>
      <c r="N162" s="44">
        <f t="shared" si="9"/>
        <v>22.5</v>
      </c>
      <c r="O162" s="44">
        <f t="shared" si="10"/>
        <v>67.5</v>
      </c>
      <c r="P162" s="22">
        <f t="shared" si="11"/>
        <v>78.75</v>
      </c>
    </row>
    <row r="163" spans="1:16" x14ac:dyDescent="0.3">
      <c r="A163" s="40">
        <v>162</v>
      </c>
      <c r="C163" s="21">
        <v>511</v>
      </c>
      <c r="D163" s="15" t="s">
        <v>476</v>
      </c>
      <c r="E163" s="15">
        <v>104</v>
      </c>
      <c r="F163" s="35" t="s">
        <v>12</v>
      </c>
      <c r="G163" s="16">
        <v>1932.06</v>
      </c>
      <c r="H163" s="16">
        <v>0</v>
      </c>
      <c r="I163" s="16">
        <v>1932.06</v>
      </c>
      <c r="J163" s="17">
        <v>100</v>
      </c>
      <c r="K163" s="18">
        <v>1</v>
      </c>
      <c r="L163" s="18">
        <f>1/6</f>
        <v>0.16666666666666666</v>
      </c>
      <c r="M163" s="19">
        <f t="shared" si="8"/>
        <v>8.6666666666666661</v>
      </c>
      <c r="N163" s="44">
        <f t="shared" si="9"/>
        <v>17.333333333333332</v>
      </c>
      <c r="O163" s="44">
        <f t="shared" si="10"/>
        <v>52</v>
      </c>
      <c r="P163" s="22">
        <f t="shared" si="11"/>
        <v>60.666666666666664</v>
      </c>
    </row>
    <row r="164" spans="1:16" x14ac:dyDescent="0.3">
      <c r="A164" s="40">
        <v>163</v>
      </c>
      <c r="C164" s="21">
        <v>2999</v>
      </c>
      <c r="D164" s="15" t="s">
        <v>477</v>
      </c>
      <c r="E164" s="15">
        <v>499</v>
      </c>
      <c r="F164" s="35" t="s">
        <v>9</v>
      </c>
      <c r="G164" s="16">
        <v>1930</v>
      </c>
      <c r="H164" s="16">
        <v>1424.1</v>
      </c>
      <c r="I164" s="16">
        <v>505.9</v>
      </c>
      <c r="J164" s="17">
        <v>35.520000000000003</v>
      </c>
      <c r="K164" s="18">
        <f>15/30</f>
        <v>0.5</v>
      </c>
      <c r="L164" s="18">
        <f>1/3</f>
        <v>0.33333333333333331</v>
      </c>
      <c r="M164" s="19">
        <f t="shared" si="8"/>
        <v>20.791666666666668</v>
      </c>
      <c r="N164" s="44">
        <f t="shared" si="9"/>
        <v>41.583333333333336</v>
      </c>
      <c r="O164" s="44">
        <f t="shared" si="10"/>
        <v>124.75000000000001</v>
      </c>
      <c r="P164" s="22">
        <f t="shared" si="11"/>
        <v>145.54166666666669</v>
      </c>
    </row>
    <row r="165" spans="1:16" x14ac:dyDescent="0.3">
      <c r="A165" s="40">
        <v>164</v>
      </c>
      <c r="C165" s="21">
        <v>3680</v>
      </c>
      <c r="D165" s="15" t="s">
        <v>200</v>
      </c>
      <c r="E165" s="15">
        <v>301</v>
      </c>
      <c r="F165" s="35" t="s">
        <v>9</v>
      </c>
      <c r="G165" s="16">
        <v>1909.72</v>
      </c>
      <c r="H165" s="16">
        <v>1655.5</v>
      </c>
      <c r="I165" s="16">
        <v>254.22</v>
      </c>
      <c r="J165" s="17">
        <v>15.36</v>
      </c>
      <c r="K165" s="18">
        <v>1</v>
      </c>
      <c r="L165" s="18">
        <f>1/6</f>
        <v>0.16666666666666666</v>
      </c>
      <c r="M165" s="19">
        <f t="shared" si="8"/>
        <v>25.083333333333332</v>
      </c>
      <c r="N165" s="44">
        <f t="shared" si="9"/>
        <v>50.166666666666664</v>
      </c>
      <c r="O165" s="44">
        <f t="shared" si="10"/>
        <v>150.5</v>
      </c>
      <c r="P165" s="22">
        <f t="shared" si="11"/>
        <v>175.58333333333334</v>
      </c>
    </row>
    <row r="166" spans="1:16" x14ac:dyDescent="0.3">
      <c r="A166" s="40">
        <v>165</v>
      </c>
      <c r="C166" s="21">
        <v>3900</v>
      </c>
      <c r="D166" s="15" t="s">
        <v>95</v>
      </c>
      <c r="E166" s="15">
        <f>176+59</f>
        <v>235</v>
      </c>
      <c r="F166" s="35" t="s">
        <v>9</v>
      </c>
      <c r="G166" s="16">
        <v>1908.03</v>
      </c>
      <c r="H166" s="16">
        <v>1446.26</v>
      </c>
      <c r="I166" s="16">
        <v>461.77</v>
      </c>
      <c r="J166" s="17">
        <v>31.93</v>
      </c>
      <c r="K166" s="18">
        <f>25/30</f>
        <v>0.83333333333333337</v>
      </c>
      <c r="L166" s="18">
        <f>1/4</f>
        <v>0.25</v>
      </c>
      <c r="M166" s="19">
        <f t="shared" si="8"/>
        <v>16.319444444444443</v>
      </c>
      <c r="N166" s="44">
        <f t="shared" si="9"/>
        <v>32.638888888888886</v>
      </c>
      <c r="O166" s="44">
        <f t="shared" si="10"/>
        <v>78.333333333333329</v>
      </c>
      <c r="P166" s="22">
        <f t="shared" si="11"/>
        <v>94.652777777777771</v>
      </c>
    </row>
    <row r="167" spans="1:16" x14ac:dyDescent="0.3">
      <c r="A167" s="40">
        <v>166</v>
      </c>
      <c r="C167" s="21">
        <v>156</v>
      </c>
      <c r="D167" s="15" t="s">
        <v>478</v>
      </c>
      <c r="E167" s="17">
        <v>72.2</v>
      </c>
      <c r="F167" s="35" t="s">
        <v>12</v>
      </c>
      <c r="G167" s="16">
        <v>1903.94</v>
      </c>
      <c r="H167" s="16">
        <v>2010.77</v>
      </c>
      <c r="I167" s="16">
        <v>-106.83</v>
      </c>
      <c r="J167" s="17">
        <v>-5.31</v>
      </c>
      <c r="K167" s="18">
        <f>25/30</f>
        <v>0.83333333333333337</v>
      </c>
      <c r="L167" s="18">
        <f>1/6</f>
        <v>0.16666666666666666</v>
      </c>
      <c r="M167" s="19">
        <f t="shared" si="8"/>
        <v>5.0138888888888893</v>
      </c>
      <c r="N167" s="44">
        <f t="shared" si="9"/>
        <v>10.027777777777779</v>
      </c>
      <c r="O167" s="44">
        <f t="shared" si="10"/>
        <v>36.1</v>
      </c>
      <c r="P167" s="22">
        <f t="shared" si="11"/>
        <v>41.113888888888894</v>
      </c>
    </row>
    <row r="168" spans="1:16" x14ac:dyDescent="0.3">
      <c r="A168" s="40">
        <v>167</v>
      </c>
      <c r="C168" s="21">
        <v>4358</v>
      </c>
      <c r="D168" s="15" t="s">
        <v>94</v>
      </c>
      <c r="E168" s="15">
        <v>549</v>
      </c>
      <c r="F168" s="35" t="s">
        <v>9</v>
      </c>
      <c r="G168" s="16">
        <v>1900.55</v>
      </c>
      <c r="H168" s="16">
        <v>1746.66</v>
      </c>
      <c r="I168" s="16">
        <v>153.88999999999999</v>
      </c>
      <c r="J168" s="17">
        <v>8.81</v>
      </c>
      <c r="K168" s="18">
        <v>1</v>
      </c>
      <c r="L168" s="18">
        <f>1/3</f>
        <v>0.33333333333333331</v>
      </c>
      <c r="M168" s="19">
        <f t="shared" si="8"/>
        <v>45.75</v>
      </c>
      <c r="N168" s="44">
        <f t="shared" si="9"/>
        <v>91.5</v>
      </c>
      <c r="O168" s="44">
        <f t="shared" si="10"/>
        <v>137.25</v>
      </c>
      <c r="P168" s="22">
        <f t="shared" si="11"/>
        <v>183</v>
      </c>
    </row>
    <row r="169" spans="1:16" x14ac:dyDescent="0.3">
      <c r="A169" s="40">
        <v>168</v>
      </c>
      <c r="C169" s="21">
        <v>1228</v>
      </c>
      <c r="D169" s="15" t="s">
        <v>164</v>
      </c>
      <c r="E169" s="15">
        <v>8</v>
      </c>
      <c r="F169" s="35" t="s">
        <v>9</v>
      </c>
      <c r="G169" s="16">
        <v>1887.8</v>
      </c>
      <c r="H169" s="16">
        <v>1856</v>
      </c>
      <c r="I169" s="16">
        <v>31.8</v>
      </c>
      <c r="J169" s="17">
        <v>1.71</v>
      </c>
      <c r="K169" s="18">
        <v>1</v>
      </c>
      <c r="L169" s="18">
        <f>1/6</f>
        <v>0.16666666666666666</v>
      </c>
      <c r="M169" s="19">
        <f t="shared" si="8"/>
        <v>0.66666666666666663</v>
      </c>
      <c r="N169" s="44">
        <f t="shared" si="9"/>
        <v>1.3333333333333333</v>
      </c>
      <c r="O169" s="44">
        <f t="shared" si="10"/>
        <v>4</v>
      </c>
      <c r="P169" s="22">
        <f t="shared" si="11"/>
        <v>4.666666666666667</v>
      </c>
    </row>
    <row r="170" spans="1:16" x14ac:dyDescent="0.3">
      <c r="A170" s="40">
        <v>169</v>
      </c>
      <c r="C170" s="21">
        <v>4622</v>
      </c>
      <c r="D170" s="15" t="s">
        <v>152</v>
      </c>
      <c r="E170" s="15">
        <v>16</v>
      </c>
      <c r="F170" s="35" t="s">
        <v>9</v>
      </c>
      <c r="G170" s="16">
        <v>1883.96</v>
      </c>
      <c r="H170" s="16">
        <v>1755.88</v>
      </c>
      <c r="I170" s="16">
        <v>128.08000000000001</v>
      </c>
      <c r="J170" s="17">
        <v>7.29</v>
      </c>
      <c r="K170" s="18">
        <f>15/30</f>
        <v>0.5</v>
      </c>
      <c r="L170" s="18">
        <f>1/6</f>
        <v>0.16666666666666666</v>
      </c>
      <c r="M170" s="19">
        <f t="shared" si="8"/>
        <v>0.66666666666666663</v>
      </c>
      <c r="N170" s="44">
        <f t="shared" si="9"/>
        <v>1.3333333333333333</v>
      </c>
      <c r="O170" s="44">
        <f t="shared" si="10"/>
        <v>8</v>
      </c>
      <c r="P170" s="22">
        <f t="shared" si="11"/>
        <v>8.6666666666666661</v>
      </c>
    </row>
    <row r="171" spans="1:16" x14ac:dyDescent="0.3">
      <c r="A171" s="40">
        <v>170</v>
      </c>
      <c r="C171" s="48">
        <v>2528</v>
      </c>
      <c r="D171" s="49" t="s">
        <v>230</v>
      </c>
      <c r="E171" s="15">
        <f>2+15+22</f>
        <v>39</v>
      </c>
      <c r="F171" s="35" t="s">
        <v>9</v>
      </c>
      <c r="G171" s="16">
        <v>1877.2</v>
      </c>
      <c r="H171" s="16">
        <v>1608</v>
      </c>
      <c r="I171" s="16">
        <v>269.2</v>
      </c>
      <c r="J171" s="17">
        <v>16.739999999999998</v>
      </c>
      <c r="K171" s="18">
        <f>15/30</f>
        <v>0.5</v>
      </c>
      <c r="L171" s="18">
        <f>1/3</f>
        <v>0.33333333333333331</v>
      </c>
      <c r="M171" s="19">
        <f t="shared" si="8"/>
        <v>1.625</v>
      </c>
      <c r="N171" s="44">
        <f t="shared" si="9"/>
        <v>3.25</v>
      </c>
      <c r="O171" s="44">
        <f t="shared" si="10"/>
        <v>9.75</v>
      </c>
      <c r="P171" s="22">
        <f t="shared" si="11"/>
        <v>11.375</v>
      </c>
    </row>
    <row r="172" spans="1:16" x14ac:dyDescent="0.3">
      <c r="A172" s="40">
        <v>171</v>
      </c>
      <c r="C172" s="21">
        <v>3665</v>
      </c>
      <c r="D172" s="15" t="s">
        <v>479</v>
      </c>
      <c r="E172" s="15">
        <v>433</v>
      </c>
      <c r="F172" s="35" t="s">
        <v>9</v>
      </c>
      <c r="G172" s="16">
        <v>1877.1</v>
      </c>
      <c r="H172" s="16">
        <v>1515.5</v>
      </c>
      <c r="I172" s="16">
        <v>361.6</v>
      </c>
      <c r="J172" s="17">
        <v>23.86</v>
      </c>
      <c r="K172" s="18">
        <f>15/30</f>
        <v>0.5</v>
      </c>
      <c r="L172" s="18">
        <f>1/6</f>
        <v>0.16666666666666666</v>
      </c>
      <c r="M172" s="19">
        <f t="shared" si="8"/>
        <v>18.041666666666668</v>
      </c>
      <c r="N172" s="44">
        <f t="shared" si="9"/>
        <v>36.083333333333336</v>
      </c>
      <c r="O172" s="44">
        <f t="shared" si="10"/>
        <v>216.50000000000003</v>
      </c>
      <c r="P172" s="22">
        <f t="shared" si="11"/>
        <v>234.54166666666669</v>
      </c>
    </row>
    <row r="173" spans="1:16" x14ac:dyDescent="0.3">
      <c r="A173" s="40">
        <v>172</v>
      </c>
      <c r="C173" s="21">
        <v>326</v>
      </c>
      <c r="D173" s="15" t="s">
        <v>480</v>
      </c>
      <c r="E173" s="17">
        <v>165.2</v>
      </c>
      <c r="F173" s="35" t="s">
        <v>12</v>
      </c>
      <c r="G173" s="16">
        <v>1875.85</v>
      </c>
      <c r="H173" s="16">
        <v>725</v>
      </c>
      <c r="I173" s="16">
        <v>1150.8499999999999</v>
      </c>
      <c r="J173" s="17">
        <v>158.74</v>
      </c>
      <c r="K173" s="18">
        <f>15/30</f>
        <v>0.5</v>
      </c>
      <c r="L173" s="18">
        <f>1/3</f>
        <v>0.33333333333333331</v>
      </c>
      <c r="M173" s="19">
        <f t="shared" si="8"/>
        <v>6.8833333333333329</v>
      </c>
      <c r="N173" s="44">
        <f t="shared" si="9"/>
        <v>13.766666666666666</v>
      </c>
      <c r="O173" s="44">
        <f t="shared" si="10"/>
        <v>41.3</v>
      </c>
      <c r="P173" s="22">
        <f t="shared" si="11"/>
        <v>48.18333333333333</v>
      </c>
    </row>
    <row r="174" spans="1:16" x14ac:dyDescent="0.3">
      <c r="A174" s="40">
        <v>173</v>
      </c>
      <c r="C174" s="47">
        <v>162</v>
      </c>
      <c r="D174" s="15" t="s">
        <v>405</v>
      </c>
      <c r="E174" s="15">
        <f>11+11</f>
        <v>22</v>
      </c>
      <c r="F174" s="35" t="s">
        <v>9</v>
      </c>
      <c r="G174" s="16">
        <v>1858.04</v>
      </c>
      <c r="H174" s="16">
        <v>1149.6099999999999</v>
      </c>
      <c r="I174" s="16">
        <v>708.43</v>
      </c>
      <c r="J174" s="17">
        <v>61.62</v>
      </c>
      <c r="K174" s="18">
        <f>15/30</f>
        <v>0.5</v>
      </c>
      <c r="L174" s="18">
        <f>1/5</f>
        <v>0.2</v>
      </c>
      <c r="M174" s="19">
        <f t="shared" si="8"/>
        <v>0.91666666666666663</v>
      </c>
      <c r="N174" s="44">
        <f t="shared" si="9"/>
        <v>1.8333333333333333</v>
      </c>
      <c r="O174" s="44">
        <f t="shared" si="10"/>
        <v>9.1666666666666661</v>
      </c>
      <c r="P174" s="22">
        <f t="shared" si="11"/>
        <v>10.083333333333332</v>
      </c>
    </row>
    <row r="175" spans="1:16" x14ac:dyDescent="0.3">
      <c r="A175" s="40">
        <v>174</v>
      </c>
      <c r="C175" s="21">
        <v>1456</v>
      </c>
      <c r="D175" s="15" t="s">
        <v>124</v>
      </c>
      <c r="E175" s="15">
        <v>254</v>
      </c>
      <c r="F175" s="35" t="s">
        <v>125</v>
      </c>
      <c r="G175" s="16">
        <v>1845.33</v>
      </c>
      <c r="H175" s="16">
        <v>1981.2</v>
      </c>
      <c r="I175" s="16">
        <v>-135.87</v>
      </c>
      <c r="J175" s="17">
        <v>-6.86</v>
      </c>
      <c r="K175" s="18">
        <v>1</v>
      </c>
      <c r="L175" s="18">
        <f>1/5</f>
        <v>0.2</v>
      </c>
      <c r="M175" s="19">
        <f t="shared" si="8"/>
        <v>21.166666666666668</v>
      </c>
      <c r="N175" s="44">
        <f t="shared" si="9"/>
        <v>42.333333333333336</v>
      </c>
      <c r="O175" s="44">
        <f t="shared" si="10"/>
        <v>105.83333333333333</v>
      </c>
      <c r="P175" s="22">
        <f t="shared" si="11"/>
        <v>127</v>
      </c>
    </row>
    <row r="176" spans="1:16" x14ac:dyDescent="0.3">
      <c r="A176" s="40">
        <v>175</v>
      </c>
      <c r="C176" s="21">
        <v>337</v>
      </c>
      <c r="D176" s="15" t="s">
        <v>372</v>
      </c>
      <c r="E176" s="15">
        <v>10</v>
      </c>
      <c r="F176" s="35" t="s">
        <v>9</v>
      </c>
      <c r="G176" s="16">
        <v>1836.41</v>
      </c>
      <c r="H176" s="16">
        <v>0</v>
      </c>
      <c r="I176" s="16">
        <v>1836.41</v>
      </c>
      <c r="J176" s="17">
        <v>100</v>
      </c>
      <c r="K176" s="18">
        <v>1</v>
      </c>
      <c r="L176" s="18">
        <f>1/6</f>
        <v>0.16666666666666666</v>
      </c>
      <c r="M176" s="19">
        <f t="shared" si="8"/>
        <v>0.83333333333333337</v>
      </c>
      <c r="N176" s="44">
        <f t="shared" si="9"/>
        <v>1.6666666666666667</v>
      </c>
      <c r="O176" s="44">
        <f t="shared" si="10"/>
        <v>5.0000000000000009</v>
      </c>
      <c r="P176" s="22">
        <f t="shared" si="11"/>
        <v>5.8333333333333339</v>
      </c>
    </row>
    <row r="177" spans="1:16" x14ac:dyDescent="0.3">
      <c r="A177" s="40">
        <v>176</v>
      </c>
      <c r="C177" s="21">
        <v>856</v>
      </c>
      <c r="D177" s="15" t="s">
        <v>481</v>
      </c>
      <c r="E177" s="15">
        <v>273</v>
      </c>
      <c r="F177" s="35" t="s">
        <v>9</v>
      </c>
      <c r="G177" s="16">
        <v>1832.2</v>
      </c>
      <c r="H177" s="16">
        <v>1883.7</v>
      </c>
      <c r="I177" s="16">
        <v>-51.5</v>
      </c>
      <c r="J177" s="17">
        <v>-2.73</v>
      </c>
      <c r="K177" s="18">
        <v>1</v>
      </c>
      <c r="L177" s="18">
        <f>1/4</f>
        <v>0.25</v>
      </c>
      <c r="M177" s="19">
        <f t="shared" si="8"/>
        <v>22.75</v>
      </c>
      <c r="N177" s="44">
        <f t="shared" si="9"/>
        <v>45.5</v>
      </c>
      <c r="O177" s="44">
        <f t="shared" si="10"/>
        <v>91</v>
      </c>
      <c r="P177" s="22">
        <f t="shared" si="11"/>
        <v>113.75</v>
      </c>
    </row>
    <row r="178" spans="1:16" x14ac:dyDescent="0.3">
      <c r="A178" s="40">
        <v>177</v>
      </c>
      <c r="C178" s="21">
        <v>1279</v>
      </c>
      <c r="D178" s="15" t="s">
        <v>482</v>
      </c>
      <c r="E178" s="15">
        <v>786</v>
      </c>
      <c r="F178" s="35" t="s">
        <v>125</v>
      </c>
      <c r="G178" s="16">
        <v>1831.33</v>
      </c>
      <c r="H178" s="16">
        <v>1251.26</v>
      </c>
      <c r="I178" s="16">
        <v>580.07000000000005</v>
      </c>
      <c r="J178" s="17">
        <v>46.36</v>
      </c>
      <c r="K178" s="18">
        <v>1</v>
      </c>
      <c r="L178" s="18">
        <f>1/6</f>
        <v>0.16666666666666666</v>
      </c>
      <c r="M178" s="19">
        <f t="shared" si="8"/>
        <v>65.5</v>
      </c>
      <c r="N178" s="44">
        <f t="shared" si="9"/>
        <v>131</v>
      </c>
      <c r="O178" s="44">
        <f t="shared" si="10"/>
        <v>393</v>
      </c>
      <c r="P178" s="22">
        <f t="shared" si="11"/>
        <v>458.5</v>
      </c>
    </row>
    <row r="179" spans="1:16" x14ac:dyDescent="0.3">
      <c r="A179" s="40">
        <v>178</v>
      </c>
      <c r="C179" s="21">
        <v>338</v>
      </c>
      <c r="D179" s="15" t="s">
        <v>483</v>
      </c>
      <c r="E179" s="15">
        <v>10</v>
      </c>
      <c r="F179" s="35" t="s">
        <v>9</v>
      </c>
      <c r="G179" s="16">
        <v>1828.02</v>
      </c>
      <c r="H179" s="16">
        <v>0</v>
      </c>
      <c r="I179" s="16">
        <v>1828.02</v>
      </c>
      <c r="J179" s="17">
        <v>100</v>
      </c>
      <c r="K179" s="18">
        <v>1</v>
      </c>
      <c r="L179" s="18">
        <f>1/6</f>
        <v>0.16666666666666666</v>
      </c>
      <c r="M179" s="19">
        <f t="shared" si="8"/>
        <v>0.83333333333333337</v>
      </c>
      <c r="N179" s="44">
        <f t="shared" si="9"/>
        <v>1.6666666666666667</v>
      </c>
      <c r="O179" s="44">
        <f t="shared" si="10"/>
        <v>5.0000000000000009</v>
      </c>
      <c r="P179" s="22">
        <f t="shared" si="11"/>
        <v>5.8333333333333339</v>
      </c>
    </row>
    <row r="180" spans="1:16" x14ac:dyDescent="0.3">
      <c r="A180" s="40">
        <v>179</v>
      </c>
      <c r="C180" s="21">
        <v>459</v>
      </c>
      <c r="D180" s="15" t="s">
        <v>171</v>
      </c>
      <c r="E180" s="15">
        <f>60+36</f>
        <v>96</v>
      </c>
      <c r="F180" s="35" t="s">
        <v>9</v>
      </c>
      <c r="G180" s="16">
        <v>1815.11</v>
      </c>
      <c r="H180" s="16">
        <v>800.76</v>
      </c>
      <c r="I180" s="16">
        <v>1014.35</v>
      </c>
      <c r="J180" s="17">
        <v>126.67</v>
      </c>
      <c r="K180" s="18">
        <f>20/30</f>
        <v>0.66666666666666663</v>
      </c>
      <c r="L180" s="18">
        <f>1/6</f>
        <v>0.16666666666666666</v>
      </c>
      <c r="M180" s="19">
        <f t="shared" si="8"/>
        <v>5.333333333333333</v>
      </c>
      <c r="N180" s="44">
        <f t="shared" si="9"/>
        <v>10.666666666666666</v>
      </c>
      <c r="O180" s="44">
        <f t="shared" si="10"/>
        <v>48</v>
      </c>
      <c r="P180" s="22">
        <f t="shared" si="11"/>
        <v>53.333333333333336</v>
      </c>
    </row>
    <row r="181" spans="1:16" x14ac:dyDescent="0.3">
      <c r="A181" s="40">
        <v>180</v>
      </c>
      <c r="C181" s="21">
        <v>627</v>
      </c>
      <c r="D181" s="15" t="s">
        <v>484</v>
      </c>
      <c r="E181" s="15">
        <v>108</v>
      </c>
      <c r="F181" s="35" t="s">
        <v>9</v>
      </c>
      <c r="G181" s="16">
        <v>1803.74</v>
      </c>
      <c r="H181" s="16">
        <v>1346.54</v>
      </c>
      <c r="I181" s="16">
        <v>457.2</v>
      </c>
      <c r="J181" s="17">
        <v>33.950000000000003</v>
      </c>
      <c r="K181" s="18">
        <v>1</v>
      </c>
      <c r="L181" s="18">
        <f>1/6</f>
        <v>0.16666666666666666</v>
      </c>
      <c r="M181" s="19">
        <f t="shared" si="8"/>
        <v>9</v>
      </c>
      <c r="N181" s="44">
        <f t="shared" si="9"/>
        <v>18</v>
      </c>
      <c r="O181" s="44">
        <f t="shared" si="10"/>
        <v>54</v>
      </c>
      <c r="P181" s="22">
        <f t="shared" si="11"/>
        <v>63</v>
      </c>
    </row>
    <row r="182" spans="1:16" x14ac:dyDescent="0.3">
      <c r="A182" s="40">
        <v>181</v>
      </c>
      <c r="C182" s="21">
        <v>839</v>
      </c>
      <c r="D182" s="15" t="s">
        <v>485</v>
      </c>
      <c r="E182" s="15">
        <v>116</v>
      </c>
      <c r="F182" s="35" t="s">
        <v>9</v>
      </c>
      <c r="G182" s="16">
        <v>1795.81</v>
      </c>
      <c r="H182" s="16">
        <v>1612.4</v>
      </c>
      <c r="I182" s="16">
        <v>183.41</v>
      </c>
      <c r="J182" s="17">
        <v>11.37</v>
      </c>
      <c r="K182" s="18">
        <f>20/30</f>
        <v>0.66666666666666663</v>
      </c>
      <c r="L182" s="18">
        <f>1/4</f>
        <v>0.25</v>
      </c>
      <c r="M182" s="19">
        <f t="shared" si="8"/>
        <v>6.4444444444444438</v>
      </c>
      <c r="N182" s="44">
        <f t="shared" si="9"/>
        <v>12.888888888888888</v>
      </c>
      <c r="O182" s="44">
        <f t="shared" si="10"/>
        <v>38.666666666666664</v>
      </c>
      <c r="P182" s="22">
        <f t="shared" si="11"/>
        <v>45.111111111111107</v>
      </c>
    </row>
    <row r="183" spans="1:16" x14ac:dyDescent="0.3">
      <c r="A183" s="40">
        <v>182</v>
      </c>
      <c r="C183" s="21">
        <v>735</v>
      </c>
      <c r="D183" s="15" t="s">
        <v>486</v>
      </c>
      <c r="E183" s="15">
        <v>13</v>
      </c>
      <c r="F183" s="35" t="s">
        <v>9</v>
      </c>
      <c r="G183" s="16">
        <v>1795.54</v>
      </c>
      <c r="H183" s="16">
        <v>0</v>
      </c>
      <c r="I183" s="16">
        <v>1795.54</v>
      </c>
      <c r="J183" s="17">
        <v>100</v>
      </c>
      <c r="K183" s="18">
        <f>10/30</f>
        <v>0.33333333333333331</v>
      </c>
      <c r="L183" s="18">
        <f>1/3</f>
        <v>0.33333333333333331</v>
      </c>
      <c r="M183" s="19">
        <f t="shared" si="8"/>
        <v>0.36111111111111105</v>
      </c>
      <c r="N183" s="44">
        <f t="shared" si="9"/>
        <v>0.7222222222222221</v>
      </c>
      <c r="O183" s="44">
        <f t="shared" si="10"/>
        <v>3.25</v>
      </c>
      <c r="P183" s="22">
        <f t="shared" si="11"/>
        <v>3.6111111111111112</v>
      </c>
    </row>
    <row r="184" spans="1:16" x14ac:dyDescent="0.3">
      <c r="A184" s="40">
        <v>183</v>
      </c>
      <c r="C184" s="21">
        <v>819</v>
      </c>
      <c r="D184" s="15" t="s">
        <v>487</v>
      </c>
      <c r="E184" s="15">
        <v>5</v>
      </c>
      <c r="F184" s="35" t="s">
        <v>9</v>
      </c>
      <c r="G184" s="16">
        <v>1783.62</v>
      </c>
      <c r="H184" s="16">
        <v>0</v>
      </c>
      <c r="I184" s="16">
        <v>1783.62</v>
      </c>
      <c r="J184" s="17">
        <v>100</v>
      </c>
      <c r="K184" s="18">
        <v>1</v>
      </c>
      <c r="L184" s="18">
        <f>1/6</f>
        <v>0.16666666666666666</v>
      </c>
      <c r="M184" s="19">
        <f t="shared" si="8"/>
        <v>0.41666666666666669</v>
      </c>
      <c r="N184" s="44">
        <f t="shared" si="9"/>
        <v>0.83333333333333337</v>
      </c>
      <c r="O184" s="44">
        <f t="shared" si="10"/>
        <v>2.5000000000000004</v>
      </c>
      <c r="P184" s="22">
        <f t="shared" si="11"/>
        <v>2.916666666666667</v>
      </c>
    </row>
    <row r="185" spans="1:16" x14ac:dyDescent="0.3">
      <c r="A185" s="40">
        <v>184</v>
      </c>
      <c r="C185" s="21">
        <v>339</v>
      </c>
      <c r="D185" s="15" t="s">
        <v>488</v>
      </c>
      <c r="E185" s="15">
        <v>10</v>
      </c>
      <c r="F185" s="35" t="s">
        <v>9</v>
      </c>
      <c r="G185" s="16">
        <v>1780.46</v>
      </c>
      <c r="H185" s="16">
        <v>0</v>
      </c>
      <c r="I185" s="16">
        <v>1780.46</v>
      </c>
      <c r="J185" s="17">
        <v>100</v>
      </c>
      <c r="K185" s="18">
        <v>1</v>
      </c>
      <c r="L185" s="18">
        <f>1/6</f>
        <v>0.16666666666666666</v>
      </c>
      <c r="M185" s="19">
        <f t="shared" si="8"/>
        <v>0.83333333333333337</v>
      </c>
      <c r="N185" s="44">
        <f t="shared" si="9"/>
        <v>1.6666666666666667</v>
      </c>
      <c r="O185" s="44">
        <f t="shared" si="10"/>
        <v>5.0000000000000009</v>
      </c>
      <c r="P185" s="22">
        <f t="shared" si="11"/>
        <v>5.8333333333333339</v>
      </c>
    </row>
    <row r="186" spans="1:16" x14ac:dyDescent="0.3">
      <c r="A186" s="40">
        <v>185</v>
      </c>
      <c r="C186" s="21">
        <v>728</v>
      </c>
      <c r="D186" s="15" t="s">
        <v>489</v>
      </c>
      <c r="E186" s="15">
        <v>13</v>
      </c>
      <c r="F186" s="35" t="s">
        <v>9</v>
      </c>
      <c r="G186" s="16">
        <v>1776.47</v>
      </c>
      <c r="H186" s="16">
        <v>0</v>
      </c>
      <c r="I186" s="16">
        <v>1776.47</v>
      </c>
      <c r="J186" s="17">
        <v>100</v>
      </c>
      <c r="K186" s="18">
        <f>10/30</f>
        <v>0.33333333333333331</v>
      </c>
      <c r="L186" s="18">
        <f>1/3</f>
        <v>0.33333333333333331</v>
      </c>
      <c r="M186" s="19">
        <f t="shared" si="8"/>
        <v>0.36111111111111105</v>
      </c>
      <c r="N186" s="44">
        <f t="shared" si="9"/>
        <v>0.7222222222222221</v>
      </c>
      <c r="O186" s="44">
        <f t="shared" si="10"/>
        <v>3.25</v>
      </c>
      <c r="P186" s="22">
        <f t="shared" si="11"/>
        <v>3.6111111111111112</v>
      </c>
    </row>
    <row r="187" spans="1:16" x14ac:dyDescent="0.3">
      <c r="A187" s="40">
        <v>186</v>
      </c>
      <c r="C187" s="21">
        <v>1503</v>
      </c>
      <c r="D187" s="15" t="s">
        <v>490</v>
      </c>
      <c r="E187" s="15">
        <v>5</v>
      </c>
      <c r="F187" s="35" t="s">
        <v>9</v>
      </c>
      <c r="G187" s="16">
        <v>1770.82</v>
      </c>
      <c r="H187" s="16">
        <v>2290</v>
      </c>
      <c r="I187" s="16">
        <v>-519.17999999999995</v>
      </c>
      <c r="J187" s="17">
        <v>-22.67</v>
      </c>
      <c r="K187" s="18">
        <v>1</v>
      </c>
      <c r="L187" s="18">
        <f>1/12</f>
        <v>8.3333333333333329E-2</v>
      </c>
      <c r="M187" s="19">
        <f t="shared" si="8"/>
        <v>0.41666666666666669</v>
      </c>
      <c r="N187" s="44">
        <f t="shared" si="9"/>
        <v>0.83333333333333337</v>
      </c>
      <c r="O187" s="44">
        <f t="shared" si="10"/>
        <v>5.0000000000000009</v>
      </c>
      <c r="P187" s="22">
        <f t="shared" si="11"/>
        <v>5.4166666666666679</v>
      </c>
    </row>
    <row r="188" spans="1:16" x14ac:dyDescent="0.3">
      <c r="A188" s="40">
        <v>187</v>
      </c>
      <c r="C188" s="21">
        <v>3660</v>
      </c>
      <c r="D188" s="15" t="s">
        <v>491</v>
      </c>
      <c r="E188" s="15">
        <f>1861+1745</f>
        <v>3606</v>
      </c>
      <c r="F188" s="35" t="s">
        <v>12</v>
      </c>
      <c r="G188" s="16">
        <v>1764.1</v>
      </c>
      <c r="H188" s="16">
        <v>1674.9</v>
      </c>
      <c r="I188" s="16">
        <v>89.2</v>
      </c>
      <c r="J188" s="17">
        <v>5.33</v>
      </c>
      <c r="K188" s="18">
        <v>1</v>
      </c>
      <c r="L188" s="18">
        <f>1/4</f>
        <v>0.25</v>
      </c>
      <c r="M188" s="19">
        <f t="shared" si="8"/>
        <v>300.5</v>
      </c>
      <c r="N188" s="44">
        <f t="shared" si="9"/>
        <v>601</v>
      </c>
      <c r="O188" s="44">
        <f t="shared" si="10"/>
        <v>1202</v>
      </c>
      <c r="P188" s="22">
        <f t="shared" si="11"/>
        <v>1502.5</v>
      </c>
    </row>
    <row r="189" spans="1:16" x14ac:dyDescent="0.3">
      <c r="A189" s="40">
        <v>188</v>
      </c>
      <c r="C189" s="21">
        <v>405</v>
      </c>
      <c r="D189" s="15" t="s">
        <v>492</v>
      </c>
      <c r="E189" s="15">
        <v>1017</v>
      </c>
      <c r="F189" s="35" t="s">
        <v>272</v>
      </c>
      <c r="G189" s="16">
        <v>1762.84</v>
      </c>
      <c r="H189" s="16">
        <v>1492</v>
      </c>
      <c r="I189" s="16">
        <v>270.83999999999997</v>
      </c>
      <c r="J189" s="17">
        <v>18.149999999999999</v>
      </c>
      <c r="K189" s="18">
        <f>1/30</f>
        <v>3.3333333333333333E-2</v>
      </c>
      <c r="L189" s="18">
        <f>1/6</f>
        <v>0.16666666666666666</v>
      </c>
      <c r="M189" s="19">
        <f t="shared" si="8"/>
        <v>2.8250000000000002</v>
      </c>
      <c r="N189" s="44">
        <f t="shared" si="9"/>
        <v>5.65</v>
      </c>
      <c r="O189" s="44">
        <f t="shared" si="10"/>
        <v>508.5</v>
      </c>
      <c r="P189" s="22">
        <f t="shared" si="11"/>
        <v>511.32499999999999</v>
      </c>
    </row>
    <row r="190" spans="1:16" x14ac:dyDescent="0.3">
      <c r="A190" s="40">
        <v>189</v>
      </c>
      <c r="C190" s="21">
        <v>3720</v>
      </c>
      <c r="D190" s="15" t="s">
        <v>203</v>
      </c>
      <c r="E190" s="17">
        <v>518.70000000000005</v>
      </c>
      <c r="F190" s="35" t="s">
        <v>12</v>
      </c>
      <c r="G190" s="16">
        <v>1756.55</v>
      </c>
      <c r="H190" s="16">
        <v>1762.14</v>
      </c>
      <c r="I190" s="16">
        <v>-5.59</v>
      </c>
      <c r="J190" s="17">
        <v>-0.32</v>
      </c>
      <c r="K190" s="18">
        <f>15/30</f>
        <v>0.5</v>
      </c>
      <c r="L190" s="18">
        <f>1/5</f>
        <v>0.2</v>
      </c>
      <c r="M190" s="19">
        <f t="shared" si="8"/>
        <v>21.612500000000001</v>
      </c>
      <c r="N190" s="44">
        <f t="shared" si="9"/>
        <v>43.225000000000001</v>
      </c>
      <c r="O190" s="44">
        <f t="shared" si="10"/>
        <v>216.125</v>
      </c>
      <c r="P190" s="22">
        <f t="shared" si="11"/>
        <v>237.73750000000001</v>
      </c>
    </row>
    <row r="191" spans="1:16" x14ac:dyDescent="0.3">
      <c r="A191" s="40">
        <v>190</v>
      </c>
      <c r="C191" s="21">
        <v>1897</v>
      </c>
      <c r="D191" s="15" t="s">
        <v>317</v>
      </c>
      <c r="E191" s="15">
        <v>180</v>
      </c>
      <c r="F191" s="35" t="s">
        <v>9</v>
      </c>
      <c r="G191" s="16">
        <v>1754.4</v>
      </c>
      <c r="H191" s="16">
        <v>1352.96</v>
      </c>
      <c r="I191" s="16">
        <v>401.44</v>
      </c>
      <c r="J191" s="17">
        <v>29.67</v>
      </c>
      <c r="K191" s="18">
        <f>15/30</f>
        <v>0.5</v>
      </c>
      <c r="L191" s="18">
        <f>1/3</f>
        <v>0.33333333333333331</v>
      </c>
      <c r="M191" s="19">
        <f t="shared" si="8"/>
        <v>7.5</v>
      </c>
      <c r="N191" s="44">
        <f t="shared" si="9"/>
        <v>15</v>
      </c>
      <c r="O191" s="44">
        <f t="shared" si="10"/>
        <v>45</v>
      </c>
      <c r="P191" s="22">
        <f t="shared" si="11"/>
        <v>52.5</v>
      </c>
    </row>
    <row r="192" spans="1:16" x14ac:dyDescent="0.3">
      <c r="A192" s="40">
        <v>191</v>
      </c>
      <c r="C192" s="21">
        <v>572</v>
      </c>
      <c r="D192" s="15" t="s">
        <v>43</v>
      </c>
      <c r="E192" s="15">
        <v>2</v>
      </c>
      <c r="F192" s="35" t="s">
        <v>9</v>
      </c>
      <c r="G192" s="16">
        <v>1745</v>
      </c>
      <c r="H192" s="16">
        <v>1580</v>
      </c>
      <c r="I192" s="16">
        <v>165</v>
      </c>
      <c r="J192" s="17">
        <v>10.44</v>
      </c>
      <c r="K192" s="18">
        <v>1</v>
      </c>
      <c r="L192" s="18">
        <f>1/12</f>
        <v>8.3333333333333329E-2</v>
      </c>
      <c r="M192" s="19">
        <f t="shared" si="8"/>
        <v>0.16666666666666666</v>
      </c>
      <c r="N192" s="44">
        <f t="shared" si="9"/>
        <v>0.33333333333333331</v>
      </c>
      <c r="O192" s="44">
        <f t="shared" si="10"/>
        <v>2</v>
      </c>
      <c r="P192" s="22">
        <f t="shared" si="11"/>
        <v>2.1666666666666665</v>
      </c>
    </row>
    <row r="193" spans="1:16" x14ac:dyDescent="0.3">
      <c r="A193" s="40">
        <v>192</v>
      </c>
      <c r="C193" s="21">
        <v>4229</v>
      </c>
      <c r="D193" s="15" t="s">
        <v>493</v>
      </c>
      <c r="E193" s="15">
        <v>20</v>
      </c>
      <c r="F193" s="35" t="s">
        <v>9</v>
      </c>
      <c r="G193" s="16">
        <v>1741</v>
      </c>
      <c r="H193" s="16">
        <v>1780</v>
      </c>
      <c r="I193" s="16">
        <v>-39</v>
      </c>
      <c r="J193" s="17">
        <v>-2.19</v>
      </c>
      <c r="K193" s="18">
        <v>1</v>
      </c>
      <c r="L193" s="18">
        <f>1/6</f>
        <v>0.16666666666666666</v>
      </c>
      <c r="M193" s="19">
        <f t="shared" si="8"/>
        <v>1.6666666666666667</v>
      </c>
      <c r="N193" s="44">
        <f t="shared" si="9"/>
        <v>3.3333333333333335</v>
      </c>
      <c r="O193" s="44">
        <f t="shared" si="10"/>
        <v>10.000000000000002</v>
      </c>
      <c r="P193" s="22">
        <f t="shared" si="11"/>
        <v>11.666666666666668</v>
      </c>
    </row>
    <row r="194" spans="1:16" x14ac:dyDescent="0.3">
      <c r="A194" s="40">
        <v>193</v>
      </c>
      <c r="C194" s="21">
        <v>354</v>
      </c>
      <c r="D194" s="15" t="s">
        <v>28</v>
      </c>
      <c r="E194" s="17">
        <v>97.3</v>
      </c>
      <c r="F194" s="35" t="s">
        <v>16</v>
      </c>
      <c r="G194" s="16">
        <v>1740.73</v>
      </c>
      <c r="H194" s="16">
        <v>1800.05</v>
      </c>
      <c r="I194" s="16">
        <v>-59.32</v>
      </c>
      <c r="J194" s="17">
        <v>-3.3</v>
      </c>
      <c r="K194" s="18">
        <v>1</v>
      </c>
      <c r="L194" s="18">
        <f>1/5</f>
        <v>0.2</v>
      </c>
      <c r="M194" s="19">
        <f t="shared" ref="M194:M257" si="12">(E194/12)*K194</f>
        <v>8.1083333333333325</v>
      </c>
      <c r="N194" s="44">
        <f t="shared" ref="N194:N257" si="13">((E194/12)*K194)+M194</f>
        <v>16.216666666666665</v>
      </c>
      <c r="O194" s="44">
        <f t="shared" ref="O194:O257" si="14">(E194/12)/L194</f>
        <v>40.541666666666657</v>
      </c>
      <c r="P194" s="22">
        <f t="shared" ref="P194:P257" si="15">O194+M194</f>
        <v>48.649999999999991</v>
      </c>
    </row>
    <row r="195" spans="1:16" x14ac:dyDescent="0.3">
      <c r="A195" s="40">
        <v>194</v>
      </c>
      <c r="C195" s="21">
        <v>1985</v>
      </c>
      <c r="D195" s="15" t="s">
        <v>494</v>
      </c>
      <c r="E195" s="15">
        <v>6</v>
      </c>
      <c r="F195" s="35" t="s">
        <v>9</v>
      </c>
      <c r="G195" s="16">
        <v>1740.07</v>
      </c>
      <c r="H195" s="16">
        <v>1393.98</v>
      </c>
      <c r="I195" s="16">
        <v>346.09</v>
      </c>
      <c r="J195" s="17">
        <v>24.83</v>
      </c>
      <c r="K195" s="18">
        <f>20/30</f>
        <v>0.66666666666666663</v>
      </c>
      <c r="L195" s="18">
        <f>1/12</f>
        <v>8.3333333333333329E-2</v>
      </c>
      <c r="M195" s="19">
        <f t="shared" si="12"/>
        <v>0.33333333333333331</v>
      </c>
      <c r="N195" s="44">
        <f t="shared" si="13"/>
        <v>0.66666666666666663</v>
      </c>
      <c r="O195" s="44">
        <f t="shared" si="14"/>
        <v>6</v>
      </c>
      <c r="P195" s="22">
        <f t="shared" si="15"/>
        <v>6.333333333333333</v>
      </c>
    </row>
    <row r="196" spans="1:16" x14ac:dyDescent="0.3">
      <c r="A196" s="40">
        <v>195</v>
      </c>
      <c r="C196" s="47">
        <v>287</v>
      </c>
      <c r="D196" s="15" t="s">
        <v>177</v>
      </c>
      <c r="E196" s="15">
        <v>52</v>
      </c>
      <c r="F196" s="35" t="s">
        <v>9</v>
      </c>
      <c r="G196" s="16">
        <v>1731.75</v>
      </c>
      <c r="H196" s="16">
        <v>1205.8</v>
      </c>
      <c r="I196" s="16">
        <v>525.95000000000005</v>
      </c>
      <c r="J196" s="17">
        <v>43.62</v>
      </c>
      <c r="K196" s="18">
        <f>25/30</f>
        <v>0.83333333333333337</v>
      </c>
      <c r="L196" s="18">
        <f>1/4</f>
        <v>0.25</v>
      </c>
      <c r="M196" s="19">
        <f t="shared" si="12"/>
        <v>3.6111111111111112</v>
      </c>
      <c r="N196" s="44">
        <f t="shared" si="13"/>
        <v>7.2222222222222223</v>
      </c>
      <c r="O196" s="44">
        <f t="shared" si="14"/>
        <v>17.333333333333332</v>
      </c>
      <c r="P196" s="22">
        <f t="shared" si="15"/>
        <v>20.944444444444443</v>
      </c>
    </row>
    <row r="197" spans="1:16" x14ac:dyDescent="0.3">
      <c r="A197" s="40">
        <v>196</v>
      </c>
      <c r="C197" s="21">
        <v>1207</v>
      </c>
      <c r="D197" s="15" t="s">
        <v>495</v>
      </c>
      <c r="E197" s="15">
        <v>3</v>
      </c>
      <c r="F197" s="35" t="s">
        <v>86</v>
      </c>
      <c r="G197" s="16">
        <v>1727.1</v>
      </c>
      <c r="H197" s="16">
        <v>1380</v>
      </c>
      <c r="I197" s="16">
        <v>347.1</v>
      </c>
      <c r="J197" s="17">
        <v>25.15</v>
      </c>
      <c r="K197" s="18">
        <v>1</v>
      </c>
      <c r="L197" s="18">
        <f>1/6</f>
        <v>0.16666666666666666</v>
      </c>
      <c r="M197" s="19">
        <f t="shared" si="12"/>
        <v>0.25</v>
      </c>
      <c r="N197" s="44">
        <f t="shared" si="13"/>
        <v>0.5</v>
      </c>
      <c r="O197" s="44">
        <f t="shared" si="14"/>
        <v>1.5</v>
      </c>
      <c r="P197" s="22">
        <f t="shared" si="15"/>
        <v>1.75</v>
      </c>
    </row>
    <row r="198" spans="1:16" x14ac:dyDescent="0.3">
      <c r="A198" s="40">
        <v>197</v>
      </c>
      <c r="C198" s="21">
        <v>2723</v>
      </c>
      <c r="D198" s="15" t="s">
        <v>496</v>
      </c>
      <c r="E198" s="15">
        <v>66</v>
      </c>
      <c r="F198" s="35" t="s">
        <v>9</v>
      </c>
      <c r="G198" s="16">
        <v>1723.57</v>
      </c>
      <c r="H198" s="16">
        <v>1357.56</v>
      </c>
      <c r="I198" s="16">
        <v>366.01</v>
      </c>
      <c r="J198" s="17">
        <v>26.96</v>
      </c>
      <c r="K198" s="18">
        <f>20/30</f>
        <v>0.66666666666666663</v>
      </c>
      <c r="L198" s="18">
        <f>1/6</f>
        <v>0.16666666666666666</v>
      </c>
      <c r="M198" s="19">
        <f t="shared" si="12"/>
        <v>3.6666666666666665</v>
      </c>
      <c r="N198" s="44">
        <f t="shared" si="13"/>
        <v>7.333333333333333</v>
      </c>
      <c r="O198" s="44">
        <f t="shared" si="14"/>
        <v>33</v>
      </c>
      <c r="P198" s="22">
        <f t="shared" si="15"/>
        <v>36.666666666666664</v>
      </c>
    </row>
    <row r="199" spans="1:16" x14ac:dyDescent="0.3">
      <c r="A199" s="40">
        <v>198</v>
      </c>
      <c r="C199" s="21">
        <v>159</v>
      </c>
      <c r="D199" s="15" t="s">
        <v>497</v>
      </c>
      <c r="E199" s="17">
        <v>402.5</v>
      </c>
      <c r="F199" s="35" t="s">
        <v>12</v>
      </c>
      <c r="G199" s="16">
        <v>1707.02</v>
      </c>
      <c r="H199" s="16">
        <v>1573.91</v>
      </c>
      <c r="I199" s="16">
        <v>133.11000000000001</v>
      </c>
      <c r="J199" s="17">
        <v>8.4600000000000009</v>
      </c>
      <c r="K199" s="18">
        <f>25/30</f>
        <v>0.83333333333333337</v>
      </c>
      <c r="L199" s="18">
        <f>1/6</f>
        <v>0.16666666666666666</v>
      </c>
      <c r="M199" s="19">
        <f t="shared" si="12"/>
        <v>27.951388888888889</v>
      </c>
      <c r="N199" s="44">
        <f t="shared" si="13"/>
        <v>55.902777777777779</v>
      </c>
      <c r="O199" s="44">
        <f t="shared" si="14"/>
        <v>201.25</v>
      </c>
      <c r="P199" s="22">
        <f t="shared" si="15"/>
        <v>229.20138888888889</v>
      </c>
    </row>
    <row r="200" spans="1:16" x14ac:dyDescent="0.3">
      <c r="A200" s="40">
        <v>199</v>
      </c>
      <c r="C200" s="21">
        <v>3587</v>
      </c>
      <c r="D200" s="15" t="s">
        <v>498</v>
      </c>
      <c r="E200" s="15">
        <v>24</v>
      </c>
      <c r="F200" s="35" t="s">
        <v>9</v>
      </c>
      <c r="G200" s="16">
        <v>1700.78</v>
      </c>
      <c r="H200" s="16">
        <v>1718</v>
      </c>
      <c r="I200" s="16">
        <v>-17.22</v>
      </c>
      <c r="J200" s="17">
        <v>-1</v>
      </c>
      <c r="K200" s="18">
        <v>1</v>
      </c>
      <c r="L200" s="18">
        <f>1/6</f>
        <v>0.16666666666666666</v>
      </c>
      <c r="M200" s="19">
        <f t="shared" si="12"/>
        <v>2</v>
      </c>
      <c r="N200" s="44">
        <f t="shared" si="13"/>
        <v>4</v>
      </c>
      <c r="O200" s="44">
        <f t="shared" si="14"/>
        <v>12</v>
      </c>
      <c r="P200" s="22">
        <f t="shared" si="15"/>
        <v>14</v>
      </c>
    </row>
    <row r="201" spans="1:16" x14ac:dyDescent="0.3">
      <c r="A201" s="40">
        <v>200</v>
      </c>
      <c r="C201" s="21">
        <v>3993</v>
      </c>
      <c r="D201" s="15" t="s">
        <v>499</v>
      </c>
      <c r="E201" s="15">
        <v>541</v>
      </c>
      <c r="F201" s="35" t="s">
        <v>12</v>
      </c>
      <c r="G201" s="16">
        <v>1694.59</v>
      </c>
      <c r="H201" s="16">
        <v>1823.17</v>
      </c>
      <c r="I201" s="16">
        <v>-128.58000000000001</v>
      </c>
      <c r="J201" s="17">
        <v>-7.05</v>
      </c>
      <c r="K201" s="18">
        <f>25/30</f>
        <v>0.83333333333333337</v>
      </c>
      <c r="L201" s="18">
        <f>1/6</f>
        <v>0.16666666666666666</v>
      </c>
      <c r="M201" s="19">
        <f t="shared" si="12"/>
        <v>37.56944444444445</v>
      </c>
      <c r="N201" s="44">
        <f t="shared" si="13"/>
        <v>75.1388888888889</v>
      </c>
      <c r="O201" s="44">
        <f t="shared" si="14"/>
        <v>270.50000000000006</v>
      </c>
      <c r="P201" s="22">
        <f t="shared" si="15"/>
        <v>308.06944444444451</v>
      </c>
    </row>
    <row r="202" spans="1:16" x14ac:dyDescent="0.3">
      <c r="A202" s="40">
        <v>201</v>
      </c>
      <c r="C202" s="21">
        <v>3879</v>
      </c>
      <c r="D202" s="15" t="s">
        <v>399</v>
      </c>
      <c r="E202" s="15">
        <v>194</v>
      </c>
      <c r="F202" s="35" t="s">
        <v>9</v>
      </c>
      <c r="G202" s="16">
        <v>1686.75</v>
      </c>
      <c r="H202" s="16">
        <v>1655.67</v>
      </c>
      <c r="I202" s="16">
        <v>31.08</v>
      </c>
      <c r="J202" s="17">
        <v>1.88</v>
      </c>
      <c r="K202" s="18">
        <f>15/30</f>
        <v>0.5</v>
      </c>
      <c r="L202" s="18">
        <f>1/4</f>
        <v>0.25</v>
      </c>
      <c r="M202" s="19">
        <f t="shared" si="12"/>
        <v>8.0833333333333339</v>
      </c>
      <c r="N202" s="44">
        <f t="shared" si="13"/>
        <v>16.166666666666668</v>
      </c>
      <c r="O202" s="44">
        <f t="shared" si="14"/>
        <v>64.666666666666671</v>
      </c>
      <c r="P202" s="22">
        <f t="shared" si="15"/>
        <v>72.75</v>
      </c>
    </row>
    <row r="203" spans="1:16" x14ac:dyDescent="0.3">
      <c r="A203" s="40">
        <v>202</v>
      </c>
      <c r="C203" s="21">
        <v>1586</v>
      </c>
      <c r="D203" s="15" t="s">
        <v>500</v>
      </c>
      <c r="E203" s="15">
        <v>30</v>
      </c>
      <c r="F203" s="35" t="s">
        <v>34</v>
      </c>
      <c r="G203" s="16">
        <v>1646.76</v>
      </c>
      <c r="H203" s="16">
        <v>1696.32</v>
      </c>
      <c r="I203" s="16">
        <v>-49.56</v>
      </c>
      <c r="J203" s="17">
        <v>-2.92</v>
      </c>
      <c r="K203" s="18">
        <f>10/30</f>
        <v>0.33333333333333331</v>
      </c>
      <c r="L203" s="18">
        <f>1/3</f>
        <v>0.33333333333333331</v>
      </c>
      <c r="M203" s="19">
        <f t="shared" si="12"/>
        <v>0.83333333333333326</v>
      </c>
      <c r="N203" s="44">
        <f t="shared" si="13"/>
        <v>1.6666666666666665</v>
      </c>
      <c r="O203" s="44">
        <f t="shared" si="14"/>
        <v>7.5</v>
      </c>
      <c r="P203" s="22">
        <f t="shared" si="15"/>
        <v>8.3333333333333339</v>
      </c>
    </row>
    <row r="204" spans="1:16" x14ac:dyDescent="0.3">
      <c r="A204" s="40">
        <v>203</v>
      </c>
      <c r="C204" s="21">
        <v>1054</v>
      </c>
      <c r="D204" s="15" t="s">
        <v>391</v>
      </c>
      <c r="E204" s="15">
        <v>3314</v>
      </c>
      <c r="F204" s="35" t="s">
        <v>9</v>
      </c>
      <c r="G204" s="16">
        <v>1638.3</v>
      </c>
      <c r="H204" s="16">
        <v>1162.74</v>
      </c>
      <c r="I204" s="16">
        <v>475.56</v>
      </c>
      <c r="J204" s="17">
        <v>40.9</v>
      </c>
      <c r="K204" s="18">
        <v>1</v>
      </c>
      <c r="L204" s="18">
        <f>1/4</f>
        <v>0.25</v>
      </c>
      <c r="M204" s="19">
        <f t="shared" si="12"/>
        <v>276.16666666666669</v>
      </c>
      <c r="N204" s="44">
        <f t="shared" si="13"/>
        <v>552.33333333333337</v>
      </c>
      <c r="O204" s="44">
        <f t="shared" si="14"/>
        <v>1104.6666666666667</v>
      </c>
      <c r="P204" s="22">
        <f t="shared" si="15"/>
        <v>1380.8333333333335</v>
      </c>
    </row>
    <row r="205" spans="1:16" x14ac:dyDescent="0.3">
      <c r="A205" s="40">
        <v>204</v>
      </c>
      <c r="C205" s="21">
        <v>2213</v>
      </c>
      <c r="D205" s="15" t="s">
        <v>254</v>
      </c>
      <c r="E205" s="15">
        <v>8322</v>
      </c>
      <c r="F205" s="35" t="s">
        <v>9</v>
      </c>
      <c r="G205" s="16">
        <v>1636.88</v>
      </c>
      <c r="H205" s="16">
        <v>1917.3</v>
      </c>
      <c r="I205" s="16">
        <v>-280.42</v>
      </c>
      <c r="J205" s="17">
        <v>-14.63</v>
      </c>
      <c r="K205" s="18">
        <v>1</v>
      </c>
      <c r="L205" s="18">
        <f>1/4</f>
        <v>0.25</v>
      </c>
      <c r="M205" s="19">
        <f t="shared" si="12"/>
        <v>693.5</v>
      </c>
      <c r="N205" s="44">
        <f t="shared" si="13"/>
        <v>1387</v>
      </c>
      <c r="O205" s="44">
        <f t="shared" si="14"/>
        <v>2774</v>
      </c>
      <c r="P205" s="22">
        <f t="shared" si="15"/>
        <v>3467.5</v>
      </c>
    </row>
    <row r="206" spans="1:16" x14ac:dyDescent="0.3">
      <c r="A206" s="40">
        <v>205</v>
      </c>
      <c r="C206" s="21">
        <v>476</v>
      </c>
      <c r="D206" s="15" t="s">
        <v>358</v>
      </c>
      <c r="E206" s="17">
        <v>98.4</v>
      </c>
      <c r="F206" s="35" t="s">
        <v>9</v>
      </c>
      <c r="G206" s="16">
        <v>1634.06</v>
      </c>
      <c r="H206" s="16">
        <v>125.9</v>
      </c>
      <c r="I206" s="16">
        <v>1508.16</v>
      </c>
      <c r="J206" s="17">
        <v>1197.9000000000001</v>
      </c>
      <c r="K206" s="18">
        <v>1</v>
      </c>
      <c r="L206" s="18">
        <f>1/5</f>
        <v>0.2</v>
      </c>
      <c r="M206" s="19">
        <f t="shared" si="12"/>
        <v>8.2000000000000011</v>
      </c>
      <c r="N206" s="44">
        <f t="shared" si="13"/>
        <v>16.400000000000002</v>
      </c>
      <c r="O206" s="44">
        <f t="shared" si="14"/>
        <v>41</v>
      </c>
      <c r="P206" s="22">
        <f t="shared" si="15"/>
        <v>49.2</v>
      </c>
    </row>
    <row r="207" spans="1:16" x14ac:dyDescent="0.3">
      <c r="A207" s="40">
        <v>206</v>
      </c>
      <c r="C207" s="21">
        <v>1896</v>
      </c>
      <c r="D207" s="15" t="s">
        <v>501</v>
      </c>
      <c r="E207" s="15">
        <f>108+41</f>
        <v>149</v>
      </c>
      <c r="F207" s="35" t="s">
        <v>9</v>
      </c>
      <c r="G207" s="16">
        <v>1619.57</v>
      </c>
      <c r="H207" s="16">
        <v>1336.5</v>
      </c>
      <c r="I207" s="16">
        <v>283.07</v>
      </c>
      <c r="J207" s="17">
        <v>21.18</v>
      </c>
      <c r="K207" s="18">
        <f>10/30</f>
        <v>0.33333333333333331</v>
      </c>
      <c r="L207" s="18">
        <f>1/3</f>
        <v>0.33333333333333331</v>
      </c>
      <c r="M207" s="19">
        <f t="shared" si="12"/>
        <v>4.1388888888888884</v>
      </c>
      <c r="N207" s="44">
        <f t="shared" si="13"/>
        <v>8.2777777777777768</v>
      </c>
      <c r="O207" s="44">
        <f t="shared" si="14"/>
        <v>37.25</v>
      </c>
      <c r="P207" s="22">
        <f t="shared" si="15"/>
        <v>41.388888888888886</v>
      </c>
    </row>
    <row r="208" spans="1:16" x14ac:dyDescent="0.3">
      <c r="A208" s="40">
        <v>207</v>
      </c>
      <c r="C208" s="21">
        <v>3344</v>
      </c>
      <c r="D208" s="15" t="s">
        <v>502</v>
      </c>
      <c r="E208" s="15">
        <f>36+15</f>
        <v>51</v>
      </c>
      <c r="F208" s="35" t="s">
        <v>9</v>
      </c>
      <c r="G208" s="16">
        <v>1611</v>
      </c>
      <c r="H208" s="16">
        <v>1440</v>
      </c>
      <c r="I208" s="16">
        <v>171</v>
      </c>
      <c r="J208" s="17">
        <v>11.87</v>
      </c>
      <c r="K208" s="18">
        <f>10/30</f>
        <v>0.33333333333333331</v>
      </c>
      <c r="L208" s="18">
        <f>1/3</f>
        <v>0.33333333333333331</v>
      </c>
      <c r="M208" s="19">
        <f t="shared" si="12"/>
        <v>1.4166666666666665</v>
      </c>
      <c r="N208" s="44">
        <f t="shared" si="13"/>
        <v>2.833333333333333</v>
      </c>
      <c r="O208" s="44">
        <f t="shared" si="14"/>
        <v>12.75</v>
      </c>
      <c r="P208" s="22">
        <f t="shared" si="15"/>
        <v>14.166666666666666</v>
      </c>
    </row>
    <row r="209" spans="1:16" x14ac:dyDescent="0.3">
      <c r="A209" s="40">
        <v>208</v>
      </c>
      <c r="C209" s="48">
        <v>1377</v>
      </c>
      <c r="D209" s="49" t="s">
        <v>503</v>
      </c>
      <c r="E209" s="15">
        <f>27+41</f>
        <v>68</v>
      </c>
      <c r="F209" s="35" t="s">
        <v>9</v>
      </c>
      <c r="G209" s="16">
        <v>1609.53</v>
      </c>
      <c r="H209" s="16">
        <v>1539</v>
      </c>
      <c r="I209" s="16">
        <v>70.53</v>
      </c>
      <c r="J209" s="17">
        <v>4.58</v>
      </c>
      <c r="K209" s="18">
        <v>1</v>
      </c>
      <c r="L209" s="18">
        <f>1/4</f>
        <v>0.25</v>
      </c>
      <c r="M209" s="19">
        <f t="shared" si="12"/>
        <v>5.666666666666667</v>
      </c>
      <c r="N209" s="44">
        <f t="shared" si="13"/>
        <v>11.333333333333334</v>
      </c>
      <c r="O209" s="44">
        <f t="shared" si="14"/>
        <v>22.666666666666668</v>
      </c>
      <c r="P209" s="22">
        <f t="shared" si="15"/>
        <v>28.333333333333336</v>
      </c>
    </row>
    <row r="210" spans="1:16" x14ac:dyDescent="0.3">
      <c r="A210" s="40">
        <v>209</v>
      </c>
      <c r="C210" s="21">
        <v>3536</v>
      </c>
      <c r="D210" s="15" t="s">
        <v>504</v>
      </c>
      <c r="E210" s="15">
        <v>43</v>
      </c>
      <c r="F210" s="35" t="s">
        <v>9</v>
      </c>
      <c r="G210" s="16">
        <v>1609.23</v>
      </c>
      <c r="H210" s="16">
        <v>1707.1</v>
      </c>
      <c r="I210" s="16">
        <v>-97.87</v>
      </c>
      <c r="J210" s="17">
        <v>-5.73</v>
      </c>
      <c r="K210" s="18">
        <v>1</v>
      </c>
      <c r="L210" s="18">
        <f>1/12</f>
        <v>8.3333333333333329E-2</v>
      </c>
      <c r="M210" s="19">
        <f t="shared" si="12"/>
        <v>3.5833333333333335</v>
      </c>
      <c r="N210" s="44">
        <f t="shared" si="13"/>
        <v>7.166666666666667</v>
      </c>
      <c r="O210" s="44">
        <f t="shared" si="14"/>
        <v>43.000000000000007</v>
      </c>
      <c r="P210" s="22">
        <f t="shared" si="15"/>
        <v>46.583333333333343</v>
      </c>
    </row>
    <row r="211" spans="1:16" x14ac:dyDescent="0.3">
      <c r="A211" s="40">
        <v>210</v>
      </c>
      <c r="C211" s="21">
        <v>4561</v>
      </c>
      <c r="D211" s="15" t="s">
        <v>113</v>
      </c>
      <c r="E211" s="15">
        <v>157</v>
      </c>
      <c r="F211" s="35" t="s">
        <v>12</v>
      </c>
      <c r="G211" s="16">
        <v>1600.25</v>
      </c>
      <c r="H211" s="16">
        <v>1695.6</v>
      </c>
      <c r="I211" s="16">
        <v>-95.35</v>
      </c>
      <c r="J211" s="17">
        <v>-5.62</v>
      </c>
      <c r="K211" s="18">
        <f>15/30</f>
        <v>0.5</v>
      </c>
      <c r="L211" s="18">
        <f>1/5</f>
        <v>0.2</v>
      </c>
      <c r="M211" s="19">
        <f t="shared" si="12"/>
        <v>6.541666666666667</v>
      </c>
      <c r="N211" s="44">
        <f t="shared" si="13"/>
        <v>13.083333333333334</v>
      </c>
      <c r="O211" s="44">
        <f t="shared" si="14"/>
        <v>65.416666666666671</v>
      </c>
      <c r="P211" s="22">
        <f t="shared" si="15"/>
        <v>71.958333333333343</v>
      </c>
    </row>
    <row r="212" spans="1:16" x14ac:dyDescent="0.3">
      <c r="A212" s="40">
        <v>211</v>
      </c>
      <c r="C212" s="21">
        <v>1641</v>
      </c>
      <c r="D212" s="15" t="s">
        <v>505</v>
      </c>
      <c r="E212" s="15">
        <f>35+23</f>
        <v>58</v>
      </c>
      <c r="F212" s="35" t="s">
        <v>34</v>
      </c>
      <c r="G212" s="16">
        <v>1591.34</v>
      </c>
      <c r="H212" s="16">
        <v>1680</v>
      </c>
      <c r="I212" s="16">
        <v>-88.66</v>
      </c>
      <c r="J212" s="17">
        <v>-5.28</v>
      </c>
      <c r="K212" s="18">
        <f>10/30</f>
        <v>0.33333333333333331</v>
      </c>
      <c r="L212" s="18">
        <f>1/3</f>
        <v>0.33333333333333331</v>
      </c>
      <c r="M212" s="19">
        <f t="shared" si="12"/>
        <v>1.6111111111111109</v>
      </c>
      <c r="N212" s="44">
        <f t="shared" si="13"/>
        <v>3.2222222222222219</v>
      </c>
      <c r="O212" s="44">
        <f t="shared" si="14"/>
        <v>14.5</v>
      </c>
      <c r="P212" s="22">
        <f t="shared" si="15"/>
        <v>16.111111111111111</v>
      </c>
    </row>
    <row r="213" spans="1:16" x14ac:dyDescent="0.3">
      <c r="A213" s="40">
        <v>212</v>
      </c>
      <c r="C213" s="21">
        <v>506</v>
      </c>
      <c r="D213" s="15" t="s">
        <v>506</v>
      </c>
      <c r="E213" s="15">
        <f>17+8</f>
        <v>25</v>
      </c>
      <c r="F213" s="35" t="s">
        <v>9</v>
      </c>
      <c r="G213" s="16">
        <v>1568.73</v>
      </c>
      <c r="H213" s="16">
        <v>0</v>
      </c>
      <c r="I213" s="16">
        <v>1568.73</v>
      </c>
      <c r="J213" s="17">
        <v>100</v>
      </c>
      <c r="K213" s="18">
        <v>1</v>
      </c>
      <c r="L213" s="18">
        <f>1/6</f>
        <v>0.16666666666666666</v>
      </c>
      <c r="M213" s="19">
        <f t="shared" si="12"/>
        <v>2.0833333333333335</v>
      </c>
      <c r="N213" s="44">
        <f t="shared" si="13"/>
        <v>4.166666666666667</v>
      </c>
      <c r="O213" s="44">
        <f t="shared" si="14"/>
        <v>12.500000000000002</v>
      </c>
      <c r="P213" s="22">
        <f t="shared" si="15"/>
        <v>14.583333333333336</v>
      </c>
    </row>
    <row r="214" spans="1:16" x14ac:dyDescent="0.3">
      <c r="A214" s="40">
        <v>213</v>
      </c>
      <c r="C214" s="21">
        <v>4872</v>
      </c>
      <c r="D214" s="15" t="s">
        <v>507</v>
      </c>
      <c r="E214" s="15">
        <v>3</v>
      </c>
      <c r="F214" s="35" t="s">
        <v>9</v>
      </c>
      <c r="G214" s="16">
        <v>1561.5</v>
      </c>
      <c r="H214" s="16">
        <v>1440</v>
      </c>
      <c r="I214" s="16">
        <v>121.5</v>
      </c>
      <c r="J214" s="17">
        <v>8.44</v>
      </c>
      <c r="K214" s="18">
        <v>1</v>
      </c>
      <c r="L214" s="18">
        <f>1/12</f>
        <v>8.3333333333333329E-2</v>
      </c>
      <c r="M214" s="19">
        <f t="shared" si="12"/>
        <v>0.25</v>
      </c>
      <c r="N214" s="44">
        <f t="shared" si="13"/>
        <v>0.5</v>
      </c>
      <c r="O214" s="44">
        <f t="shared" si="14"/>
        <v>3</v>
      </c>
      <c r="P214" s="22">
        <f t="shared" si="15"/>
        <v>3.25</v>
      </c>
    </row>
    <row r="215" spans="1:16" x14ac:dyDescent="0.3">
      <c r="A215" s="40">
        <v>214</v>
      </c>
      <c r="C215" s="47">
        <v>165</v>
      </c>
      <c r="D215" s="15" t="s">
        <v>508</v>
      </c>
      <c r="E215" s="17">
        <f>(5719.55+2229+1759+883)</f>
        <v>10590.55</v>
      </c>
      <c r="F215" s="35" t="s">
        <v>12</v>
      </c>
      <c r="G215" s="16">
        <v>1548.54</v>
      </c>
      <c r="H215" s="16">
        <v>1766</v>
      </c>
      <c r="I215" s="16">
        <v>-217.46</v>
      </c>
      <c r="J215" s="17">
        <v>-12.31</v>
      </c>
      <c r="K215" s="18">
        <f>25/30</f>
        <v>0.83333333333333337</v>
      </c>
      <c r="L215" s="18">
        <f>1/6</f>
        <v>0.16666666666666666</v>
      </c>
      <c r="M215" s="19">
        <f t="shared" si="12"/>
        <v>735.45486111111109</v>
      </c>
      <c r="N215" s="44">
        <f t="shared" si="13"/>
        <v>1470.9097222222222</v>
      </c>
      <c r="O215" s="44">
        <f t="shared" si="14"/>
        <v>5295.2749999999996</v>
      </c>
      <c r="P215" s="22">
        <f t="shared" si="15"/>
        <v>6030.7298611111109</v>
      </c>
    </row>
    <row r="216" spans="1:16" x14ac:dyDescent="0.3">
      <c r="A216" s="40">
        <v>215</v>
      </c>
      <c r="C216" s="21">
        <v>886</v>
      </c>
      <c r="D216" s="15" t="s">
        <v>509</v>
      </c>
      <c r="E216" s="15">
        <f>102+43</f>
        <v>145</v>
      </c>
      <c r="F216" s="35" t="s">
        <v>9</v>
      </c>
      <c r="G216" s="16">
        <v>1543.11</v>
      </c>
      <c r="H216" s="16">
        <v>986.82</v>
      </c>
      <c r="I216" s="16">
        <v>556.29</v>
      </c>
      <c r="J216" s="17">
        <v>56.37</v>
      </c>
      <c r="K216" s="18">
        <f>15/30</f>
        <v>0.5</v>
      </c>
      <c r="L216" s="18">
        <f>1/4</f>
        <v>0.25</v>
      </c>
      <c r="M216" s="19">
        <f t="shared" si="12"/>
        <v>6.041666666666667</v>
      </c>
      <c r="N216" s="44">
        <f t="shared" si="13"/>
        <v>12.083333333333334</v>
      </c>
      <c r="O216" s="44">
        <f t="shared" si="14"/>
        <v>48.333333333333336</v>
      </c>
      <c r="P216" s="22">
        <f t="shared" si="15"/>
        <v>54.375</v>
      </c>
    </row>
    <row r="217" spans="1:16" x14ac:dyDescent="0.3">
      <c r="A217" s="40">
        <v>216</v>
      </c>
      <c r="C217" s="21">
        <v>427</v>
      </c>
      <c r="D217" s="15" t="s">
        <v>375</v>
      </c>
      <c r="E217" s="15">
        <v>16</v>
      </c>
      <c r="F217" s="35" t="s">
        <v>9</v>
      </c>
      <c r="G217" s="16">
        <v>1541.67</v>
      </c>
      <c r="H217" s="16">
        <v>0</v>
      </c>
      <c r="I217" s="16">
        <v>1541.67</v>
      </c>
      <c r="J217" s="17">
        <v>100</v>
      </c>
      <c r="K217" s="18">
        <v>1</v>
      </c>
      <c r="L217" s="18">
        <f>1/12</f>
        <v>8.3333333333333329E-2</v>
      </c>
      <c r="M217" s="19">
        <f t="shared" si="12"/>
        <v>1.3333333333333333</v>
      </c>
      <c r="N217" s="44">
        <f t="shared" si="13"/>
        <v>2.6666666666666665</v>
      </c>
      <c r="O217" s="44">
        <f t="shared" si="14"/>
        <v>16</v>
      </c>
      <c r="P217" s="22">
        <f t="shared" si="15"/>
        <v>17.333333333333332</v>
      </c>
    </row>
    <row r="218" spans="1:16" x14ac:dyDescent="0.3">
      <c r="A218" s="40">
        <v>217</v>
      </c>
      <c r="C218" s="21">
        <v>4042</v>
      </c>
      <c r="D218" s="15" t="s">
        <v>37</v>
      </c>
      <c r="E218" s="15">
        <v>3</v>
      </c>
      <c r="F218" s="35" t="s">
        <v>9</v>
      </c>
      <c r="G218" s="16">
        <v>1540.02</v>
      </c>
      <c r="H218" s="16">
        <v>1305</v>
      </c>
      <c r="I218" s="16">
        <v>235.02</v>
      </c>
      <c r="J218" s="17">
        <v>18.010000000000002</v>
      </c>
      <c r="K218" s="18">
        <v>1</v>
      </c>
      <c r="L218" s="18">
        <f>1/12</f>
        <v>8.3333333333333329E-2</v>
      </c>
      <c r="M218" s="19">
        <f t="shared" si="12"/>
        <v>0.25</v>
      </c>
      <c r="N218" s="44">
        <f t="shared" si="13"/>
        <v>0.5</v>
      </c>
      <c r="O218" s="44">
        <f t="shared" si="14"/>
        <v>3</v>
      </c>
      <c r="P218" s="22">
        <f t="shared" si="15"/>
        <v>3.25</v>
      </c>
    </row>
    <row r="219" spans="1:16" x14ac:dyDescent="0.3">
      <c r="A219" s="40">
        <v>218</v>
      </c>
      <c r="C219" s="21">
        <v>1630</v>
      </c>
      <c r="D219" s="15" t="s">
        <v>510</v>
      </c>
      <c r="E219" s="15">
        <v>10</v>
      </c>
      <c r="F219" s="35" t="s">
        <v>25</v>
      </c>
      <c r="G219" s="16">
        <v>1533.15</v>
      </c>
      <c r="H219" s="16">
        <v>1350</v>
      </c>
      <c r="I219" s="16">
        <v>183.15</v>
      </c>
      <c r="J219" s="17">
        <v>13.57</v>
      </c>
      <c r="K219" s="18">
        <f>10/30</f>
        <v>0.33333333333333331</v>
      </c>
      <c r="L219" s="18">
        <f>1/3</f>
        <v>0.33333333333333331</v>
      </c>
      <c r="M219" s="19">
        <f t="shared" si="12"/>
        <v>0.27777777777777779</v>
      </c>
      <c r="N219" s="44">
        <f t="shared" si="13"/>
        <v>0.55555555555555558</v>
      </c>
      <c r="O219" s="44">
        <f t="shared" si="14"/>
        <v>2.5000000000000004</v>
      </c>
      <c r="P219" s="22">
        <f t="shared" si="15"/>
        <v>2.7777777777777781</v>
      </c>
    </row>
    <row r="220" spans="1:16" x14ac:dyDescent="0.3">
      <c r="A220" s="40">
        <v>219</v>
      </c>
      <c r="C220" s="47">
        <v>729</v>
      </c>
      <c r="D220" s="15" t="s">
        <v>511</v>
      </c>
      <c r="E220" s="15">
        <f>2+1</f>
        <v>3</v>
      </c>
      <c r="F220" s="35" t="s">
        <v>9</v>
      </c>
      <c r="G220" s="16">
        <v>1517.98</v>
      </c>
      <c r="H220" s="16">
        <v>1640</v>
      </c>
      <c r="I220" s="16">
        <v>-122.02</v>
      </c>
      <c r="J220" s="17">
        <v>-7.44</v>
      </c>
      <c r="K220" s="18">
        <v>1</v>
      </c>
      <c r="L220" s="18">
        <f>1/12</f>
        <v>8.3333333333333329E-2</v>
      </c>
      <c r="M220" s="19">
        <f t="shared" si="12"/>
        <v>0.25</v>
      </c>
      <c r="N220" s="44">
        <f t="shared" si="13"/>
        <v>0.5</v>
      </c>
      <c r="O220" s="44">
        <f t="shared" si="14"/>
        <v>3</v>
      </c>
      <c r="P220" s="22">
        <f t="shared" si="15"/>
        <v>3.25</v>
      </c>
    </row>
    <row r="221" spans="1:16" x14ac:dyDescent="0.3">
      <c r="A221" s="40">
        <v>220</v>
      </c>
      <c r="C221" s="21">
        <v>2494</v>
      </c>
      <c r="D221" s="15" t="s">
        <v>512</v>
      </c>
      <c r="E221" s="15">
        <v>1</v>
      </c>
      <c r="F221" s="35" t="s">
        <v>9</v>
      </c>
      <c r="G221" s="16">
        <v>1510.99</v>
      </c>
      <c r="H221" s="16">
        <v>1160</v>
      </c>
      <c r="I221" s="16">
        <v>350.99</v>
      </c>
      <c r="J221" s="17">
        <v>30.26</v>
      </c>
      <c r="K221" s="18">
        <v>1</v>
      </c>
      <c r="L221" s="18">
        <f>1/12</f>
        <v>8.3333333333333329E-2</v>
      </c>
      <c r="M221" s="19">
        <f t="shared" si="12"/>
        <v>8.3333333333333329E-2</v>
      </c>
      <c r="N221" s="44">
        <f t="shared" si="13"/>
        <v>0.16666666666666666</v>
      </c>
      <c r="O221" s="44">
        <f t="shared" si="14"/>
        <v>1</v>
      </c>
      <c r="P221" s="22">
        <f t="shared" si="15"/>
        <v>1.0833333333333333</v>
      </c>
    </row>
    <row r="222" spans="1:16" x14ac:dyDescent="0.3">
      <c r="A222" s="40">
        <v>221</v>
      </c>
      <c r="C222" s="21">
        <v>2897</v>
      </c>
      <c r="D222" s="15" t="s">
        <v>513</v>
      </c>
      <c r="E222" s="15">
        <v>1</v>
      </c>
      <c r="F222" s="35" t="s">
        <v>9</v>
      </c>
      <c r="G222" s="16">
        <v>1510</v>
      </c>
      <c r="H222" s="16">
        <v>1575</v>
      </c>
      <c r="I222" s="16">
        <v>-65</v>
      </c>
      <c r="J222" s="17">
        <v>-4.13</v>
      </c>
      <c r="K222" s="18">
        <v>1</v>
      </c>
      <c r="L222" s="18">
        <f>1/12</f>
        <v>8.3333333333333329E-2</v>
      </c>
      <c r="M222" s="19">
        <f t="shared" si="12"/>
        <v>8.3333333333333329E-2</v>
      </c>
      <c r="N222" s="44">
        <f t="shared" si="13"/>
        <v>0.16666666666666666</v>
      </c>
      <c r="O222" s="44">
        <f t="shared" si="14"/>
        <v>1</v>
      </c>
      <c r="P222" s="22">
        <f t="shared" si="15"/>
        <v>1.0833333333333333</v>
      </c>
    </row>
    <row r="223" spans="1:16" x14ac:dyDescent="0.3">
      <c r="A223" s="40">
        <v>222</v>
      </c>
      <c r="C223" s="21">
        <v>2901</v>
      </c>
      <c r="D223" s="15" t="s">
        <v>514</v>
      </c>
      <c r="E223" s="15">
        <v>22</v>
      </c>
      <c r="F223" s="35" t="s">
        <v>9</v>
      </c>
      <c r="G223" s="16">
        <v>1499.63</v>
      </c>
      <c r="H223" s="16">
        <v>1194.04</v>
      </c>
      <c r="I223" s="16">
        <v>305.58999999999997</v>
      </c>
      <c r="J223" s="17">
        <v>25.59</v>
      </c>
      <c r="K223" s="18">
        <f>20/30</f>
        <v>0.66666666666666663</v>
      </c>
      <c r="L223" s="18">
        <f>1/6</f>
        <v>0.16666666666666666</v>
      </c>
      <c r="M223" s="19">
        <f t="shared" si="12"/>
        <v>1.2222222222222221</v>
      </c>
      <c r="N223" s="44">
        <f t="shared" si="13"/>
        <v>2.4444444444444442</v>
      </c>
      <c r="O223" s="44">
        <f t="shared" si="14"/>
        <v>11</v>
      </c>
      <c r="P223" s="22">
        <f t="shared" si="15"/>
        <v>12.222222222222221</v>
      </c>
    </row>
    <row r="224" spans="1:16" x14ac:dyDescent="0.3">
      <c r="A224" s="40">
        <v>223</v>
      </c>
      <c r="C224" s="21">
        <v>417</v>
      </c>
      <c r="D224" s="15" t="s">
        <v>139</v>
      </c>
      <c r="E224" s="15">
        <f>39+20</f>
        <v>59</v>
      </c>
      <c r="F224" s="35" t="s">
        <v>9</v>
      </c>
      <c r="G224" s="16">
        <v>1490.87</v>
      </c>
      <c r="H224" s="16">
        <v>472.5</v>
      </c>
      <c r="I224" s="16">
        <v>1018.37</v>
      </c>
      <c r="J224" s="17">
        <v>215.53</v>
      </c>
      <c r="K224" s="18">
        <f>20/30</f>
        <v>0.66666666666666663</v>
      </c>
      <c r="L224" s="18">
        <f>1/6</f>
        <v>0.16666666666666666</v>
      </c>
      <c r="M224" s="19">
        <f t="shared" si="12"/>
        <v>3.2777777777777777</v>
      </c>
      <c r="N224" s="44">
        <f t="shared" si="13"/>
        <v>6.5555555555555554</v>
      </c>
      <c r="O224" s="44">
        <f t="shared" si="14"/>
        <v>29.500000000000004</v>
      </c>
      <c r="P224" s="22">
        <f t="shared" si="15"/>
        <v>32.777777777777779</v>
      </c>
    </row>
    <row r="225" spans="1:16" x14ac:dyDescent="0.3">
      <c r="A225" s="40">
        <v>224</v>
      </c>
      <c r="C225" s="21">
        <v>1192</v>
      </c>
      <c r="D225" s="15" t="s">
        <v>320</v>
      </c>
      <c r="E225" s="17">
        <f>76.71+56.38</f>
        <v>133.09</v>
      </c>
      <c r="F225" s="35" t="s">
        <v>16</v>
      </c>
      <c r="G225" s="16">
        <v>1489.87</v>
      </c>
      <c r="H225" s="16">
        <v>1419.13</v>
      </c>
      <c r="I225" s="16">
        <v>70.73</v>
      </c>
      <c r="J225" s="17">
        <v>4.9800000000000004</v>
      </c>
      <c r="K225" s="18">
        <v>1</v>
      </c>
      <c r="L225" s="18">
        <f>1/5</f>
        <v>0.2</v>
      </c>
      <c r="M225" s="19">
        <f t="shared" si="12"/>
        <v>11.090833333333334</v>
      </c>
      <c r="N225" s="44">
        <f t="shared" si="13"/>
        <v>22.181666666666668</v>
      </c>
      <c r="O225" s="44">
        <f t="shared" si="14"/>
        <v>55.454166666666666</v>
      </c>
      <c r="P225" s="22">
        <f t="shared" si="15"/>
        <v>66.545000000000002</v>
      </c>
    </row>
    <row r="226" spans="1:16" x14ac:dyDescent="0.3">
      <c r="A226" s="40">
        <v>225</v>
      </c>
      <c r="C226" s="21">
        <v>401</v>
      </c>
      <c r="D226" s="15" t="s">
        <v>332</v>
      </c>
      <c r="E226" s="17">
        <v>88.28</v>
      </c>
      <c r="F226" s="35" t="s">
        <v>16</v>
      </c>
      <c r="G226" s="16">
        <v>1483.42</v>
      </c>
      <c r="H226" s="16">
        <v>1093.03</v>
      </c>
      <c r="I226" s="16">
        <v>390.39</v>
      </c>
      <c r="J226" s="17">
        <v>35.72</v>
      </c>
      <c r="K226" s="18">
        <f>10/30</f>
        <v>0.33333333333333331</v>
      </c>
      <c r="L226" s="18">
        <f>1/5</f>
        <v>0.2</v>
      </c>
      <c r="M226" s="19">
        <f t="shared" si="12"/>
        <v>2.4522222222222219</v>
      </c>
      <c r="N226" s="44">
        <f t="shared" si="13"/>
        <v>4.9044444444444437</v>
      </c>
      <c r="O226" s="44">
        <f t="shared" si="14"/>
        <v>36.783333333333331</v>
      </c>
      <c r="P226" s="22">
        <f t="shared" si="15"/>
        <v>39.23555555555555</v>
      </c>
    </row>
    <row r="227" spans="1:16" x14ac:dyDescent="0.3">
      <c r="A227" s="40">
        <v>226</v>
      </c>
      <c r="C227" s="47">
        <v>729</v>
      </c>
      <c r="D227" s="15" t="s">
        <v>515</v>
      </c>
      <c r="E227" s="15">
        <v>11</v>
      </c>
      <c r="F227" s="35" t="s">
        <v>9</v>
      </c>
      <c r="G227" s="16">
        <v>1482.37</v>
      </c>
      <c r="H227" s="16">
        <v>0</v>
      </c>
      <c r="I227" s="16">
        <v>1482.37</v>
      </c>
      <c r="J227" s="17">
        <v>100</v>
      </c>
      <c r="K227" s="18">
        <f>10/30</f>
        <v>0.33333333333333331</v>
      </c>
      <c r="L227" s="18">
        <f>1/3</f>
        <v>0.33333333333333331</v>
      </c>
      <c r="M227" s="19">
        <f t="shared" si="12"/>
        <v>0.30555555555555552</v>
      </c>
      <c r="N227" s="44">
        <f t="shared" si="13"/>
        <v>0.61111111111111105</v>
      </c>
      <c r="O227" s="44">
        <f t="shared" si="14"/>
        <v>2.75</v>
      </c>
      <c r="P227" s="22">
        <f t="shared" si="15"/>
        <v>3.0555555555555554</v>
      </c>
    </row>
    <row r="228" spans="1:16" x14ac:dyDescent="0.3">
      <c r="A228" s="40">
        <v>227</v>
      </c>
      <c r="C228" s="47">
        <v>629</v>
      </c>
      <c r="D228" s="15" t="s">
        <v>516</v>
      </c>
      <c r="E228" s="15">
        <v>127</v>
      </c>
      <c r="F228" s="35" t="s">
        <v>9</v>
      </c>
      <c r="G228" s="16">
        <v>1465.02</v>
      </c>
      <c r="H228" s="16">
        <v>1162.96</v>
      </c>
      <c r="I228" s="16">
        <v>302.06</v>
      </c>
      <c r="J228" s="17">
        <v>25.97</v>
      </c>
      <c r="K228" s="18">
        <v>1</v>
      </c>
      <c r="L228" s="18">
        <f>1/6</f>
        <v>0.16666666666666666</v>
      </c>
      <c r="M228" s="19">
        <f t="shared" si="12"/>
        <v>10.583333333333334</v>
      </c>
      <c r="N228" s="44">
        <f t="shared" si="13"/>
        <v>21.166666666666668</v>
      </c>
      <c r="O228" s="44">
        <f t="shared" si="14"/>
        <v>63.500000000000007</v>
      </c>
      <c r="P228" s="22">
        <f t="shared" si="15"/>
        <v>74.083333333333343</v>
      </c>
    </row>
    <row r="229" spans="1:16" x14ac:dyDescent="0.3">
      <c r="A229" s="40">
        <v>228</v>
      </c>
      <c r="C229" s="21">
        <v>5046</v>
      </c>
      <c r="D229" s="15" t="s">
        <v>517</v>
      </c>
      <c r="E229" s="15">
        <v>48</v>
      </c>
      <c r="F229" s="35" t="s">
        <v>9</v>
      </c>
      <c r="G229" s="16">
        <v>1459.32</v>
      </c>
      <c r="H229" s="16">
        <v>994.5</v>
      </c>
      <c r="I229" s="16">
        <v>464.82</v>
      </c>
      <c r="J229" s="17">
        <v>46.74</v>
      </c>
      <c r="K229" s="18">
        <v>1</v>
      </c>
      <c r="L229" s="18">
        <f>1/8</f>
        <v>0.125</v>
      </c>
      <c r="M229" s="19">
        <f t="shared" si="12"/>
        <v>4</v>
      </c>
      <c r="N229" s="44">
        <f t="shared" si="13"/>
        <v>8</v>
      </c>
      <c r="O229" s="44">
        <f t="shared" si="14"/>
        <v>32</v>
      </c>
      <c r="P229" s="22">
        <f t="shared" si="15"/>
        <v>36</v>
      </c>
    </row>
    <row r="230" spans="1:16" x14ac:dyDescent="0.3">
      <c r="A230" s="40">
        <v>229</v>
      </c>
      <c r="C230" s="21">
        <v>1465</v>
      </c>
      <c r="D230" s="15" t="s">
        <v>26</v>
      </c>
      <c r="E230" s="15">
        <f>37+24</f>
        <v>61</v>
      </c>
      <c r="F230" s="35" t="s">
        <v>9</v>
      </c>
      <c r="G230" s="16">
        <v>1453.56</v>
      </c>
      <c r="H230" s="16">
        <v>1431.9</v>
      </c>
      <c r="I230" s="16">
        <v>21.66</v>
      </c>
      <c r="J230" s="17">
        <v>1.51</v>
      </c>
      <c r="K230" s="18">
        <v>1</v>
      </c>
      <c r="L230" s="18">
        <f>1/4</f>
        <v>0.25</v>
      </c>
      <c r="M230" s="19">
        <f t="shared" si="12"/>
        <v>5.083333333333333</v>
      </c>
      <c r="N230" s="44">
        <f t="shared" si="13"/>
        <v>10.166666666666666</v>
      </c>
      <c r="O230" s="44">
        <f t="shared" si="14"/>
        <v>20.333333333333332</v>
      </c>
      <c r="P230" s="22">
        <f t="shared" si="15"/>
        <v>25.416666666666664</v>
      </c>
    </row>
    <row r="231" spans="1:16" x14ac:dyDescent="0.3">
      <c r="A231" s="40">
        <v>230</v>
      </c>
      <c r="C231" s="47">
        <v>249</v>
      </c>
      <c r="D231" s="15" t="s">
        <v>518</v>
      </c>
      <c r="E231" s="15">
        <v>2</v>
      </c>
      <c r="F231" s="35" t="s">
        <v>9</v>
      </c>
      <c r="G231" s="16">
        <v>1444</v>
      </c>
      <c r="H231" s="16">
        <v>1604</v>
      </c>
      <c r="I231" s="16">
        <v>-160</v>
      </c>
      <c r="J231" s="17">
        <v>-9.98</v>
      </c>
      <c r="K231" s="18">
        <f>20/30</f>
        <v>0.66666666666666663</v>
      </c>
      <c r="L231" s="18">
        <f>1/4</f>
        <v>0.25</v>
      </c>
      <c r="M231" s="19">
        <f t="shared" si="12"/>
        <v>0.1111111111111111</v>
      </c>
      <c r="N231" s="44">
        <f t="shared" si="13"/>
        <v>0.22222222222222221</v>
      </c>
      <c r="O231" s="44">
        <f t="shared" si="14"/>
        <v>0.66666666666666663</v>
      </c>
      <c r="P231" s="22">
        <f t="shared" si="15"/>
        <v>0.77777777777777768</v>
      </c>
    </row>
    <row r="232" spans="1:16" x14ac:dyDescent="0.3">
      <c r="A232" s="40">
        <v>231</v>
      </c>
      <c r="C232" s="21">
        <v>49</v>
      </c>
      <c r="D232" s="15" t="s">
        <v>519</v>
      </c>
      <c r="E232" s="15">
        <f>8+4</f>
        <v>12</v>
      </c>
      <c r="F232" s="35" t="s">
        <v>9</v>
      </c>
      <c r="G232" s="16">
        <v>1439.67</v>
      </c>
      <c r="H232" s="16">
        <v>1040</v>
      </c>
      <c r="I232" s="16">
        <v>399.67</v>
      </c>
      <c r="J232" s="17">
        <v>38.43</v>
      </c>
      <c r="K232" s="18">
        <f>10/30</f>
        <v>0.33333333333333331</v>
      </c>
      <c r="L232" s="18">
        <f>1/3</f>
        <v>0.33333333333333331</v>
      </c>
      <c r="M232" s="19">
        <f t="shared" si="12"/>
        <v>0.33333333333333331</v>
      </c>
      <c r="N232" s="44">
        <f t="shared" si="13"/>
        <v>0.66666666666666663</v>
      </c>
      <c r="O232" s="44">
        <f t="shared" si="14"/>
        <v>3</v>
      </c>
      <c r="P232" s="22">
        <f t="shared" si="15"/>
        <v>3.3333333333333335</v>
      </c>
    </row>
    <row r="233" spans="1:16" x14ac:dyDescent="0.3">
      <c r="A233" s="40">
        <v>232</v>
      </c>
      <c r="C233" s="21">
        <v>1811</v>
      </c>
      <c r="D233" s="15" t="s">
        <v>520</v>
      </c>
      <c r="E233" s="15">
        <v>72</v>
      </c>
      <c r="F233" s="35" t="s">
        <v>9</v>
      </c>
      <c r="G233" s="16">
        <v>1432.35</v>
      </c>
      <c r="H233" s="16">
        <v>1047.02</v>
      </c>
      <c r="I233" s="16">
        <v>385.33</v>
      </c>
      <c r="J233" s="17">
        <v>36.799999999999997</v>
      </c>
      <c r="K233" s="18">
        <v>1</v>
      </c>
      <c r="L233" s="18">
        <f>1/6</f>
        <v>0.16666666666666666</v>
      </c>
      <c r="M233" s="19">
        <f t="shared" si="12"/>
        <v>6</v>
      </c>
      <c r="N233" s="44">
        <f t="shared" si="13"/>
        <v>12</v>
      </c>
      <c r="O233" s="44">
        <f t="shared" si="14"/>
        <v>36</v>
      </c>
      <c r="P233" s="22">
        <f t="shared" si="15"/>
        <v>42</v>
      </c>
    </row>
    <row r="234" spans="1:16" x14ac:dyDescent="0.3">
      <c r="A234" s="40">
        <v>233</v>
      </c>
      <c r="C234" s="21">
        <v>1705</v>
      </c>
      <c r="D234" s="15" t="s">
        <v>521</v>
      </c>
      <c r="E234" s="15">
        <v>16</v>
      </c>
      <c r="F234" s="35" t="s">
        <v>9</v>
      </c>
      <c r="G234" s="16">
        <v>1431.18</v>
      </c>
      <c r="H234" s="16">
        <v>1467.2</v>
      </c>
      <c r="I234" s="16">
        <v>-36.020000000000003</v>
      </c>
      <c r="J234" s="17">
        <v>-2.46</v>
      </c>
      <c r="K234" s="18">
        <v>1</v>
      </c>
      <c r="L234" s="18">
        <f>1/6</f>
        <v>0.16666666666666666</v>
      </c>
      <c r="M234" s="19">
        <f t="shared" si="12"/>
        <v>1.3333333333333333</v>
      </c>
      <c r="N234" s="44">
        <f t="shared" si="13"/>
        <v>2.6666666666666665</v>
      </c>
      <c r="O234" s="44">
        <f t="shared" si="14"/>
        <v>8</v>
      </c>
      <c r="P234" s="22">
        <f t="shared" si="15"/>
        <v>9.3333333333333339</v>
      </c>
    </row>
    <row r="235" spans="1:16" x14ac:dyDescent="0.3">
      <c r="A235" s="40">
        <v>234</v>
      </c>
      <c r="C235" s="21">
        <v>172</v>
      </c>
      <c r="D235" s="15" t="s">
        <v>522</v>
      </c>
      <c r="E235" s="17">
        <v>1166.9000000000001</v>
      </c>
      <c r="F235" s="35" t="s">
        <v>12</v>
      </c>
      <c r="G235" s="16">
        <v>1423.34</v>
      </c>
      <c r="H235" s="16">
        <v>1269.1300000000001</v>
      </c>
      <c r="I235" s="16">
        <v>154.21</v>
      </c>
      <c r="J235" s="17">
        <v>12.15</v>
      </c>
      <c r="K235" s="18">
        <f>25/30</f>
        <v>0.83333333333333337</v>
      </c>
      <c r="L235" s="18">
        <f>1/6</f>
        <v>0.16666666666666666</v>
      </c>
      <c r="M235" s="19">
        <f t="shared" si="12"/>
        <v>81.034722222222229</v>
      </c>
      <c r="N235" s="44">
        <f t="shared" si="13"/>
        <v>162.06944444444446</v>
      </c>
      <c r="O235" s="44">
        <f t="shared" si="14"/>
        <v>583.45000000000005</v>
      </c>
      <c r="P235" s="22">
        <f t="shared" si="15"/>
        <v>664.48472222222222</v>
      </c>
    </row>
    <row r="236" spans="1:16" x14ac:dyDescent="0.3">
      <c r="A236" s="40">
        <v>235</v>
      </c>
      <c r="C236" s="21">
        <v>324</v>
      </c>
      <c r="D236" s="15" t="s">
        <v>523</v>
      </c>
      <c r="E236" s="15">
        <v>35</v>
      </c>
      <c r="F236" s="35" t="s">
        <v>22</v>
      </c>
      <c r="G236" s="16">
        <v>1421.94</v>
      </c>
      <c r="H236" s="16">
        <v>1020</v>
      </c>
      <c r="I236" s="16">
        <v>401.94</v>
      </c>
      <c r="J236" s="17">
        <v>39.409999999999997</v>
      </c>
      <c r="K236" s="18">
        <f>20/30</f>
        <v>0.66666666666666663</v>
      </c>
      <c r="L236" s="18">
        <f>1/6</f>
        <v>0.16666666666666666</v>
      </c>
      <c r="M236" s="19">
        <f t="shared" si="12"/>
        <v>1.9444444444444442</v>
      </c>
      <c r="N236" s="44">
        <f t="shared" si="13"/>
        <v>3.8888888888888884</v>
      </c>
      <c r="O236" s="44">
        <f t="shared" si="14"/>
        <v>17.5</v>
      </c>
      <c r="P236" s="22">
        <f t="shared" si="15"/>
        <v>19.444444444444443</v>
      </c>
    </row>
    <row r="237" spans="1:16" x14ac:dyDescent="0.3">
      <c r="A237" s="40">
        <v>236</v>
      </c>
      <c r="C237" s="21">
        <v>4523</v>
      </c>
      <c r="D237" s="15" t="s">
        <v>524</v>
      </c>
      <c r="E237" s="17">
        <f>55.37+27.6</f>
        <v>82.97</v>
      </c>
      <c r="F237" s="35" t="s">
        <v>12</v>
      </c>
      <c r="G237" s="16">
        <v>1421.4</v>
      </c>
      <c r="H237" s="16">
        <v>1384.25</v>
      </c>
      <c r="I237" s="16">
        <v>37.15</v>
      </c>
      <c r="J237" s="17">
        <v>2.68</v>
      </c>
      <c r="K237" s="18">
        <v>1</v>
      </c>
      <c r="L237" s="18">
        <f>1/12</f>
        <v>8.3333333333333329E-2</v>
      </c>
      <c r="M237" s="19">
        <f t="shared" si="12"/>
        <v>6.9141666666666666</v>
      </c>
      <c r="N237" s="44">
        <f t="shared" si="13"/>
        <v>13.828333333333333</v>
      </c>
      <c r="O237" s="44">
        <f t="shared" si="14"/>
        <v>82.97</v>
      </c>
      <c r="P237" s="22">
        <f t="shared" si="15"/>
        <v>89.884166666666658</v>
      </c>
    </row>
    <row r="238" spans="1:16" x14ac:dyDescent="0.3">
      <c r="A238" s="40">
        <v>237</v>
      </c>
      <c r="C238" s="21">
        <v>3754</v>
      </c>
      <c r="D238" s="15" t="s">
        <v>525</v>
      </c>
      <c r="E238" s="15">
        <v>3</v>
      </c>
      <c r="F238" s="35" t="s">
        <v>9</v>
      </c>
      <c r="G238" s="16">
        <v>1421.36</v>
      </c>
      <c r="H238" s="16">
        <v>778.2</v>
      </c>
      <c r="I238" s="16">
        <v>643.16</v>
      </c>
      <c r="J238" s="17">
        <v>82.65</v>
      </c>
      <c r="K238" s="18">
        <v>1</v>
      </c>
      <c r="L238" s="18">
        <f>1/12</f>
        <v>8.3333333333333329E-2</v>
      </c>
      <c r="M238" s="19">
        <f t="shared" si="12"/>
        <v>0.25</v>
      </c>
      <c r="N238" s="44">
        <f t="shared" si="13"/>
        <v>0.5</v>
      </c>
      <c r="O238" s="44">
        <f t="shared" si="14"/>
        <v>3</v>
      </c>
      <c r="P238" s="22">
        <f t="shared" si="15"/>
        <v>3.25</v>
      </c>
    </row>
    <row r="239" spans="1:16" x14ac:dyDescent="0.3">
      <c r="A239" s="40">
        <v>238</v>
      </c>
      <c r="C239" s="21">
        <v>3258</v>
      </c>
      <c r="D239" s="15" t="s">
        <v>289</v>
      </c>
      <c r="E239" s="17">
        <v>147.69999999999999</v>
      </c>
      <c r="F239" s="35" t="s">
        <v>16</v>
      </c>
      <c r="G239" s="16">
        <v>1417.59</v>
      </c>
      <c r="H239" s="16">
        <v>834.19</v>
      </c>
      <c r="I239" s="16">
        <v>583.39</v>
      </c>
      <c r="J239" s="17">
        <v>69.94</v>
      </c>
      <c r="K239" s="18">
        <v>1</v>
      </c>
      <c r="L239" s="18">
        <f>1/5</f>
        <v>0.2</v>
      </c>
      <c r="M239" s="19">
        <f t="shared" si="12"/>
        <v>12.308333333333332</v>
      </c>
      <c r="N239" s="44">
        <f t="shared" si="13"/>
        <v>24.616666666666664</v>
      </c>
      <c r="O239" s="44">
        <f t="shared" si="14"/>
        <v>61.541666666666657</v>
      </c>
      <c r="P239" s="22">
        <f t="shared" si="15"/>
        <v>73.849999999999994</v>
      </c>
    </row>
    <row r="240" spans="1:16" x14ac:dyDescent="0.3">
      <c r="A240" s="40">
        <v>239</v>
      </c>
      <c r="C240" s="48">
        <v>3219</v>
      </c>
      <c r="D240" s="49" t="s">
        <v>367</v>
      </c>
      <c r="E240" s="15">
        <f>111+54</f>
        <v>165</v>
      </c>
      <c r="F240" s="35" t="s">
        <v>9</v>
      </c>
      <c r="G240" s="16">
        <v>1417.5</v>
      </c>
      <c r="H240" s="16">
        <v>1184.4000000000001</v>
      </c>
      <c r="I240" s="16">
        <v>233.1</v>
      </c>
      <c r="J240" s="17">
        <v>19.68</v>
      </c>
      <c r="K240" s="18">
        <f>15/30</f>
        <v>0.5</v>
      </c>
      <c r="L240" s="18">
        <f>1/4</f>
        <v>0.25</v>
      </c>
      <c r="M240" s="19">
        <f t="shared" si="12"/>
        <v>6.875</v>
      </c>
      <c r="N240" s="44">
        <f t="shared" si="13"/>
        <v>13.75</v>
      </c>
      <c r="O240" s="44">
        <f t="shared" si="14"/>
        <v>55</v>
      </c>
      <c r="P240" s="22">
        <f t="shared" si="15"/>
        <v>61.875</v>
      </c>
    </row>
    <row r="241" spans="1:16" x14ac:dyDescent="0.3">
      <c r="A241" s="40">
        <v>240</v>
      </c>
      <c r="C241" s="21">
        <v>3706</v>
      </c>
      <c r="D241" s="15" t="s">
        <v>526</v>
      </c>
      <c r="E241" s="15">
        <v>10</v>
      </c>
      <c r="F241" s="35" t="s">
        <v>9</v>
      </c>
      <c r="G241" s="16">
        <v>1416.33</v>
      </c>
      <c r="H241" s="16">
        <v>1485</v>
      </c>
      <c r="I241" s="16">
        <v>-68.67</v>
      </c>
      <c r="J241" s="17">
        <v>-4.62</v>
      </c>
      <c r="K241" s="18">
        <v>1</v>
      </c>
      <c r="L241" s="18">
        <f>1/12</f>
        <v>8.3333333333333329E-2</v>
      </c>
      <c r="M241" s="19">
        <f t="shared" si="12"/>
        <v>0.83333333333333337</v>
      </c>
      <c r="N241" s="44">
        <f t="shared" si="13"/>
        <v>1.6666666666666667</v>
      </c>
      <c r="O241" s="44">
        <f t="shared" si="14"/>
        <v>10.000000000000002</v>
      </c>
      <c r="P241" s="22">
        <f t="shared" si="15"/>
        <v>10.833333333333336</v>
      </c>
    </row>
    <row r="242" spans="1:16" x14ac:dyDescent="0.3">
      <c r="A242" s="40">
        <v>241</v>
      </c>
      <c r="C242" s="21">
        <v>340</v>
      </c>
      <c r="D242" s="15" t="s">
        <v>53</v>
      </c>
      <c r="E242" s="15">
        <v>8</v>
      </c>
      <c r="F242" s="35" t="s">
        <v>9</v>
      </c>
      <c r="G242" s="16">
        <v>1413.65</v>
      </c>
      <c r="H242" s="16">
        <v>0</v>
      </c>
      <c r="I242" s="16">
        <v>1413.65</v>
      </c>
      <c r="J242" s="17">
        <v>100</v>
      </c>
      <c r="K242" s="18">
        <v>1</v>
      </c>
      <c r="L242" s="18">
        <f>1/6</f>
        <v>0.16666666666666666</v>
      </c>
      <c r="M242" s="19">
        <f t="shared" si="12"/>
        <v>0.66666666666666663</v>
      </c>
      <c r="N242" s="44">
        <f t="shared" si="13"/>
        <v>1.3333333333333333</v>
      </c>
      <c r="O242" s="44">
        <f t="shared" si="14"/>
        <v>4</v>
      </c>
      <c r="P242" s="22">
        <f t="shared" si="15"/>
        <v>4.666666666666667</v>
      </c>
    </row>
    <row r="243" spans="1:16" x14ac:dyDescent="0.3">
      <c r="A243" s="40">
        <v>242</v>
      </c>
      <c r="C243" s="21">
        <v>4768</v>
      </c>
      <c r="D243" s="15" t="s">
        <v>395</v>
      </c>
      <c r="E243" s="15">
        <v>243</v>
      </c>
      <c r="F243" s="35" t="s">
        <v>9</v>
      </c>
      <c r="G243" s="16">
        <v>1405.15</v>
      </c>
      <c r="H243" s="16">
        <v>1109.74</v>
      </c>
      <c r="I243" s="16">
        <v>295.41000000000003</v>
      </c>
      <c r="J243" s="17">
        <v>26.62</v>
      </c>
      <c r="K243" s="18">
        <f>20/30</f>
        <v>0.66666666666666663</v>
      </c>
      <c r="L243" s="18">
        <f>1/3</f>
        <v>0.33333333333333331</v>
      </c>
      <c r="M243" s="19">
        <f t="shared" si="12"/>
        <v>13.5</v>
      </c>
      <c r="N243" s="44">
        <f t="shared" si="13"/>
        <v>27</v>
      </c>
      <c r="O243" s="44">
        <f t="shared" si="14"/>
        <v>60.75</v>
      </c>
      <c r="P243" s="22">
        <f t="shared" si="15"/>
        <v>74.25</v>
      </c>
    </row>
    <row r="244" spans="1:16" x14ac:dyDescent="0.3">
      <c r="A244" s="40">
        <v>243</v>
      </c>
      <c r="C244" s="21">
        <v>228</v>
      </c>
      <c r="D244" s="15" t="s">
        <v>527</v>
      </c>
      <c r="E244" s="15">
        <v>99</v>
      </c>
      <c r="F244" s="35" t="s">
        <v>9</v>
      </c>
      <c r="G244" s="16">
        <v>1398.13</v>
      </c>
      <c r="H244" s="16">
        <v>950.4</v>
      </c>
      <c r="I244" s="16">
        <v>447.73</v>
      </c>
      <c r="J244" s="17">
        <v>47.11</v>
      </c>
      <c r="K244" s="18">
        <f>25/30</f>
        <v>0.83333333333333337</v>
      </c>
      <c r="L244" s="18">
        <f>1/4</f>
        <v>0.25</v>
      </c>
      <c r="M244" s="19">
        <f t="shared" si="12"/>
        <v>6.875</v>
      </c>
      <c r="N244" s="44">
        <f t="shared" si="13"/>
        <v>13.75</v>
      </c>
      <c r="O244" s="44">
        <f t="shared" si="14"/>
        <v>33</v>
      </c>
      <c r="P244" s="22">
        <f t="shared" si="15"/>
        <v>39.875</v>
      </c>
    </row>
    <row r="245" spans="1:16" x14ac:dyDescent="0.3">
      <c r="A245" s="40">
        <v>244</v>
      </c>
      <c r="C245" s="47">
        <v>345</v>
      </c>
      <c r="D245" s="15" t="s">
        <v>528</v>
      </c>
      <c r="E245" s="17">
        <v>177.5</v>
      </c>
      <c r="F245" s="35" t="s">
        <v>12</v>
      </c>
      <c r="G245" s="16">
        <v>1396</v>
      </c>
      <c r="H245" s="16">
        <v>1515.74</v>
      </c>
      <c r="I245" s="16">
        <v>-119.74</v>
      </c>
      <c r="J245" s="17">
        <v>-7.9</v>
      </c>
      <c r="K245" s="18">
        <f>15/30</f>
        <v>0.5</v>
      </c>
      <c r="L245" s="18">
        <f>1/2</f>
        <v>0.5</v>
      </c>
      <c r="M245" s="19">
        <f t="shared" si="12"/>
        <v>7.395833333333333</v>
      </c>
      <c r="N245" s="44">
        <f t="shared" si="13"/>
        <v>14.791666666666666</v>
      </c>
      <c r="O245" s="44">
        <f t="shared" si="14"/>
        <v>29.583333333333332</v>
      </c>
      <c r="P245" s="22">
        <f t="shared" si="15"/>
        <v>36.979166666666664</v>
      </c>
    </row>
    <row r="246" spans="1:16" x14ac:dyDescent="0.3">
      <c r="A246" s="40">
        <v>245</v>
      </c>
      <c r="C246" s="21">
        <v>517</v>
      </c>
      <c r="D246" s="15" t="s">
        <v>529</v>
      </c>
      <c r="E246" s="15">
        <f>90+70</f>
        <v>160</v>
      </c>
      <c r="F246" s="35" t="s">
        <v>12</v>
      </c>
      <c r="G246" s="16">
        <v>1395</v>
      </c>
      <c r="H246" s="16">
        <v>0</v>
      </c>
      <c r="I246" s="16">
        <v>1395</v>
      </c>
      <c r="J246" s="17">
        <v>100</v>
      </c>
      <c r="K246" s="18">
        <v>1</v>
      </c>
      <c r="L246" s="18">
        <f>1/6</f>
        <v>0.16666666666666666</v>
      </c>
      <c r="M246" s="19">
        <f t="shared" si="12"/>
        <v>13.333333333333334</v>
      </c>
      <c r="N246" s="44">
        <f t="shared" si="13"/>
        <v>26.666666666666668</v>
      </c>
      <c r="O246" s="44">
        <f t="shared" si="14"/>
        <v>80.000000000000014</v>
      </c>
      <c r="P246" s="22">
        <f t="shared" si="15"/>
        <v>93.333333333333343</v>
      </c>
    </row>
    <row r="247" spans="1:16" x14ac:dyDescent="0.3">
      <c r="A247" s="40">
        <v>246</v>
      </c>
      <c r="C247" s="48">
        <v>3783</v>
      </c>
      <c r="D247" s="49" t="s">
        <v>530</v>
      </c>
      <c r="E247" s="15">
        <f>61+98</f>
        <v>159</v>
      </c>
      <c r="F247" s="35" t="s">
        <v>9</v>
      </c>
      <c r="G247" s="16">
        <v>1394.99</v>
      </c>
      <c r="H247" s="16">
        <v>1372.5</v>
      </c>
      <c r="I247" s="16">
        <v>22.49</v>
      </c>
      <c r="J247" s="17">
        <v>1.64</v>
      </c>
      <c r="K247" s="18">
        <f>20/30</f>
        <v>0.66666666666666663</v>
      </c>
      <c r="L247" s="18">
        <f>1/4</f>
        <v>0.25</v>
      </c>
      <c r="M247" s="19">
        <f t="shared" si="12"/>
        <v>8.8333333333333321</v>
      </c>
      <c r="N247" s="44">
        <f t="shared" si="13"/>
        <v>17.666666666666664</v>
      </c>
      <c r="O247" s="44">
        <f t="shared" si="14"/>
        <v>53</v>
      </c>
      <c r="P247" s="22">
        <f t="shared" si="15"/>
        <v>61.833333333333329</v>
      </c>
    </row>
    <row r="248" spans="1:16" x14ac:dyDescent="0.3">
      <c r="A248" s="40">
        <v>247</v>
      </c>
      <c r="C248" s="48">
        <v>4614</v>
      </c>
      <c r="D248" s="49" t="s">
        <v>531</v>
      </c>
      <c r="E248" s="15">
        <f>5+5+5</f>
        <v>15</v>
      </c>
      <c r="F248" s="35" t="s">
        <v>9</v>
      </c>
      <c r="G248" s="16">
        <v>1388.7</v>
      </c>
      <c r="H248" s="16">
        <v>1575</v>
      </c>
      <c r="I248" s="16">
        <v>-186.3</v>
      </c>
      <c r="J248" s="17">
        <v>-11.83</v>
      </c>
      <c r="K248" s="18">
        <v>1</v>
      </c>
      <c r="L248" s="18">
        <f>1/6</f>
        <v>0.16666666666666666</v>
      </c>
      <c r="M248" s="19">
        <f t="shared" si="12"/>
        <v>1.25</v>
      </c>
      <c r="N248" s="44">
        <f t="shared" si="13"/>
        <v>2.5</v>
      </c>
      <c r="O248" s="44">
        <f t="shared" si="14"/>
        <v>7.5</v>
      </c>
      <c r="P248" s="22">
        <f t="shared" si="15"/>
        <v>8.75</v>
      </c>
    </row>
    <row r="249" spans="1:16" x14ac:dyDescent="0.3">
      <c r="A249" s="40">
        <v>248</v>
      </c>
      <c r="C249" s="21">
        <v>5042</v>
      </c>
      <c r="D249" s="15" t="s">
        <v>532</v>
      </c>
      <c r="E249" s="15">
        <f>4+3</f>
        <v>7</v>
      </c>
      <c r="F249" s="35" t="s">
        <v>9</v>
      </c>
      <c r="G249" s="16">
        <v>1387.8</v>
      </c>
      <c r="H249" s="16">
        <v>1040</v>
      </c>
      <c r="I249" s="16">
        <v>347.8</v>
      </c>
      <c r="J249" s="17">
        <v>33.44</v>
      </c>
      <c r="K249" s="18">
        <v>1</v>
      </c>
      <c r="L249" s="18">
        <f>1/6</f>
        <v>0.16666666666666666</v>
      </c>
      <c r="M249" s="19">
        <f t="shared" si="12"/>
        <v>0.58333333333333337</v>
      </c>
      <c r="N249" s="44">
        <f t="shared" si="13"/>
        <v>1.1666666666666667</v>
      </c>
      <c r="O249" s="44">
        <f t="shared" si="14"/>
        <v>3.5000000000000004</v>
      </c>
      <c r="P249" s="22">
        <f t="shared" si="15"/>
        <v>4.0833333333333339</v>
      </c>
    </row>
    <row r="250" spans="1:16" x14ac:dyDescent="0.3">
      <c r="A250" s="40">
        <v>249</v>
      </c>
      <c r="C250" s="21">
        <v>1388</v>
      </c>
      <c r="D250" s="15" t="s">
        <v>533</v>
      </c>
      <c r="E250" s="17">
        <v>29.5</v>
      </c>
      <c r="F250" s="35" t="s">
        <v>9</v>
      </c>
      <c r="G250" s="16">
        <v>1383.57</v>
      </c>
      <c r="H250" s="16">
        <v>3245</v>
      </c>
      <c r="I250" s="16">
        <v>-1861.43</v>
      </c>
      <c r="J250" s="17">
        <v>-57.36</v>
      </c>
      <c r="K250" s="18">
        <v>1</v>
      </c>
      <c r="L250" s="18">
        <f>1/4</f>
        <v>0.25</v>
      </c>
      <c r="M250" s="19">
        <f t="shared" si="12"/>
        <v>2.4583333333333335</v>
      </c>
      <c r="N250" s="44">
        <f t="shared" si="13"/>
        <v>4.916666666666667</v>
      </c>
      <c r="O250" s="44">
        <f t="shared" si="14"/>
        <v>9.8333333333333339</v>
      </c>
      <c r="P250" s="22">
        <f t="shared" si="15"/>
        <v>12.291666666666668</v>
      </c>
    </row>
    <row r="251" spans="1:16" x14ac:dyDescent="0.3">
      <c r="A251" s="40">
        <v>250</v>
      </c>
      <c r="C251" s="21">
        <v>2813</v>
      </c>
      <c r="D251" s="15" t="s">
        <v>534</v>
      </c>
      <c r="E251" s="15">
        <v>764</v>
      </c>
      <c r="F251" s="35" t="s">
        <v>9</v>
      </c>
      <c r="G251" s="16">
        <v>1375.13</v>
      </c>
      <c r="H251" s="16">
        <v>1146</v>
      </c>
      <c r="I251" s="16">
        <v>229.13</v>
      </c>
      <c r="J251" s="17">
        <v>19.989999999999998</v>
      </c>
      <c r="K251" s="18">
        <v>1</v>
      </c>
      <c r="L251" s="18">
        <f>1/4</f>
        <v>0.25</v>
      </c>
      <c r="M251" s="19">
        <f t="shared" si="12"/>
        <v>63.666666666666664</v>
      </c>
      <c r="N251" s="44">
        <f t="shared" si="13"/>
        <v>127.33333333333333</v>
      </c>
      <c r="O251" s="44">
        <f t="shared" si="14"/>
        <v>254.66666666666666</v>
      </c>
      <c r="P251" s="22">
        <f t="shared" si="15"/>
        <v>318.33333333333331</v>
      </c>
    </row>
    <row r="252" spans="1:16" x14ac:dyDescent="0.3">
      <c r="A252" s="40">
        <v>251</v>
      </c>
      <c r="C252" s="21">
        <v>3532</v>
      </c>
      <c r="D252" s="15" t="s">
        <v>535</v>
      </c>
      <c r="E252" s="15">
        <f>6+5+4</f>
        <v>15</v>
      </c>
      <c r="F252" s="35" t="s">
        <v>86</v>
      </c>
      <c r="G252" s="16">
        <v>1370.41</v>
      </c>
      <c r="H252" s="16">
        <v>960</v>
      </c>
      <c r="I252" s="16">
        <v>410.41</v>
      </c>
      <c r="J252" s="17">
        <v>42.75</v>
      </c>
      <c r="K252" s="18">
        <v>1</v>
      </c>
      <c r="L252" s="18">
        <f>1/6</f>
        <v>0.16666666666666666</v>
      </c>
      <c r="M252" s="19">
        <f t="shared" si="12"/>
        <v>1.25</v>
      </c>
      <c r="N252" s="44">
        <f t="shared" si="13"/>
        <v>2.5</v>
      </c>
      <c r="O252" s="44">
        <f t="shared" si="14"/>
        <v>7.5</v>
      </c>
      <c r="P252" s="22">
        <f t="shared" si="15"/>
        <v>8.75</v>
      </c>
    </row>
    <row r="253" spans="1:16" x14ac:dyDescent="0.3">
      <c r="A253" s="40">
        <v>252</v>
      </c>
      <c r="C253" s="21">
        <v>1434</v>
      </c>
      <c r="D253" s="15" t="s">
        <v>536</v>
      </c>
      <c r="E253" s="17">
        <v>41.5</v>
      </c>
      <c r="F253" s="35" t="s">
        <v>9</v>
      </c>
      <c r="G253" s="16">
        <v>1367.07</v>
      </c>
      <c r="H253" s="16">
        <v>6225</v>
      </c>
      <c r="I253" s="16">
        <v>-4857.93</v>
      </c>
      <c r="J253" s="17">
        <v>-78.040000000000006</v>
      </c>
      <c r="K253" s="18">
        <v>1</v>
      </c>
      <c r="L253" s="18">
        <f>1/4</f>
        <v>0.25</v>
      </c>
      <c r="M253" s="19">
        <f t="shared" si="12"/>
        <v>3.4583333333333335</v>
      </c>
      <c r="N253" s="44">
        <f t="shared" si="13"/>
        <v>6.916666666666667</v>
      </c>
      <c r="O253" s="44">
        <f t="shared" si="14"/>
        <v>13.833333333333334</v>
      </c>
      <c r="P253" s="22">
        <f t="shared" si="15"/>
        <v>17.291666666666668</v>
      </c>
    </row>
    <row r="254" spans="1:16" x14ac:dyDescent="0.3">
      <c r="A254" s="40">
        <v>253</v>
      </c>
      <c r="C254" s="21">
        <v>3480</v>
      </c>
      <c r="D254" s="15" t="s">
        <v>537</v>
      </c>
      <c r="E254" s="15">
        <v>12</v>
      </c>
      <c r="F254" s="35" t="s">
        <v>9</v>
      </c>
      <c r="G254" s="16">
        <v>1366.48</v>
      </c>
      <c r="H254" s="16">
        <v>1740</v>
      </c>
      <c r="I254" s="16">
        <v>-373.52</v>
      </c>
      <c r="J254" s="17">
        <v>-21.47</v>
      </c>
      <c r="K254" s="18">
        <v>1</v>
      </c>
      <c r="L254" s="18">
        <f>1/6</f>
        <v>0.16666666666666666</v>
      </c>
      <c r="M254" s="19">
        <f t="shared" si="12"/>
        <v>1</v>
      </c>
      <c r="N254" s="44">
        <f t="shared" si="13"/>
        <v>2</v>
      </c>
      <c r="O254" s="44">
        <f t="shared" si="14"/>
        <v>6</v>
      </c>
      <c r="P254" s="22">
        <f t="shared" si="15"/>
        <v>7</v>
      </c>
    </row>
    <row r="255" spans="1:16" x14ac:dyDescent="0.3">
      <c r="A255" s="40">
        <v>254</v>
      </c>
      <c r="C255" s="21">
        <v>4346</v>
      </c>
      <c r="D255" s="15" t="s">
        <v>538</v>
      </c>
      <c r="E255" s="15">
        <v>68</v>
      </c>
      <c r="F255" s="35" t="s">
        <v>9</v>
      </c>
      <c r="G255" s="16">
        <v>1365.76</v>
      </c>
      <c r="H255" s="16">
        <v>1149.2</v>
      </c>
      <c r="I255" s="16">
        <v>216.56</v>
      </c>
      <c r="J255" s="17">
        <v>18.84</v>
      </c>
      <c r="K255" s="18">
        <v>1</v>
      </c>
      <c r="L255" s="18">
        <f>1/4</f>
        <v>0.25</v>
      </c>
      <c r="M255" s="19">
        <f t="shared" si="12"/>
        <v>5.666666666666667</v>
      </c>
      <c r="N255" s="44">
        <f t="shared" si="13"/>
        <v>11.333333333333334</v>
      </c>
      <c r="O255" s="44">
        <f t="shared" si="14"/>
        <v>22.666666666666668</v>
      </c>
      <c r="P255" s="22">
        <f t="shared" si="15"/>
        <v>28.333333333333336</v>
      </c>
    </row>
    <row r="256" spans="1:16" x14ac:dyDescent="0.3">
      <c r="A256" s="40">
        <v>255</v>
      </c>
      <c r="C256" s="21">
        <v>2107</v>
      </c>
      <c r="D256" s="15" t="s">
        <v>370</v>
      </c>
      <c r="E256" s="15">
        <v>469</v>
      </c>
      <c r="F256" s="35" t="s">
        <v>9</v>
      </c>
      <c r="G256" s="16">
        <v>1355.17</v>
      </c>
      <c r="H256" s="16">
        <v>1201.8900000000001</v>
      </c>
      <c r="I256" s="16">
        <v>153.28</v>
      </c>
      <c r="J256" s="17">
        <v>12.75</v>
      </c>
      <c r="K256" s="18">
        <v>1</v>
      </c>
      <c r="L256" s="18">
        <f>1/3</f>
        <v>0.33333333333333331</v>
      </c>
      <c r="M256" s="19">
        <f t="shared" si="12"/>
        <v>39.083333333333336</v>
      </c>
      <c r="N256" s="44">
        <f t="shared" si="13"/>
        <v>78.166666666666671</v>
      </c>
      <c r="O256" s="44">
        <f t="shared" si="14"/>
        <v>117.25000000000001</v>
      </c>
      <c r="P256" s="22">
        <f t="shared" si="15"/>
        <v>156.33333333333334</v>
      </c>
    </row>
    <row r="257" spans="1:16" x14ac:dyDescent="0.3">
      <c r="A257" s="40">
        <v>256</v>
      </c>
      <c r="C257" s="21">
        <v>1451</v>
      </c>
      <c r="D257" s="15" t="s">
        <v>196</v>
      </c>
      <c r="E257" s="15">
        <v>14</v>
      </c>
      <c r="F257" s="35" t="s">
        <v>9</v>
      </c>
      <c r="G257" s="16">
        <v>1351.06</v>
      </c>
      <c r="H257" s="16">
        <v>1295</v>
      </c>
      <c r="I257" s="16">
        <v>56.06</v>
      </c>
      <c r="J257" s="17">
        <v>4.33</v>
      </c>
      <c r="K257" s="18">
        <v>1</v>
      </c>
      <c r="L257" s="18">
        <f>1/12</f>
        <v>8.3333333333333329E-2</v>
      </c>
      <c r="M257" s="19">
        <f t="shared" si="12"/>
        <v>1.1666666666666667</v>
      </c>
      <c r="N257" s="44">
        <f t="shared" si="13"/>
        <v>2.3333333333333335</v>
      </c>
      <c r="O257" s="44">
        <f t="shared" si="14"/>
        <v>14.000000000000002</v>
      </c>
      <c r="P257" s="22">
        <f t="shared" si="15"/>
        <v>15.166666666666668</v>
      </c>
    </row>
    <row r="258" spans="1:16" x14ac:dyDescent="0.3">
      <c r="A258" s="40">
        <v>257</v>
      </c>
      <c r="C258" s="21">
        <v>3108</v>
      </c>
      <c r="D258" s="15" t="s">
        <v>539</v>
      </c>
      <c r="E258" s="15">
        <f>79+52</f>
        <v>131</v>
      </c>
      <c r="F258" s="35" t="s">
        <v>34</v>
      </c>
      <c r="G258" s="16">
        <v>1350.95</v>
      </c>
      <c r="H258" s="16">
        <v>1049</v>
      </c>
      <c r="I258" s="16">
        <v>301.95</v>
      </c>
      <c r="J258" s="17">
        <v>28.78</v>
      </c>
      <c r="K258" s="18">
        <f>10/30</f>
        <v>0.33333333333333331</v>
      </c>
      <c r="L258" s="18">
        <f>1/3</f>
        <v>0.33333333333333331</v>
      </c>
      <c r="M258" s="19">
        <f t="shared" ref="M258:M321" si="16">(E258/12)*K258</f>
        <v>3.6388888888888884</v>
      </c>
      <c r="N258" s="44">
        <f t="shared" ref="N258:N321" si="17">((E258/12)*K258)+M258</f>
        <v>7.2777777777777768</v>
      </c>
      <c r="O258" s="44">
        <f t="shared" ref="O258:O321" si="18">(E258/12)/L258</f>
        <v>32.75</v>
      </c>
      <c r="P258" s="22">
        <f t="shared" ref="P258:P321" si="19">O258+M258</f>
        <v>36.388888888888886</v>
      </c>
    </row>
    <row r="259" spans="1:16" x14ac:dyDescent="0.3">
      <c r="A259" s="40">
        <v>258</v>
      </c>
      <c r="C259" s="21">
        <v>4743</v>
      </c>
      <c r="D259" s="15" t="s">
        <v>540</v>
      </c>
      <c r="E259" s="15">
        <v>428</v>
      </c>
      <c r="F259" s="35" t="s">
        <v>9</v>
      </c>
      <c r="G259" s="16">
        <v>1347.31</v>
      </c>
      <c r="H259" s="16">
        <v>1054.79</v>
      </c>
      <c r="I259" s="16">
        <v>292.52</v>
      </c>
      <c r="J259" s="17">
        <v>27.73</v>
      </c>
      <c r="K259" s="18">
        <f>20/30</f>
        <v>0.66666666666666663</v>
      </c>
      <c r="L259" s="18">
        <f>1/3</f>
        <v>0.33333333333333331</v>
      </c>
      <c r="M259" s="19">
        <f t="shared" si="16"/>
        <v>23.777777777777775</v>
      </c>
      <c r="N259" s="44">
        <f t="shared" si="17"/>
        <v>47.55555555555555</v>
      </c>
      <c r="O259" s="44">
        <f t="shared" si="18"/>
        <v>107</v>
      </c>
      <c r="P259" s="22">
        <f t="shared" si="19"/>
        <v>130.77777777777777</v>
      </c>
    </row>
    <row r="260" spans="1:16" x14ac:dyDescent="0.3">
      <c r="A260" s="40">
        <v>259</v>
      </c>
      <c r="C260" s="21">
        <v>5038</v>
      </c>
      <c r="D260" s="15" t="s">
        <v>541</v>
      </c>
      <c r="E260" s="15">
        <f>57+27</f>
        <v>84</v>
      </c>
      <c r="F260" s="35" t="s">
        <v>9</v>
      </c>
      <c r="G260" s="16">
        <v>1345.4</v>
      </c>
      <c r="H260" s="16">
        <v>1396.5</v>
      </c>
      <c r="I260" s="16">
        <v>-51.1</v>
      </c>
      <c r="J260" s="17">
        <v>-3.66</v>
      </c>
      <c r="K260" s="18">
        <v>1</v>
      </c>
      <c r="L260" s="18">
        <f>1/6</f>
        <v>0.16666666666666666</v>
      </c>
      <c r="M260" s="19">
        <f t="shared" si="16"/>
        <v>7</v>
      </c>
      <c r="N260" s="44">
        <f t="shared" si="17"/>
        <v>14</v>
      </c>
      <c r="O260" s="44">
        <f t="shared" si="18"/>
        <v>42</v>
      </c>
      <c r="P260" s="22">
        <f t="shared" si="19"/>
        <v>49</v>
      </c>
    </row>
    <row r="261" spans="1:16" x14ac:dyDescent="0.3">
      <c r="A261" s="40">
        <v>260</v>
      </c>
      <c r="C261" s="21">
        <v>4105</v>
      </c>
      <c r="D261" s="15" t="s">
        <v>54</v>
      </c>
      <c r="E261" s="15">
        <v>148</v>
      </c>
      <c r="F261" s="35" t="s">
        <v>9</v>
      </c>
      <c r="G261" s="16">
        <v>1338.53</v>
      </c>
      <c r="H261" s="16">
        <v>1317.2</v>
      </c>
      <c r="I261" s="16">
        <v>21.33</v>
      </c>
      <c r="J261" s="17">
        <v>1.62</v>
      </c>
      <c r="K261" s="18">
        <v>1</v>
      </c>
      <c r="L261" s="18">
        <f>1/3</f>
        <v>0.33333333333333331</v>
      </c>
      <c r="M261" s="19">
        <f t="shared" si="16"/>
        <v>12.333333333333334</v>
      </c>
      <c r="N261" s="44">
        <f t="shared" si="17"/>
        <v>24.666666666666668</v>
      </c>
      <c r="O261" s="44">
        <f t="shared" si="18"/>
        <v>37.000000000000007</v>
      </c>
      <c r="P261" s="22">
        <f t="shared" si="19"/>
        <v>49.333333333333343</v>
      </c>
    </row>
    <row r="262" spans="1:16" x14ac:dyDescent="0.3">
      <c r="A262" s="40">
        <v>261</v>
      </c>
      <c r="C262" s="21">
        <v>505</v>
      </c>
      <c r="D262" s="15" t="s">
        <v>374</v>
      </c>
      <c r="E262" s="15">
        <v>14</v>
      </c>
      <c r="F262" s="35" t="s">
        <v>9</v>
      </c>
      <c r="G262" s="16">
        <v>1332.11</v>
      </c>
      <c r="H262" s="16">
        <v>360</v>
      </c>
      <c r="I262" s="16">
        <v>972.11</v>
      </c>
      <c r="J262" s="17">
        <v>270.02999999999997</v>
      </c>
      <c r="K262" s="18">
        <v>1</v>
      </c>
      <c r="L262" s="18">
        <f>1/6</f>
        <v>0.16666666666666666</v>
      </c>
      <c r="M262" s="19">
        <f t="shared" si="16"/>
        <v>1.1666666666666667</v>
      </c>
      <c r="N262" s="44">
        <f t="shared" si="17"/>
        <v>2.3333333333333335</v>
      </c>
      <c r="O262" s="44">
        <f t="shared" si="18"/>
        <v>7.0000000000000009</v>
      </c>
      <c r="P262" s="22">
        <f t="shared" si="19"/>
        <v>8.1666666666666679</v>
      </c>
    </row>
    <row r="263" spans="1:16" x14ac:dyDescent="0.3">
      <c r="A263" s="40">
        <v>262</v>
      </c>
      <c r="C263" s="21">
        <v>2017</v>
      </c>
      <c r="D263" s="15" t="s">
        <v>542</v>
      </c>
      <c r="E263" s="15">
        <v>50</v>
      </c>
      <c r="F263" s="35" t="s">
        <v>9</v>
      </c>
      <c r="G263" s="16">
        <v>1322.17</v>
      </c>
      <c r="H263" s="16">
        <v>1395</v>
      </c>
      <c r="I263" s="16">
        <v>-72.83</v>
      </c>
      <c r="J263" s="17">
        <v>-5.22</v>
      </c>
      <c r="K263" s="18">
        <f>25/30</f>
        <v>0.83333333333333337</v>
      </c>
      <c r="L263" s="18">
        <f>1/4</f>
        <v>0.25</v>
      </c>
      <c r="M263" s="19">
        <f t="shared" si="16"/>
        <v>3.4722222222222228</v>
      </c>
      <c r="N263" s="44">
        <f t="shared" si="17"/>
        <v>6.9444444444444455</v>
      </c>
      <c r="O263" s="44">
        <f t="shared" si="18"/>
        <v>16.666666666666668</v>
      </c>
      <c r="P263" s="22">
        <f t="shared" si="19"/>
        <v>20.138888888888889</v>
      </c>
    </row>
    <row r="264" spans="1:16" x14ac:dyDescent="0.3">
      <c r="A264" s="40">
        <v>263</v>
      </c>
      <c r="C264" s="21">
        <v>2267</v>
      </c>
      <c r="D264" s="15" t="s">
        <v>543</v>
      </c>
      <c r="E264" s="15">
        <v>185</v>
      </c>
      <c r="F264" s="35" t="s">
        <v>9</v>
      </c>
      <c r="G264" s="16">
        <v>1321.78</v>
      </c>
      <c r="H264" s="16">
        <v>1048.8</v>
      </c>
      <c r="I264" s="16">
        <v>272.98</v>
      </c>
      <c r="J264" s="17">
        <v>26.03</v>
      </c>
      <c r="K264" s="18">
        <v>1</v>
      </c>
      <c r="L264" s="18">
        <f>1/6</f>
        <v>0.16666666666666666</v>
      </c>
      <c r="M264" s="19">
        <f t="shared" si="16"/>
        <v>15.416666666666666</v>
      </c>
      <c r="N264" s="44">
        <f t="shared" si="17"/>
        <v>30.833333333333332</v>
      </c>
      <c r="O264" s="44">
        <f t="shared" si="18"/>
        <v>92.5</v>
      </c>
      <c r="P264" s="22">
        <f t="shared" si="19"/>
        <v>107.91666666666667</v>
      </c>
    </row>
    <row r="265" spans="1:16" x14ac:dyDescent="0.3">
      <c r="A265" s="40">
        <v>264</v>
      </c>
      <c r="C265" s="48">
        <v>4824</v>
      </c>
      <c r="D265" s="49" t="s">
        <v>544</v>
      </c>
      <c r="E265" s="15">
        <f>8+6</f>
        <v>14</v>
      </c>
      <c r="F265" s="35" t="s">
        <v>25</v>
      </c>
      <c r="G265" s="16">
        <v>1308.33</v>
      </c>
      <c r="H265" s="16">
        <v>936.4</v>
      </c>
      <c r="I265" s="16">
        <v>371.93</v>
      </c>
      <c r="J265" s="17">
        <v>39.72</v>
      </c>
      <c r="K265" s="18">
        <f>10/30</f>
        <v>0.33333333333333331</v>
      </c>
      <c r="L265" s="18">
        <f>1/3</f>
        <v>0.33333333333333331</v>
      </c>
      <c r="M265" s="19">
        <f t="shared" si="16"/>
        <v>0.3888888888888889</v>
      </c>
      <c r="N265" s="44">
        <f t="shared" si="17"/>
        <v>0.77777777777777779</v>
      </c>
      <c r="O265" s="44">
        <f t="shared" si="18"/>
        <v>3.5000000000000004</v>
      </c>
      <c r="P265" s="22">
        <f t="shared" si="19"/>
        <v>3.8888888888888893</v>
      </c>
    </row>
    <row r="266" spans="1:16" x14ac:dyDescent="0.3">
      <c r="A266" s="40">
        <v>265</v>
      </c>
      <c r="C266" s="21">
        <v>5126</v>
      </c>
      <c r="D266" s="15" t="s">
        <v>234</v>
      </c>
      <c r="E266" s="17">
        <v>91.5</v>
      </c>
      <c r="F266" s="35" t="s">
        <v>9</v>
      </c>
      <c r="G266" s="16">
        <v>1301.0899999999999</v>
      </c>
      <c r="H266" s="16">
        <v>1335.9</v>
      </c>
      <c r="I266" s="16">
        <v>-34.81</v>
      </c>
      <c r="J266" s="17">
        <v>-2.61</v>
      </c>
      <c r="K266" s="18">
        <f>15/30</f>
        <v>0.5</v>
      </c>
      <c r="L266" s="18">
        <f>1/12</f>
        <v>8.3333333333333329E-2</v>
      </c>
      <c r="M266" s="19">
        <f t="shared" si="16"/>
        <v>3.8125</v>
      </c>
      <c r="N266" s="44">
        <f t="shared" si="17"/>
        <v>7.625</v>
      </c>
      <c r="O266" s="44">
        <f t="shared" si="18"/>
        <v>91.5</v>
      </c>
      <c r="P266" s="22">
        <f t="shared" si="19"/>
        <v>95.3125</v>
      </c>
    </row>
    <row r="267" spans="1:16" x14ac:dyDescent="0.3">
      <c r="A267" s="40">
        <v>266</v>
      </c>
      <c r="C267" s="21">
        <v>3893</v>
      </c>
      <c r="D267" s="15" t="s">
        <v>545</v>
      </c>
      <c r="E267" s="15">
        <f>18+16</f>
        <v>34</v>
      </c>
      <c r="F267" s="35" t="s">
        <v>34</v>
      </c>
      <c r="G267" s="16">
        <v>1292.81</v>
      </c>
      <c r="H267" s="16">
        <v>936</v>
      </c>
      <c r="I267" s="16">
        <v>356.81</v>
      </c>
      <c r="J267" s="17">
        <v>38.119999999999997</v>
      </c>
      <c r="K267" s="18">
        <f>10/30</f>
        <v>0.33333333333333331</v>
      </c>
      <c r="L267" s="18">
        <f>1/3</f>
        <v>0.33333333333333331</v>
      </c>
      <c r="M267" s="19">
        <f t="shared" si="16"/>
        <v>0.94444444444444442</v>
      </c>
      <c r="N267" s="44">
        <f t="shared" si="17"/>
        <v>1.8888888888888888</v>
      </c>
      <c r="O267" s="44">
        <f t="shared" si="18"/>
        <v>8.5000000000000018</v>
      </c>
      <c r="P267" s="22">
        <f t="shared" si="19"/>
        <v>9.4444444444444464</v>
      </c>
    </row>
    <row r="268" spans="1:16" x14ac:dyDescent="0.3">
      <c r="A268" s="40">
        <v>267</v>
      </c>
      <c r="C268" s="21">
        <v>3669</v>
      </c>
      <c r="D268" s="15" t="s">
        <v>134</v>
      </c>
      <c r="E268" s="15">
        <v>18</v>
      </c>
      <c r="F268" s="35" t="s">
        <v>9</v>
      </c>
      <c r="G268" s="16">
        <v>1291.07</v>
      </c>
      <c r="H268" s="16">
        <v>1233</v>
      </c>
      <c r="I268" s="16">
        <v>58.07</v>
      </c>
      <c r="J268" s="17">
        <v>4.71</v>
      </c>
      <c r="K268" s="18">
        <f>15/30</f>
        <v>0.5</v>
      </c>
      <c r="L268" s="18">
        <f>1/12</f>
        <v>8.3333333333333329E-2</v>
      </c>
      <c r="M268" s="19">
        <f t="shared" si="16"/>
        <v>0.75</v>
      </c>
      <c r="N268" s="44">
        <f t="shared" si="17"/>
        <v>1.5</v>
      </c>
      <c r="O268" s="44">
        <f t="shared" si="18"/>
        <v>18</v>
      </c>
      <c r="P268" s="22">
        <f t="shared" si="19"/>
        <v>18.75</v>
      </c>
    </row>
    <row r="269" spans="1:16" x14ac:dyDescent="0.3">
      <c r="A269" s="40">
        <v>268</v>
      </c>
      <c r="C269" s="21">
        <v>3292</v>
      </c>
      <c r="D269" s="15" t="s">
        <v>546</v>
      </c>
      <c r="E269" s="17">
        <v>75.58</v>
      </c>
      <c r="F269" s="35" t="s">
        <v>16</v>
      </c>
      <c r="G269" s="16">
        <v>1290.72</v>
      </c>
      <c r="H269" s="16">
        <v>957.99</v>
      </c>
      <c r="I269" s="16">
        <v>332.73</v>
      </c>
      <c r="J269" s="17">
        <v>34.729999999999997</v>
      </c>
      <c r="K269" s="18">
        <f>10/30</f>
        <v>0.33333333333333331</v>
      </c>
      <c r="L269" s="18">
        <f>1/5</f>
        <v>0.2</v>
      </c>
      <c r="M269" s="19">
        <f t="shared" si="16"/>
        <v>2.099444444444444</v>
      </c>
      <c r="N269" s="44">
        <f t="shared" si="17"/>
        <v>4.198888888888888</v>
      </c>
      <c r="O269" s="44">
        <f t="shared" si="18"/>
        <v>31.491666666666664</v>
      </c>
      <c r="P269" s="22">
        <f t="shared" si="19"/>
        <v>33.591111111111104</v>
      </c>
    </row>
    <row r="270" spans="1:16" x14ac:dyDescent="0.3">
      <c r="A270" s="40">
        <v>269</v>
      </c>
      <c r="C270" s="21">
        <v>1689</v>
      </c>
      <c r="D270" s="15" t="s">
        <v>547</v>
      </c>
      <c r="E270" s="15">
        <v>156</v>
      </c>
      <c r="F270" s="35" t="s">
        <v>16</v>
      </c>
      <c r="G270" s="16">
        <v>1285.52</v>
      </c>
      <c r="H270" s="16">
        <v>1326</v>
      </c>
      <c r="I270" s="16">
        <v>-40.479999999999997</v>
      </c>
      <c r="J270" s="17">
        <v>-3.05</v>
      </c>
      <c r="K270" s="18">
        <v>1</v>
      </c>
      <c r="L270" s="18">
        <f>1/4</f>
        <v>0.25</v>
      </c>
      <c r="M270" s="19">
        <f t="shared" si="16"/>
        <v>13</v>
      </c>
      <c r="N270" s="44">
        <f t="shared" si="17"/>
        <v>26</v>
      </c>
      <c r="O270" s="44">
        <f t="shared" si="18"/>
        <v>52</v>
      </c>
      <c r="P270" s="22">
        <f t="shared" si="19"/>
        <v>65</v>
      </c>
    </row>
    <row r="271" spans="1:16" x14ac:dyDescent="0.3">
      <c r="A271" s="40">
        <v>270</v>
      </c>
      <c r="C271" s="21">
        <v>1098</v>
      </c>
      <c r="D271" s="15" t="s">
        <v>548</v>
      </c>
      <c r="E271" s="15">
        <f>100+46</f>
        <v>146</v>
      </c>
      <c r="F271" s="35" t="s">
        <v>12</v>
      </c>
      <c r="G271" s="16">
        <v>1283.5</v>
      </c>
      <c r="H271" s="16">
        <v>784</v>
      </c>
      <c r="I271" s="16">
        <v>499.5</v>
      </c>
      <c r="J271" s="17">
        <v>63.71</v>
      </c>
      <c r="K271" s="18">
        <f>25/30</f>
        <v>0.83333333333333337</v>
      </c>
      <c r="L271" s="18">
        <f>1/6</f>
        <v>0.16666666666666666</v>
      </c>
      <c r="M271" s="19">
        <f t="shared" si="16"/>
        <v>10.138888888888889</v>
      </c>
      <c r="N271" s="44">
        <f t="shared" si="17"/>
        <v>20.277777777777779</v>
      </c>
      <c r="O271" s="44">
        <f t="shared" si="18"/>
        <v>73</v>
      </c>
      <c r="P271" s="22">
        <f t="shared" si="19"/>
        <v>83.138888888888886</v>
      </c>
    </row>
    <row r="272" spans="1:16" x14ac:dyDescent="0.3">
      <c r="A272" s="40">
        <v>271</v>
      </c>
      <c r="C272" s="48">
        <v>4041</v>
      </c>
      <c r="D272" s="49" t="s">
        <v>295</v>
      </c>
      <c r="E272" s="15">
        <f>12+6</f>
        <v>18</v>
      </c>
      <c r="F272" s="35" t="s">
        <v>9</v>
      </c>
      <c r="G272" s="16">
        <v>1281.52</v>
      </c>
      <c r="H272" s="16">
        <v>783.12</v>
      </c>
      <c r="I272" s="16">
        <v>498.4</v>
      </c>
      <c r="J272" s="17">
        <v>63.64</v>
      </c>
      <c r="K272" s="18">
        <f>20/30</f>
        <v>0.66666666666666663</v>
      </c>
      <c r="L272" s="18">
        <f>1/6</f>
        <v>0.16666666666666666</v>
      </c>
      <c r="M272" s="19">
        <f t="shared" si="16"/>
        <v>1</v>
      </c>
      <c r="N272" s="44">
        <f t="shared" si="17"/>
        <v>2</v>
      </c>
      <c r="O272" s="44">
        <f t="shared" si="18"/>
        <v>9</v>
      </c>
      <c r="P272" s="22">
        <f t="shared" si="19"/>
        <v>10</v>
      </c>
    </row>
    <row r="273" spans="1:16" x14ac:dyDescent="0.3">
      <c r="A273" s="40">
        <v>272</v>
      </c>
      <c r="C273" s="21">
        <v>812</v>
      </c>
      <c r="D273" s="15" t="s">
        <v>284</v>
      </c>
      <c r="E273" s="15">
        <v>178</v>
      </c>
      <c r="F273" s="35" t="s">
        <v>9</v>
      </c>
      <c r="G273" s="16">
        <v>1276.01</v>
      </c>
      <c r="H273" s="16">
        <v>938.06</v>
      </c>
      <c r="I273" s="16">
        <v>337.95</v>
      </c>
      <c r="J273" s="17">
        <v>36.03</v>
      </c>
      <c r="K273" s="18">
        <f>10/30</f>
        <v>0.33333333333333331</v>
      </c>
      <c r="L273" s="18">
        <f>1/3</f>
        <v>0.33333333333333331</v>
      </c>
      <c r="M273" s="19">
        <f t="shared" si="16"/>
        <v>4.9444444444444446</v>
      </c>
      <c r="N273" s="44">
        <f t="shared" si="17"/>
        <v>9.8888888888888893</v>
      </c>
      <c r="O273" s="44">
        <f t="shared" si="18"/>
        <v>44.500000000000007</v>
      </c>
      <c r="P273" s="22">
        <f t="shared" si="19"/>
        <v>49.44444444444445</v>
      </c>
    </row>
    <row r="274" spans="1:16" x14ac:dyDescent="0.3">
      <c r="A274" s="40">
        <v>273</v>
      </c>
      <c r="C274" s="21">
        <v>3788</v>
      </c>
      <c r="D274" s="15" t="s">
        <v>175</v>
      </c>
      <c r="E274" s="15">
        <v>25</v>
      </c>
      <c r="F274" s="35" t="s">
        <v>9</v>
      </c>
      <c r="G274" s="16">
        <v>1266.51</v>
      </c>
      <c r="H274" s="16">
        <v>1250</v>
      </c>
      <c r="I274" s="16">
        <v>16.510000000000002</v>
      </c>
      <c r="J274" s="17">
        <v>1.32</v>
      </c>
      <c r="K274" s="18">
        <f>10/30</f>
        <v>0.33333333333333331</v>
      </c>
      <c r="L274" s="18">
        <f>1/12</f>
        <v>8.3333333333333329E-2</v>
      </c>
      <c r="M274" s="19">
        <f t="shared" si="16"/>
        <v>0.69444444444444442</v>
      </c>
      <c r="N274" s="44">
        <f t="shared" si="17"/>
        <v>1.3888888888888888</v>
      </c>
      <c r="O274" s="44">
        <f t="shared" si="18"/>
        <v>25.000000000000004</v>
      </c>
      <c r="P274" s="22">
        <f t="shared" si="19"/>
        <v>25.694444444444446</v>
      </c>
    </row>
    <row r="275" spans="1:16" x14ac:dyDescent="0.3">
      <c r="A275" s="40">
        <v>274</v>
      </c>
      <c r="C275" s="21">
        <v>1176</v>
      </c>
      <c r="D275" s="15" t="s">
        <v>549</v>
      </c>
      <c r="E275" s="15">
        <v>80</v>
      </c>
      <c r="F275" s="35" t="s">
        <v>9</v>
      </c>
      <c r="G275" s="16">
        <v>1257.8800000000001</v>
      </c>
      <c r="H275" s="16">
        <v>982.07</v>
      </c>
      <c r="I275" s="16">
        <v>275.81</v>
      </c>
      <c r="J275" s="17">
        <v>28.08</v>
      </c>
      <c r="K275" s="18">
        <f>25/30</f>
        <v>0.83333333333333337</v>
      </c>
      <c r="L275" s="18">
        <f>1/4</f>
        <v>0.25</v>
      </c>
      <c r="M275" s="19">
        <f t="shared" si="16"/>
        <v>5.5555555555555562</v>
      </c>
      <c r="N275" s="44">
        <f t="shared" si="17"/>
        <v>11.111111111111112</v>
      </c>
      <c r="O275" s="44">
        <f t="shared" si="18"/>
        <v>26.666666666666668</v>
      </c>
      <c r="P275" s="22">
        <f t="shared" si="19"/>
        <v>32.222222222222221</v>
      </c>
    </row>
    <row r="276" spans="1:16" x14ac:dyDescent="0.3">
      <c r="A276" s="40">
        <v>275</v>
      </c>
      <c r="C276" s="21">
        <v>542</v>
      </c>
      <c r="D276" s="15" t="s">
        <v>550</v>
      </c>
      <c r="E276" s="15">
        <v>1358</v>
      </c>
      <c r="F276" s="35" t="s">
        <v>9</v>
      </c>
      <c r="G276" s="16">
        <v>1245.93</v>
      </c>
      <c r="H276" s="16">
        <v>1290.0999999999999</v>
      </c>
      <c r="I276" s="16">
        <v>-44.17</v>
      </c>
      <c r="J276" s="17">
        <v>-3.42</v>
      </c>
      <c r="K276" s="18">
        <v>1</v>
      </c>
      <c r="L276" s="18">
        <f>1/6</f>
        <v>0.16666666666666666</v>
      </c>
      <c r="M276" s="19">
        <f t="shared" si="16"/>
        <v>113.16666666666667</v>
      </c>
      <c r="N276" s="44">
        <f t="shared" si="17"/>
        <v>226.33333333333334</v>
      </c>
      <c r="O276" s="44">
        <f t="shared" si="18"/>
        <v>679.00000000000011</v>
      </c>
      <c r="P276" s="22">
        <f t="shared" si="19"/>
        <v>792.16666666666674</v>
      </c>
    </row>
    <row r="277" spans="1:16" x14ac:dyDescent="0.3">
      <c r="A277" s="40">
        <v>276</v>
      </c>
      <c r="C277" s="21">
        <v>4676</v>
      </c>
      <c r="D277" s="15" t="s">
        <v>551</v>
      </c>
      <c r="E277" s="15">
        <v>207</v>
      </c>
      <c r="F277" s="35" t="s">
        <v>9</v>
      </c>
      <c r="G277" s="16">
        <v>1237.76</v>
      </c>
      <c r="H277" s="16">
        <v>1146.5999999999999</v>
      </c>
      <c r="I277" s="16">
        <v>91.16</v>
      </c>
      <c r="J277" s="17">
        <v>7.95</v>
      </c>
      <c r="K277" s="18">
        <f>15/30</f>
        <v>0.5</v>
      </c>
      <c r="L277" s="18">
        <f>1/4</f>
        <v>0.25</v>
      </c>
      <c r="M277" s="19">
        <f t="shared" si="16"/>
        <v>8.625</v>
      </c>
      <c r="N277" s="44">
        <f t="shared" si="17"/>
        <v>17.25</v>
      </c>
      <c r="O277" s="44">
        <f t="shared" si="18"/>
        <v>69</v>
      </c>
      <c r="P277" s="22">
        <f t="shared" si="19"/>
        <v>77.625</v>
      </c>
    </row>
    <row r="278" spans="1:16" x14ac:dyDescent="0.3">
      <c r="A278" s="40">
        <v>277</v>
      </c>
      <c r="C278" s="21">
        <v>4628</v>
      </c>
      <c r="D278" s="15" t="s">
        <v>552</v>
      </c>
      <c r="E278" s="17">
        <v>53.5</v>
      </c>
      <c r="F278" s="35" t="s">
        <v>9</v>
      </c>
      <c r="G278" s="16">
        <v>1233.3499999999999</v>
      </c>
      <c r="H278" s="16">
        <v>882.75</v>
      </c>
      <c r="I278" s="16">
        <v>350.6</v>
      </c>
      <c r="J278" s="17">
        <v>39.72</v>
      </c>
      <c r="K278" s="18">
        <v>1</v>
      </c>
      <c r="L278" s="18">
        <f>1/4</f>
        <v>0.25</v>
      </c>
      <c r="M278" s="19">
        <f t="shared" si="16"/>
        <v>4.458333333333333</v>
      </c>
      <c r="N278" s="44">
        <f t="shared" si="17"/>
        <v>8.9166666666666661</v>
      </c>
      <c r="O278" s="44">
        <f t="shared" si="18"/>
        <v>17.833333333333332</v>
      </c>
      <c r="P278" s="22">
        <f t="shared" si="19"/>
        <v>22.291666666666664</v>
      </c>
    </row>
    <row r="279" spans="1:16" x14ac:dyDescent="0.3">
      <c r="A279" s="40">
        <v>278</v>
      </c>
      <c r="C279" s="47">
        <v>541</v>
      </c>
      <c r="D279" s="15" t="s">
        <v>553</v>
      </c>
      <c r="E279" s="15">
        <f>1526+771</f>
        <v>2297</v>
      </c>
      <c r="F279" s="35" t="s">
        <v>9</v>
      </c>
      <c r="G279" s="16">
        <v>1232.92</v>
      </c>
      <c r="H279" s="16">
        <v>1373.4</v>
      </c>
      <c r="I279" s="16">
        <v>-140.47999999999999</v>
      </c>
      <c r="J279" s="17">
        <v>-10.23</v>
      </c>
      <c r="K279" s="18">
        <f>20/30</f>
        <v>0.66666666666666663</v>
      </c>
      <c r="L279" s="18">
        <f>1/6</f>
        <v>0.16666666666666666</v>
      </c>
      <c r="M279" s="19">
        <f t="shared" si="16"/>
        <v>127.6111111111111</v>
      </c>
      <c r="N279" s="44">
        <f t="shared" si="17"/>
        <v>255.2222222222222</v>
      </c>
      <c r="O279" s="44">
        <f t="shared" si="18"/>
        <v>1148.5</v>
      </c>
      <c r="P279" s="22">
        <f t="shared" si="19"/>
        <v>1276.1111111111111</v>
      </c>
    </row>
    <row r="280" spans="1:16" x14ac:dyDescent="0.3">
      <c r="A280" s="40">
        <v>279</v>
      </c>
      <c r="C280" s="21">
        <v>1155</v>
      </c>
      <c r="D280" s="15" t="s">
        <v>308</v>
      </c>
      <c r="E280" s="15">
        <v>14</v>
      </c>
      <c r="F280" s="35" t="s">
        <v>9</v>
      </c>
      <c r="G280" s="16">
        <v>1226.56</v>
      </c>
      <c r="H280" s="16">
        <v>1170.4000000000001</v>
      </c>
      <c r="I280" s="16">
        <v>56.16</v>
      </c>
      <c r="J280" s="17">
        <v>4.8</v>
      </c>
      <c r="K280" s="18">
        <v>1</v>
      </c>
      <c r="L280" s="18">
        <f>1/12</f>
        <v>8.3333333333333329E-2</v>
      </c>
      <c r="M280" s="19">
        <f t="shared" si="16"/>
        <v>1.1666666666666667</v>
      </c>
      <c r="N280" s="44">
        <f t="shared" si="17"/>
        <v>2.3333333333333335</v>
      </c>
      <c r="O280" s="44">
        <f t="shared" si="18"/>
        <v>14.000000000000002</v>
      </c>
      <c r="P280" s="22">
        <f t="shared" si="19"/>
        <v>15.166666666666668</v>
      </c>
    </row>
    <row r="281" spans="1:16" x14ac:dyDescent="0.3">
      <c r="A281" s="40">
        <v>280</v>
      </c>
      <c r="C281" s="21">
        <v>3491</v>
      </c>
      <c r="D281" s="15" t="s">
        <v>554</v>
      </c>
      <c r="E281" s="15">
        <v>251</v>
      </c>
      <c r="F281" s="35" t="s">
        <v>9</v>
      </c>
      <c r="G281" s="16">
        <v>1219.72</v>
      </c>
      <c r="H281" s="16">
        <v>3684.4</v>
      </c>
      <c r="I281" s="16">
        <v>-2464.6799999999998</v>
      </c>
      <c r="J281" s="17">
        <v>-66.900000000000006</v>
      </c>
      <c r="K281" s="18">
        <f>15/30</f>
        <v>0.5</v>
      </c>
      <c r="L281" s="18">
        <f>1/4</f>
        <v>0.25</v>
      </c>
      <c r="M281" s="19">
        <f t="shared" si="16"/>
        <v>10.458333333333334</v>
      </c>
      <c r="N281" s="44">
        <f t="shared" si="17"/>
        <v>20.916666666666668</v>
      </c>
      <c r="O281" s="44">
        <f t="shared" si="18"/>
        <v>83.666666666666671</v>
      </c>
      <c r="P281" s="22">
        <f t="shared" si="19"/>
        <v>94.125</v>
      </c>
    </row>
    <row r="282" spans="1:16" x14ac:dyDescent="0.3">
      <c r="A282" s="40">
        <v>281</v>
      </c>
      <c r="C282" s="21">
        <v>1025</v>
      </c>
      <c r="D282" s="15" t="s">
        <v>555</v>
      </c>
      <c r="E282" s="15">
        <v>3848</v>
      </c>
      <c r="F282" s="35" t="s">
        <v>9</v>
      </c>
      <c r="G282" s="16">
        <v>1217.53</v>
      </c>
      <c r="H282" s="16">
        <v>1462.24</v>
      </c>
      <c r="I282" s="16">
        <v>-244.71</v>
      </c>
      <c r="J282" s="17">
        <v>-16.739999999999998</v>
      </c>
      <c r="K282" s="18">
        <v>1</v>
      </c>
      <c r="L282" s="18">
        <f>1/4</f>
        <v>0.25</v>
      </c>
      <c r="M282" s="19">
        <f t="shared" si="16"/>
        <v>320.66666666666669</v>
      </c>
      <c r="N282" s="44">
        <f t="shared" si="17"/>
        <v>641.33333333333337</v>
      </c>
      <c r="O282" s="44">
        <f t="shared" si="18"/>
        <v>1282.6666666666667</v>
      </c>
      <c r="P282" s="22">
        <f t="shared" si="19"/>
        <v>1603.3333333333335</v>
      </c>
    </row>
    <row r="283" spans="1:16" x14ac:dyDescent="0.3">
      <c r="A283" s="40">
        <v>282</v>
      </c>
      <c r="C283" s="21">
        <v>1383</v>
      </c>
      <c r="D283" s="15" t="s">
        <v>556</v>
      </c>
      <c r="E283" s="17">
        <v>19.5</v>
      </c>
      <c r="F283" s="35" t="s">
        <v>9</v>
      </c>
      <c r="G283" s="16">
        <v>1217.3699999999999</v>
      </c>
      <c r="H283" s="16">
        <v>1238.25</v>
      </c>
      <c r="I283" s="16">
        <v>-20.88</v>
      </c>
      <c r="J283" s="17">
        <v>-1.69</v>
      </c>
      <c r="K283" s="18">
        <v>1</v>
      </c>
      <c r="L283" s="18">
        <f>1/4</f>
        <v>0.25</v>
      </c>
      <c r="M283" s="19">
        <f t="shared" si="16"/>
        <v>1.625</v>
      </c>
      <c r="N283" s="44">
        <f t="shared" si="17"/>
        <v>3.25</v>
      </c>
      <c r="O283" s="44">
        <f t="shared" si="18"/>
        <v>6.5</v>
      </c>
      <c r="P283" s="22">
        <f t="shared" si="19"/>
        <v>8.125</v>
      </c>
    </row>
    <row r="284" spans="1:16" x14ac:dyDescent="0.3">
      <c r="A284" s="40">
        <v>283</v>
      </c>
      <c r="C284" s="21">
        <v>696</v>
      </c>
      <c r="D284" s="15" t="s">
        <v>557</v>
      </c>
      <c r="E284" s="17">
        <v>169.2</v>
      </c>
      <c r="F284" s="35" t="s">
        <v>16</v>
      </c>
      <c r="G284" s="16">
        <v>1216.5</v>
      </c>
      <c r="H284" s="16">
        <v>1269</v>
      </c>
      <c r="I284" s="16">
        <v>-52.5</v>
      </c>
      <c r="J284" s="17">
        <v>-4.1399999999999997</v>
      </c>
      <c r="K284" s="18">
        <v>1</v>
      </c>
      <c r="L284" s="18">
        <f>1/4</f>
        <v>0.25</v>
      </c>
      <c r="M284" s="19">
        <f t="shared" si="16"/>
        <v>14.1</v>
      </c>
      <c r="N284" s="44">
        <f t="shared" si="17"/>
        <v>28.2</v>
      </c>
      <c r="O284" s="44">
        <f t="shared" si="18"/>
        <v>56.4</v>
      </c>
      <c r="P284" s="22">
        <f t="shared" si="19"/>
        <v>70.5</v>
      </c>
    </row>
    <row r="285" spans="1:16" x14ac:dyDescent="0.3">
      <c r="A285" s="40">
        <v>284</v>
      </c>
      <c r="C285" s="21">
        <v>546</v>
      </c>
      <c r="D285" s="15" t="s">
        <v>558</v>
      </c>
      <c r="E285" s="15">
        <v>65</v>
      </c>
      <c r="F285" s="35" t="s">
        <v>9</v>
      </c>
      <c r="G285" s="16">
        <v>1215.27</v>
      </c>
      <c r="H285" s="16">
        <v>0</v>
      </c>
      <c r="I285" s="16">
        <v>1215.27</v>
      </c>
      <c r="J285" s="17">
        <v>100</v>
      </c>
      <c r="K285" s="18">
        <v>1</v>
      </c>
      <c r="L285" s="18">
        <f>1/6</f>
        <v>0.16666666666666666</v>
      </c>
      <c r="M285" s="19">
        <f t="shared" si="16"/>
        <v>5.416666666666667</v>
      </c>
      <c r="N285" s="44">
        <f t="shared" si="17"/>
        <v>10.833333333333334</v>
      </c>
      <c r="O285" s="44">
        <f t="shared" si="18"/>
        <v>32.500000000000007</v>
      </c>
      <c r="P285" s="22">
        <f t="shared" si="19"/>
        <v>37.916666666666671</v>
      </c>
    </row>
    <row r="286" spans="1:16" x14ac:dyDescent="0.3">
      <c r="A286" s="40">
        <v>285</v>
      </c>
      <c r="C286" s="21">
        <v>771</v>
      </c>
      <c r="D286" s="15" t="s">
        <v>58</v>
      </c>
      <c r="E286" s="15">
        <f>24+18</f>
        <v>42</v>
      </c>
      <c r="F286" s="35" t="s">
        <v>9</v>
      </c>
      <c r="G286" s="16">
        <v>1214.3699999999999</v>
      </c>
      <c r="H286" s="16">
        <v>1248</v>
      </c>
      <c r="I286" s="16">
        <v>-33.630000000000003</v>
      </c>
      <c r="J286" s="17">
        <v>-2.69</v>
      </c>
      <c r="K286" s="18">
        <f>15/30</f>
        <v>0.5</v>
      </c>
      <c r="L286" s="18">
        <f>1/4</f>
        <v>0.25</v>
      </c>
      <c r="M286" s="19">
        <f t="shared" si="16"/>
        <v>1.75</v>
      </c>
      <c r="N286" s="44">
        <f t="shared" si="17"/>
        <v>3.5</v>
      </c>
      <c r="O286" s="44">
        <f t="shared" si="18"/>
        <v>14</v>
      </c>
      <c r="P286" s="22">
        <f t="shared" si="19"/>
        <v>15.75</v>
      </c>
    </row>
    <row r="287" spans="1:16" x14ac:dyDescent="0.3">
      <c r="A287" s="40">
        <v>286</v>
      </c>
      <c r="C287" s="21">
        <v>1731</v>
      </c>
      <c r="D287" s="15" t="s">
        <v>559</v>
      </c>
      <c r="E287" s="15">
        <v>30</v>
      </c>
      <c r="F287" s="35" t="s">
        <v>22</v>
      </c>
      <c r="G287" s="16">
        <v>1213.6400000000001</v>
      </c>
      <c r="H287" s="16">
        <v>840</v>
      </c>
      <c r="I287" s="16">
        <v>373.64</v>
      </c>
      <c r="J287" s="17">
        <v>44.48</v>
      </c>
      <c r="K287" s="18">
        <f>20/30</f>
        <v>0.66666666666666663</v>
      </c>
      <c r="L287" s="18">
        <f>1/6</f>
        <v>0.16666666666666666</v>
      </c>
      <c r="M287" s="19">
        <f t="shared" si="16"/>
        <v>1.6666666666666665</v>
      </c>
      <c r="N287" s="44">
        <f t="shared" si="17"/>
        <v>3.333333333333333</v>
      </c>
      <c r="O287" s="44">
        <f t="shared" si="18"/>
        <v>15</v>
      </c>
      <c r="P287" s="22">
        <f t="shared" si="19"/>
        <v>16.666666666666668</v>
      </c>
    </row>
    <row r="288" spans="1:16" x14ac:dyDescent="0.3">
      <c r="A288" s="40">
        <v>287</v>
      </c>
      <c r="C288" s="21">
        <v>655</v>
      </c>
      <c r="D288" s="15" t="s">
        <v>560</v>
      </c>
      <c r="E288" s="15">
        <v>15</v>
      </c>
      <c r="F288" s="35" t="s">
        <v>9</v>
      </c>
      <c r="G288" s="16">
        <v>1211.1600000000001</v>
      </c>
      <c r="H288" s="16">
        <v>942</v>
      </c>
      <c r="I288" s="16">
        <v>269.16000000000003</v>
      </c>
      <c r="J288" s="17">
        <v>28.57</v>
      </c>
      <c r="K288" s="18">
        <v>1</v>
      </c>
      <c r="L288" s="18">
        <f>1/6</f>
        <v>0.16666666666666666</v>
      </c>
      <c r="M288" s="19">
        <f t="shared" si="16"/>
        <v>1.25</v>
      </c>
      <c r="N288" s="44">
        <f t="shared" si="17"/>
        <v>2.5</v>
      </c>
      <c r="O288" s="44">
        <f t="shared" si="18"/>
        <v>7.5</v>
      </c>
      <c r="P288" s="22">
        <f t="shared" si="19"/>
        <v>8.75</v>
      </c>
    </row>
    <row r="289" spans="1:16" x14ac:dyDescent="0.3">
      <c r="A289" s="40">
        <v>288</v>
      </c>
      <c r="C289" s="21">
        <v>5036</v>
      </c>
      <c r="D289" s="15" t="s">
        <v>148</v>
      </c>
      <c r="E289" s="15">
        <v>10</v>
      </c>
      <c r="F289" s="35" t="s">
        <v>9</v>
      </c>
      <c r="G289" s="16">
        <v>1210.8599999999999</v>
      </c>
      <c r="H289" s="16">
        <v>1270</v>
      </c>
      <c r="I289" s="16">
        <v>-59.14</v>
      </c>
      <c r="J289" s="17">
        <v>-4.66</v>
      </c>
      <c r="K289" s="18">
        <v>1</v>
      </c>
      <c r="L289" s="18">
        <f>1/6</f>
        <v>0.16666666666666666</v>
      </c>
      <c r="M289" s="19">
        <f t="shared" si="16"/>
        <v>0.83333333333333337</v>
      </c>
      <c r="N289" s="44">
        <f t="shared" si="17"/>
        <v>1.6666666666666667</v>
      </c>
      <c r="O289" s="44">
        <f t="shared" si="18"/>
        <v>5.0000000000000009</v>
      </c>
      <c r="P289" s="22">
        <f t="shared" si="19"/>
        <v>5.8333333333333339</v>
      </c>
    </row>
    <row r="290" spans="1:16" x14ac:dyDescent="0.3">
      <c r="A290" s="40">
        <v>289</v>
      </c>
      <c r="C290" s="21">
        <v>3604</v>
      </c>
      <c r="D290" s="15" t="s">
        <v>561</v>
      </c>
      <c r="E290" s="15">
        <v>522</v>
      </c>
      <c r="F290" s="35" t="s">
        <v>9</v>
      </c>
      <c r="G290" s="16">
        <v>1206.54</v>
      </c>
      <c r="H290" s="16">
        <v>883.69</v>
      </c>
      <c r="I290" s="16">
        <v>322.85000000000002</v>
      </c>
      <c r="J290" s="17">
        <v>36.53</v>
      </c>
      <c r="K290" s="18">
        <f>15/30</f>
        <v>0.5</v>
      </c>
      <c r="L290" s="18">
        <f>1/3</f>
        <v>0.33333333333333331</v>
      </c>
      <c r="M290" s="19">
        <f t="shared" si="16"/>
        <v>21.75</v>
      </c>
      <c r="N290" s="44">
        <f t="shared" si="17"/>
        <v>43.5</v>
      </c>
      <c r="O290" s="44">
        <f t="shared" si="18"/>
        <v>130.5</v>
      </c>
      <c r="P290" s="22">
        <f t="shared" si="19"/>
        <v>152.25</v>
      </c>
    </row>
    <row r="291" spans="1:16" x14ac:dyDescent="0.3">
      <c r="A291" s="40">
        <v>290</v>
      </c>
      <c r="C291" s="21">
        <v>161</v>
      </c>
      <c r="D291" s="15" t="s">
        <v>562</v>
      </c>
      <c r="E291" s="17">
        <f>131.5+108</f>
        <v>239.5</v>
      </c>
      <c r="F291" s="35" t="s">
        <v>12</v>
      </c>
      <c r="G291" s="16">
        <v>1198.1500000000001</v>
      </c>
      <c r="H291" s="16">
        <v>1282.1300000000001</v>
      </c>
      <c r="I291" s="16">
        <v>-83.97</v>
      </c>
      <c r="J291" s="17">
        <v>-6.55</v>
      </c>
      <c r="K291" s="18">
        <f>25/30</f>
        <v>0.83333333333333337</v>
      </c>
      <c r="L291" s="18">
        <f>1/6</f>
        <v>0.16666666666666666</v>
      </c>
      <c r="M291" s="19">
        <f t="shared" si="16"/>
        <v>16.631944444444443</v>
      </c>
      <c r="N291" s="44">
        <f t="shared" si="17"/>
        <v>33.263888888888886</v>
      </c>
      <c r="O291" s="44">
        <f t="shared" si="18"/>
        <v>119.75</v>
      </c>
      <c r="P291" s="22">
        <f t="shared" si="19"/>
        <v>136.38194444444446</v>
      </c>
    </row>
    <row r="292" spans="1:16" x14ac:dyDescent="0.3">
      <c r="A292" s="40">
        <v>291</v>
      </c>
      <c r="C292" s="21">
        <v>376</v>
      </c>
      <c r="D292" s="15" t="s">
        <v>563</v>
      </c>
      <c r="E292" s="15">
        <v>44</v>
      </c>
      <c r="F292" s="35" t="s">
        <v>9</v>
      </c>
      <c r="G292" s="16">
        <v>1189.03</v>
      </c>
      <c r="H292" s="16">
        <v>900.4</v>
      </c>
      <c r="I292" s="16">
        <v>288.63</v>
      </c>
      <c r="J292" s="17">
        <v>32.06</v>
      </c>
      <c r="K292" s="18">
        <f>10/30</f>
        <v>0.33333333333333331</v>
      </c>
      <c r="L292" s="18">
        <f>1/3</f>
        <v>0.33333333333333331</v>
      </c>
      <c r="M292" s="19">
        <f t="shared" si="16"/>
        <v>1.2222222222222221</v>
      </c>
      <c r="N292" s="44">
        <f t="shared" si="17"/>
        <v>2.4444444444444442</v>
      </c>
      <c r="O292" s="44">
        <f t="shared" si="18"/>
        <v>11</v>
      </c>
      <c r="P292" s="22">
        <f t="shared" si="19"/>
        <v>12.222222222222221</v>
      </c>
    </row>
    <row r="293" spans="1:16" x14ac:dyDescent="0.3">
      <c r="A293" s="40">
        <v>292</v>
      </c>
      <c r="C293" s="21">
        <v>3602</v>
      </c>
      <c r="D293" s="15" t="s">
        <v>564</v>
      </c>
      <c r="E293" s="20">
        <f>60959/1000</f>
        <v>60.959000000000003</v>
      </c>
      <c r="F293" s="35" t="s">
        <v>16</v>
      </c>
      <c r="G293" s="16">
        <v>1187.52</v>
      </c>
      <c r="H293" s="16">
        <v>973.49</v>
      </c>
      <c r="I293" s="16">
        <v>214.03</v>
      </c>
      <c r="J293" s="17">
        <v>21.99</v>
      </c>
      <c r="K293" s="18">
        <f>20/30</f>
        <v>0.66666666666666663</v>
      </c>
      <c r="L293" s="18">
        <f>1/6</f>
        <v>0.16666666666666666</v>
      </c>
      <c r="M293" s="19">
        <f t="shared" si="16"/>
        <v>3.3866111111111108</v>
      </c>
      <c r="N293" s="44">
        <f t="shared" si="17"/>
        <v>6.7732222222222216</v>
      </c>
      <c r="O293" s="44">
        <f t="shared" si="18"/>
        <v>30.479500000000002</v>
      </c>
      <c r="P293" s="22">
        <f t="shared" si="19"/>
        <v>33.86611111111111</v>
      </c>
    </row>
    <row r="294" spans="1:16" x14ac:dyDescent="0.3">
      <c r="A294" s="40">
        <v>293</v>
      </c>
      <c r="C294" s="21">
        <v>1164</v>
      </c>
      <c r="D294" s="15" t="s">
        <v>133</v>
      </c>
      <c r="E294" s="15">
        <v>47</v>
      </c>
      <c r="F294" s="35" t="s">
        <v>34</v>
      </c>
      <c r="G294" s="16">
        <v>1176.96</v>
      </c>
      <c r="H294" s="16">
        <v>1341</v>
      </c>
      <c r="I294" s="16">
        <v>-164.04</v>
      </c>
      <c r="J294" s="17">
        <v>-12.23</v>
      </c>
      <c r="K294" s="18">
        <f>10/30</f>
        <v>0.33333333333333331</v>
      </c>
      <c r="L294" s="18">
        <f>1/3</f>
        <v>0.33333333333333331</v>
      </c>
      <c r="M294" s="19">
        <f t="shared" si="16"/>
        <v>1.3055555555555554</v>
      </c>
      <c r="N294" s="44">
        <f t="shared" si="17"/>
        <v>2.6111111111111107</v>
      </c>
      <c r="O294" s="44">
        <f t="shared" si="18"/>
        <v>11.75</v>
      </c>
      <c r="P294" s="22">
        <f t="shared" si="19"/>
        <v>13.055555555555555</v>
      </c>
    </row>
    <row r="295" spans="1:16" x14ac:dyDescent="0.3">
      <c r="A295" s="40">
        <v>294</v>
      </c>
      <c r="C295" s="21">
        <v>4956</v>
      </c>
      <c r="D295" s="15" t="s">
        <v>565</v>
      </c>
      <c r="E295" s="15">
        <v>2</v>
      </c>
      <c r="F295" s="35" t="s">
        <v>9</v>
      </c>
      <c r="G295" s="16">
        <v>1164</v>
      </c>
      <c r="H295" s="16">
        <v>1090</v>
      </c>
      <c r="I295" s="16">
        <v>74</v>
      </c>
      <c r="J295" s="17">
        <v>6.79</v>
      </c>
      <c r="K295" s="18">
        <f>20/30</f>
        <v>0.66666666666666663</v>
      </c>
      <c r="L295" s="18">
        <f>1/6</f>
        <v>0.16666666666666666</v>
      </c>
      <c r="M295" s="19">
        <f t="shared" si="16"/>
        <v>0.1111111111111111</v>
      </c>
      <c r="N295" s="44">
        <f t="shared" si="17"/>
        <v>0.22222222222222221</v>
      </c>
      <c r="O295" s="44">
        <f t="shared" si="18"/>
        <v>1</v>
      </c>
      <c r="P295" s="22">
        <f t="shared" si="19"/>
        <v>1.1111111111111112</v>
      </c>
    </row>
    <row r="296" spans="1:16" x14ac:dyDescent="0.3">
      <c r="A296" s="40">
        <v>295</v>
      </c>
      <c r="C296" s="21">
        <v>691</v>
      </c>
      <c r="D296" s="15" t="s">
        <v>566</v>
      </c>
      <c r="E296" s="17">
        <f>160.41+113.56</f>
        <v>273.97000000000003</v>
      </c>
      <c r="F296" s="35" t="s">
        <v>16</v>
      </c>
      <c r="G296" s="16">
        <v>1162.3</v>
      </c>
      <c r="H296" s="16">
        <v>1267.24</v>
      </c>
      <c r="I296" s="16">
        <v>-104.94</v>
      </c>
      <c r="J296" s="17">
        <v>-8.2799999999999994</v>
      </c>
      <c r="K296" s="18">
        <v>1</v>
      </c>
      <c r="L296" s="18">
        <f>1/4</f>
        <v>0.25</v>
      </c>
      <c r="M296" s="19">
        <f t="shared" si="16"/>
        <v>22.830833333333334</v>
      </c>
      <c r="N296" s="44">
        <f t="shared" si="17"/>
        <v>45.661666666666669</v>
      </c>
      <c r="O296" s="44">
        <f t="shared" si="18"/>
        <v>91.323333333333338</v>
      </c>
      <c r="P296" s="22">
        <f t="shared" si="19"/>
        <v>114.15416666666667</v>
      </c>
    </row>
    <row r="297" spans="1:16" x14ac:dyDescent="0.3">
      <c r="A297" s="40">
        <v>296</v>
      </c>
      <c r="C297" s="21">
        <v>97</v>
      </c>
      <c r="D297" s="15" t="s">
        <v>567</v>
      </c>
      <c r="E297" s="15">
        <v>60</v>
      </c>
      <c r="F297" s="35" t="s">
        <v>9</v>
      </c>
      <c r="G297" s="16">
        <v>1152.28</v>
      </c>
      <c r="H297" s="16">
        <v>458.66</v>
      </c>
      <c r="I297" s="16">
        <v>693.62</v>
      </c>
      <c r="J297" s="17">
        <v>151.22999999999999</v>
      </c>
      <c r="K297" s="18">
        <f>15/30</f>
        <v>0.5</v>
      </c>
      <c r="L297" s="18">
        <f>1/6</f>
        <v>0.16666666666666666</v>
      </c>
      <c r="M297" s="19">
        <f t="shared" si="16"/>
        <v>2.5</v>
      </c>
      <c r="N297" s="44">
        <f t="shared" si="17"/>
        <v>5</v>
      </c>
      <c r="O297" s="44">
        <f t="shared" si="18"/>
        <v>30</v>
      </c>
      <c r="P297" s="22">
        <f t="shared" si="19"/>
        <v>32.5</v>
      </c>
    </row>
    <row r="298" spans="1:16" x14ac:dyDescent="0.3">
      <c r="A298" s="40">
        <v>297</v>
      </c>
      <c r="C298" s="21">
        <v>3821</v>
      </c>
      <c r="D298" s="15" t="s">
        <v>568</v>
      </c>
      <c r="E298" s="15">
        <v>3</v>
      </c>
      <c r="F298" s="35" t="s">
        <v>9</v>
      </c>
      <c r="G298" s="16">
        <v>1151.74</v>
      </c>
      <c r="H298" s="16">
        <v>990</v>
      </c>
      <c r="I298" s="16">
        <v>161.74</v>
      </c>
      <c r="J298" s="17">
        <v>16.34</v>
      </c>
      <c r="K298" s="18">
        <v>1</v>
      </c>
      <c r="L298" s="18">
        <f>1/6</f>
        <v>0.16666666666666666</v>
      </c>
      <c r="M298" s="19">
        <f t="shared" si="16"/>
        <v>0.25</v>
      </c>
      <c r="N298" s="44">
        <f t="shared" si="17"/>
        <v>0.5</v>
      </c>
      <c r="O298" s="44">
        <f t="shared" si="18"/>
        <v>1.5</v>
      </c>
      <c r="P298" s="22">
        <f t="shared" si="19"/>
        <v>1.75</v>
      </c>
    </row>
    <row r="299" spans="1:16" x14ac:dyDescent="0.3">
      <c r="A299" s="40">
        <v>298</v>
      </c>
      <c r="C299" s="21">
        <v>999</v>
      </c>
      <c r="D299" s="15" t="s">
        <v>569</v>
      </c>
      <c r="E299" s="15">
        <v>1</v>
      </c>
      <c r="F299" s="35" t="s">
        <v>9</v>
      </c>
      <c r="G299" s="16">
        <v>1150</v>
      </c>
      <c r="H299" s="16">
        <v>760</v>
      </c>
      <c r="I299" s="16">
        <v>390</v>
      </c>
      <c r="J299" s="17">
        <v>51.32</v>
      </c>
      <c r="K299" s="18">
        <v>1</v>
      </c>
      <c r="L299" s="18">
        <f>1/12</f>
        <v>8.3333333333333329E-2</v>
      </c>
      <c r="M299" s="19">
        <f t="shared" si="16"/>
        <v>8.3333333333333329E-2</v>
      </c>
      <c r="N299" s="44">
        <f t="shared" si="17"/>
        <v>0.16666666666666666</v>
      </c>
      <c r="O299" s="44">
        <f t="shared" si="18"/>
        <v>1</v>
      </c>
      <c r="P299" s="22">
        <f t="shared" si="19"/>
        <v>1.0833333333333333</v>
      </c>
    </row>
    <row r="300" spans="1:16" x14ac:dyDescent="0.3">
      <c r="A300" s="40">
        <v>299</v>
      </c>
      <c r="C300" s="21">
        <v>565</v>
      </c>
      <c r="D300" s="15" t="s">
        <v>570</v>
      </c>
      <c r="E300" s="15">
        <v>1</v>
      </c>
      <c r="F300" s="35" t="s">
        <v>9</v>
      </c>
      <c r="G300" s="16">
        <v>1144.75</v>
      </c>
      <c r="H300" s="16">
        <v>1265</v>
      </c>
      <c r="I300" s="16">
        <v>-120.25</v>
      </c>
      <c r="J300" s="17">
        <v>-9.51</v>
      </c>
      <c r="K300" s="18">
        <f>15/30</f>
        <v>0.5</v>
      </c>
      <c r="L300" s="18">
        <f>1/3</f>
        <v>0.33333333333333331</v>
      </c>
      <c r="M300" s="19">
        <f t="shared" si="16"/>
        <v>4.1666666666666664E-2</v>
      </c>
      <c r="N300" s="44">
        <f t="shared" si="17"/>
        <v>8.3333333333333329E-2</v>
      </c>
      <c r="O300" s="44">
        <f t="shared" si="18"/>
        <v>0.25</v>
      </c>
      <c r="P300" s="22">
        <f t="shared" si="19"/>
        <v>0.29166666666666669</v>
      </c>
    </row>
    <row r="301" spans="1:16" x14ac:dyDescent="0.3">
      <c r="A301" s="40">
        <v>300</v>
      </c>
      <c r="C301" s="21">
        <v>3656</v>
      </c>
      <c r="D301" s="15" t="s">
        <v>159</v>
      </c>
      <c r="E301" s="15">
        <v>30</v>
      </c>
      <c r="F301" s="35" t="s">
        <v>9</v>
      </c>
      <c r="G301" s="16">
        <v>1143.25</v>
      </c>
      <c r="H301" s="16">
        <v>671.83</v>
      </c>
      <c r="I301" s="16">
        <v>471.42</v>
      </c>
      <c r="J301" s="17">
        <v>70.17</v>
      </c>
      <c r="K301" s="18">
        <v>1</v>
      </c>
      <c r="L301" s="18">
        <f>1/6</f>
        <v>0.16666666666666666</v>
      </c>
      <c r="M301" s="19">
        <f t="shared" si="16"/>
        <v>2.5</v>
      </c>
      <c r="N301" s="44">
        <f t="shared" si="17"/>
        <v>5</v>
      </c>
      <c r="O301" s="44">
        <f t="shared" si="18"/>
        <v>15</v>
      </c>
      <c r="P301" s="22">
        <f t="shared" si="19"/>
        <v>17.5</v>
      </c>
    </row>
    <row r="302" spans="1:16" x14ac:dyDescent="0.3">
      <c r="A302" s="40">
        <v>301</v>
      </c>
      <c r="C302" s="21">
        <v>1666</v>
      </c>
      <c r="D302" s="15" t="s">
        <v>571</v>
      </c>
      <c r="E302" s="15">
        <f>1+1+1</f>
        <v>3</v>
      </c>
      <c r="F302" s="35" t="s">
        <v>9</v>
      </c>
      <c r="G302" s="16">
        <v>1141</v>
      </c>
      <c r="H302" s="16">
        <v>920</v>
      </c>
      <c r="I302" s="16">
        <v>221</v>
      </c>
      <c r="J302" s="17">
        <v>24.02</v>
      </c>
      <c r="K302" s="18">
        <f>15/30</f>
        <v>0.5</v>
      </c>
      <c r="L302" s="18">
        <f>1/3</f>
        <v>0.33333333333333331</v>
      </c>
      <c r="M302" s="19">
        <f t="shared" si="16"/>
        <v>0.125</v>
      </c>
      <c r="N302" s="44">
        <f t="shared" si="17"/>
        <v>0.25</v>
      </c>
      <c r="O302" s="44">
        <f t="shared" si="18"/>
        <v>0.75</v>
      </c>
      <c r="P302" s="22">
        <f t="shared" si="19"/>
        <v>0.875</v>
      </c>
    </row>
    <row r="303" spans="1:16" x14ac:dyDescent="0.3">
      <c r="A303" s="40">
        <v>302</v>
      </c>
      <c r="C303" s="21">
        <v>4835</v>
      </c>
      <c r="D303" s="15" t="s">
        <v>814</v>
      </c>
      <c r="E303" s="15">
        <f>9+15</f>
        <v>24</v>
      </c>
      <c r="F303" s="35" t="s">
        <v>9</v>
      </c>
      <c r="G303" s="16">
        <v>1138.6099999999999</v>
      </c>
      <c r="H303" s="16">
        <v>1240.2</v>
      </c>
      <c r="I303" s="16">
        <v>-101.59</v>
      </c>
      <c r="J303" s="17">
        <v>-8.19</v>
      </c>
      <c r="K303" s="18">
        <f>15/30</f>
        <v>0.5</v>
      </c>
      <c r="L303" s="18">
        <f>1/6</f>
        <v>0.16666666666666666</v>
      </c>
      <c r="M303" s="19">
        <f t="shared" si="16"/>
        <v>1</v>
      </c>
      <c r="N303" s="44">
        <f t="shared" si="17"/>
        <v>2</v>
      </c>
      <c r="O303" s="44">
        <f t="shared" si="18"/>
        <v>12</v>
      </c>
      <c r="P303" s="22">
        <f t="shared" si="19"/>
        <v>13</v>
      </c>
    </row>
    <row r="304" spans="1:16" x14ac:dyDescent="0.3">
      <c r="A304" s="40">
        <v>303</v>
      </c>
      <c r="C304" s="21">
        <v>248</v>
      </c>
      <c r="D304" s="15" t="s">
        <v>62</v>
      </c>
      <c r="E304" s="15">
        <v>2</v>
      </c>
      <c r="F304" s="35" t="s">
        <v>9</v>
      </c>
      <c r="G304" s="16">
        <v>1136.2</v>
      </c>
      <c r="H304" s="16">
        <v>1196</v>
      </c>
      <c r="I304" s="16">
        <v>-59.8</v>
      </c>
      <c r="J304" s="17">
        <v>-5</v>
      </c>
      <c r="K304" s="18">
        <f>20/30</f>
        <v>0.66666666666666663</v>
      </c>
      <c r="L304" s="18">
        <f>1/4</f>
        <v>0.25</v>
      </c>
      <c r="M304" s="19">
        <f t="shared" si="16"/>
        <v>0.1111111111111111</v>
      </c>
      <c r="N304" s="44">
        <f t="shared" si="17"/>
        <v>0.22222222222222221</v>
      </c>
      <c r="O304" s="44">
        <f t="shared" si="18"/>
        <v>0.66666666666666663</v>
      </c>
      <c r="P304" s="22">
        <f t="shared" si="19"/>
        <v>0.77777777777777768</v>
      </c>
    </row>
    <row r="305" spans="1:16" x14ac:dyDescent="0.3">
      <c r="A305" s="40">
        <v>304</v>
      </c>
      <c r="C305" s="21">
        <v>1407</v>
      </c>
      <c r="D305" s="15" t="s">
        <v>572</v>
      </c>
      <c r="E305" s="15">
        <v>2</v>
      </c>
      <c r="F305" s="35" t="s">
        <v>9</v>
      </c>
      <c r="G305" s="16">
        <v>1131.8</v>
      </c>
      <c r="H305" s="16">
        <v>975</v>
      </c>
      <c r="I305" s="16">
        <v>156.80000000000001</v>
      </c>
      <c r="J305" s="17">
        <v>16.079999999999998</v>
      </c>
      <c r="K305" s="18">
        <f>15/30</f>
        <v>0.5</v>
      </c>
      <c r="L305" s="18">
        <f>1/12</f>
        <v>8.3333333333333329E-2</v>
      </c>
      <c r="M305" s="19">
        <f t="shared" si="16"/>
        <v>8.3333333333333329E-2</v>
      </c>
      <c r="N305" s="44">
        <f t="shared" si="17"/>
        <v>0.16666666666666666</v>
      </c>
      <c r="O305" s="44">
        <f t="shared" si="18"/>
        <v>2</v>
      </c>
      <c r="P305" s="22">
        <f t="shared" si="19"/>
        <v>2.0833333333333335</v>
      </c>
    </row>
    <row r="306" spans="1:16" x14ac:dyDescent="0.3">
      <c r="A306" s="40">
        <v>305</v>
      </c>
      <c r="C306" s="21">
        <v>3605</v>
      </c>
      <c r="D306" s="15" t="s">
        <v>343</v>
      </c>
      <c r="E306" s="17">
        <v>205.5</v>
      </c>
      <c r="F306" s="35" t="s">
        <v>22</v>
      </c>
      <c r="G306" s="16">
        <v>1129.6400000000001</v>
      </c>
      <c r="H306" s="16">
        <v>923.55</v>
      </c>
      <c r="I306" s="16">
        <v>206.09</v>
      </c>
      <c r="J306" s="17">
        <v>22.31</v>
      </c>
      <c r="K306" s="18">
        <f>20/30</f>
        <v>0.66666666666666663</v>
      </c>
      <c r="L306" s="18">
        <f>1/6</f>
        <v>0.16666666666666666</v>
      </c>
      <c r="M306" s="19">
        <f t="shared" si="16"/>
        <v>11.416666666666666</v>
      </c>
      <c r="N306" s="44">
        <f t="shared" si="17"/>
        <v>22.833333333333332</v>
      </c>
      <c r="O306" s="44">
        <f t="shared" si="18"/>
        <v>102.75</v>
      </c>
      <c r="P306" s="22">
        <f t="shared" si="19"/>
        <v>114.16666666666667</v>
      </c>
    </row>
    <row r="307" spans="1:16" x14ac:dyDescent="0.3">
      <c r="A307" s="40">
        <v>306</v>
      </c>
      <c r="C307" s="21">
        <v>4694</v>
      </c>
      <c r="D307" s="15" t="s">
        <v>85</v>
      </c>
      <c r="E307" s="15">
        <f>3+2</f>
        <v>5</v>
      </c>
      <c r="F307" s="35" t="s">
        <v>86</v>
      </c>
      <c r="G307" s="16">
        <v>1128.68</v>
      </c>
      <c r="H307" s="16">
        <v>918</v>
      </c>
      <c r="I307" s="16">
        <v>210.68</v>
      </c>
      <c r="J307" s="17">
        <v>22.95</v>
      </c>
      <c r="K307" s="18">
        <v>1</v>
      </c>
      <c r="L307" s="18">
        <f>1/6</f>
        <v>0.16666666666666666</v>
      </c>
      <c r="M307" s="19">
        <f t="shared" si="16"/>
        <v>0.41666666666666669</v>
      </c>
      <c r="N307" s="44">
        <f t="shared" si="17"/>
        <v>0.83333333333333337</v>
      </c>
      <c r="O307" s="44">
        <f t="shared" si="18"/>
        <v>2.5000000000000004</v>
      </c>
      <c r="P307" s="22">
        <f t="shared" si="19"/>
        <v>2.916666666666667</v>
      </c>
    </row>
    <row r="308" spans="1:16" x14ac:dyDescent="0.3">
      <c r="A308" s="40">
        <v>307</v>
      </c>
      <c r="C308" s="21">
        <v>3684</v>
      </c>
      <c r="D308" s="15" t="s">
        <v>573</v>
      </c>
      <c r="E308" s="15">
        <v>7</v>
      </c>
      <c r="F308" s="35" t="s">
        <v>9</v>
      </c>
      <c r="G308" s="16">
        <v>1120.04</v>
      </c>
      <c r="H308" s="16">
        <v>1050</v>
      </c>
      <c r="I308" s="16">
        <v>70.040000000000006</v>
      </c>
      <c r="J308" s="17">
        <v>6.67</v>
      </c>
      <c r="K308" s="18">
        <v>1</v>
      </c>
      <c r="L308" s="18">
        <f>1/6</f>
        <v>0.16666666666666666</v>
      </c>
      <c r="M308" s="19">
        <f t="shared" si="16"/>
        <v>0.58333333333333337</v>
      </c>
      <c r="N308" s="44">
        <f t="shared" si="17"/>
        <v>1.1666666666666667</v>
      </c>
      <c r="O308" s="44">
        <f t="shared" si="18"/>
        <v>3.5000000000000004</v>
      </c>
      <c r="P308" s="22">
        <f t="shared" si="19"/>
        <v>4.0833333333333339</v>
      </c>
    </row>
    <row r="309" spans="1:16" x14ac:dyDescent="0.3">
      <c r="A309" s="40">
        <v>308</v>
      </c>
      <c r="C309" s="21">
        <v>3906</v>
      </c>
      <c r="D309" s="15" t="s">
        <v>574</v>
      </c>
      <c r="E309" s="17">
        <v>156.9</v>
      </c>
      <c r="F309" s="35" t="s">
        <v>12</v>
      </c>
      <c r="G309" s="16">
        <v>1117.68</v>
      </c>
      <c r="H309" s="16">
        <v>943.79</v>
      </c>
      <c r="I309" s="16">
        <v>173.89</v>
      </c>
      <c r="J309" s="17">
        <v>18.420000000000002</v>
      </c>
      <c r="K309" s="18">
        <f>15/30</f>
        <v>0.5</v>
      </c>
      <c r="L309" s="18">
        <f>1/3</f>
        <v>0.33333333333333331</v>
      </c>
      <c r="M309" s="19">
        <f t="shared" si="16"/>
        <v>6.5375000000000005</v>
      </c>
      <c r="N309" s="44">
        <f t="shared" si="17"/>
        <v>13.075000000000001</v>
      </c>
      <c r="O309" s="44">
        <f t="shared" si="18"/>
        <v>39.225000000000009</v>
      </c>
      <c r="P309" s="22">
        <f t="shared" si="19"/>
        <v>45.76250000000001</v>
      </c>
    </row>
    <row r="310" spans="1:16" x14ac:dyDescent="0.3">
      <c r="A310" s="40">
        <v>309</v>
      </c>
      <c r="C310" s="21">
        <v>377</v>
      </c>
      <c r="D310" s="15" t="s">
        <v>575</v>
      </c>
      <c r="E310" s="15">
        <f>22+20</f>
        <v>42</v>
      </c>
      <c r="F310" s="35" t="s">
        <v>9</v>
      </c>
      <c r="G310" s="16">
        <v>1114.94</v>
      </c>
      <c r="H310" s="16">
        <v>789.8</v>
      </c>
      <c r="I310" s="16">
        <v>325.14</v>
      </c>
      <c r="J310" s="17">
        <v>41.17</v>
      </c>
      <c r="K310" s="18">
        <f>25/30</f>
        <v>0.83333333333333337</v>
      </c>
      <c r="L310" s="18">
        <f>1/4</f>
        <v>0.25</v>
      </c>
      <c r="M310" s="19">
        <f t="shared" si="16"/>
        <v>2.916666666666667</v>
      </c>
      <c r="N310" s="44">
        <f t="shared" si="17"/>
        <v>5.8333333333333339</v>
      </c>
      <c r="O310" s="44">
        <f t="shared" si="18"/>
        <v>14</v>
      </c>
      <c r="P310" s="22">
        <f t="shared" si="19"/>
        <v>16.916666666666668</v>
      </c>
    </row>
    <row r="311" spans="1:16" x14ac:dyDescent="0.3">
      <c r="A311" s="40">
        <v>310</v>
      </c>
      <c r="C311" s="21">
        <v>4044</v>
      </c>
      <c r="D311" s="15" t="s">
        <v>309</v>
      </c>
      <c r="E311" s="17">
        <v>71.319999999999993</v>
      </c>
      <c r="F311" s="35" t="s">
        <v>12</v>
      </c>
      <c r="G311" s="16">
        <v>1114.76</v>
      </c>
      <c r="H311" s="16">
        <v>891.5</v>
      </c>
      <c r="I311" s="16">
        <v>223.26</v>
      </c>
      <c r="J311" s="17">
        <v>25.04</v>
      </c>
      <c r="K311" s="18">
        <v>1</v>
      </c>
      <c r="L311" s="18">
        <f>1/12</f>
        <v>8.3333333333333329E-2</v>
      </c>
      <c r="M311" s="19">
        <f t="shared" si="16"/>
        <v>5.9433333333333325</v>
      </c>
      <c r="N311" s="44">
        <f t="shared" si="17"/>
        <v>11.886666666666665</v>
      </c>
      <c r="O311" s="44">
        <f t="shared" si="18"/>
        <v>71.319999999999993</v>
      </c>
      <c r="P311" s="22">
        <f t="shared" si="19"/>
        <v>77.263333333333321</v>
      </c>
    </row>
    <row r="312" spans="1:16" x14ac:dyDescent="0.3">
      <c r="A312" s="40">
        <v>311</v>
      </c>
      <c r="C312" s="21">
        <v>2684</v>
      </c>
      <c r="D312" s="15" t="s">
        <v>63</v>
      </c>
      <c r="E312" s="15">
        <v>2</v>
      </c>
      <c r="F312" s="35" t="s">
        <v>9</v>
      </c>
      <c r="G312" s="16">
        <v>1112.6400000000001</v>
      </c>
      <c r="H312" s="16">
        <v>798</v>
      </c>
      <c r="I312" s="16">
        <v>314.64</v>
      </c>
      <c r="J312" s="17">
        <v>39.43</v>
      </c>
      <c r="K312" s="18">
        <f>20/30</f>
        <v>0.66666666666666663</v>
      </c>
      <c r="L312" s="18">
        <f>1/4</f>
        <v>0.25</v>
      </c>
      <c r="M312" s="19">
        <f t="shared" si="16"/>
        <v>0.1111111111111111</v>
      </c>
      <c r="N312" s="44">
        <f t="shared" si="17"/>
        <v>0.22222222222222221</v>
      </c>
      <c r="O312" s="44">
        <f t="shared" si="18"/>
        <v>0.66666666666666663</v>
      </c>
      <c r="P312" s="22">
        <f t="shared" si="19"/>
        <v>0.77777777777777768</v>
      </c>
    </row>
    <row r="313" spans="1:16" x14ac:dyDescent="0.3">
      <c r="A313" s="40">
        <v>312</v>
      </c>
      <c r="C313" s="21">
        <v>508</v>
      </c>
      <c r="D313" s="15" t="s">
        <v>576</v>
      </c>
      <c r="E313" s="17">
        <v>329.7</v>
      </c>
      <c r="F313" s="35" t="s">
        <v>9</v>
      </c>
      <c r="G313" s="16">
        <v>1111.6600000000001</v>
      </c>
      <c r="H313" s="16">
        <v>0</v>
      </c>
      <c r="I313" s="16">
        <v>1111.6600000000001</v>
      </c>
      <c r="J313" s="17">
        <v>100</v>
      </c>
      <c r="K313" s="18">
        <f>25/30</f>
        <v>0.83333333333333337</v>
      </c>
      <c r="L313" s="18">
        <f>1/6</f>
        <v>0.16666666666666666</v>
      </c>
      <c r="M313" s="19">
        <f t="shared" si="16"/>
        <v>22.895833333333332</v>
      </c>
      <c r="N313" s="44">
        <f t="shared" si="17"/>
        <v>45.791666666666664</v>
      </c>
      <c r="O313" s="44">
        <f t="shared" si="18"/>
        <v>164.85</v>
      </c>
      <c r="P313" s="22">
        <f t="shared" si="19"/>
        <v>187.74583333333334</v>
      </c>
    </row>
    <row r="314" spans="1:16" x14ac:dyDescent="0.3">
      <c r="A314" s="40">
        <v>313</v>
      </c>
      <c r="C314" s="21">
        <v>603</v>
      </c>
      <c r="D314" s="15" t="s">
        <v>165</v>
      </c>
      <c r="E314" s="17">
        <v>172.14</v>
      </c>
      <c r="F314" s="35" t="s">
        <v>12</v>
      </c>
      <c r="G314" s="16">
        <v>1109.07</v>
      </c>
      <c r="H314" s="16">
        <v>1635.33</v>
      </c>
      <c r="I314" s="16">
        <v>-526.26</v>
      </c>
      <c r="J314" s="17">
        <v>-32.18</v>
      </c>
      <c r="K314" s="18">
        <f>15/30</f>
        <v>0.5</v>
      </c>
      <c r="L314" s="18">
        <f>1/6</f>
        <v>0.16666666666666666</v>
      </c>
      <c r="M314" s="19">
        <f t="shared" si="16"/>
        <v>7.1724999999999994</v>
      </c>
      <c r="N314" s="44">
        <f t="shared" si="17"/>
        <v>14.344999999999999</v>
      </c>
      <c r="O314" s="44">
        <f t="shared" si="18"/>
        <v>86.07</v>
      </c>
      <c r="P314" s="22">
        <f t="shared" si="19"/>
        <v>93.242499999999993</v>
      </c>
    </row>
    <row r="315" spans="1:16" x14ac:dyDescent="0.3">
      <c r="A315" s="40">
        <v>314</v>
      </c>
      <c r="C315" s="21">
        <v>1643</v>
      </c>
      <c r="D315" s="15" t="s">
        <v>577</v>
      </c>
      <c r="E315" s="15">
        <v>24</v>
      </c>
      <c r="F315" s="35" t="s">
        <v>34</v>
      </c>
      <c r="G315" s="16">
        <v>1108.23</v>
      </c>
      <c r="H315" s="16">
        <v>953.5</v>
      </c>
      <c r="I315" s="16">
        <v>154.72999999999999</v>
      </c>
      <c r="J315" s="17">
        <v>16.23</v>
      </c>
      <c r="K315" s="18">
        <f>10/30</f>
        <v>0.33333333333333331</v>
      </c>
      <c r="L315" s="18">
        <f>1/3</f>
        <v>0.33333333333333331</v>
      </c>
      <c r="M315" s="19">
        <f t="shared" si="16"/>
        <v>0.66666666666666663</v>
      </c>
      <c r="N315" s="44">
        <f t="shared" si="17"/>
        <v>1.3333333333333333</v>
      </c>
      <c r="O315" s="44">
        <f t="shared" si="18"/>
        <v>6</v>
      </c>
      <c r="P315" s="22">
        <f t="shared" si="19"/>
        <v>6.666666666666667</v>
      </c>
    </row>
    <row r="316" spans="1:16" x14ac:dyDescent="0.3">
      <c r="A316" s="40">
        <v>315</v>
      </c>
      <c r="C316" s="21">
        <v>1708</v>
      </c>
      <c r="D316" s="15" t="s">
        <v>578</v>
      </c>
      <c r="E316" s="15">
        <v>33</v>
      </c>
      <c r="F316" s="35" t="s">
        <v>9</v>
      </c>
      <c r="G316" s="16">
        <v>1107.6600000000001</v>
      </c>
      <c r="H316" s="16">
        <v>1039.5</v>
      </c>
      <c r="I316" s="16">
        <v>68.16</v>
      </c>
      <c r="J316" s="17">
        <v>6.56</v>
      </c>
      <c r="K316" s="18">
        <v>1</v>
      </c>
      <c r="L316" s="18">
        <f>1/4</f>
        <v>0.25</v>
      </c>
      <c r="M316" s="19">
        <f t="shared" si="16"/>
        <v>2.75</v>
      </c>
      <c r="N316" s="44">
        <f t="shared" si="17"/>
        <v>5.5</v>
      </c>
      <c r="O316" s="44">
        <f t="shared" si="18"/>
        <v>11</v>
      </c>
      <c r="P316" s="22">
        <f t="shared" si="19"/>
        <v>13.75</v>
      </c>
    </row>
    <row r="317" spans="1:16" x14ac:dyDescent="0.3">
      <c r="A317" s="40">
        <v>316</v>
      </c>
      <c r="C317" s="21">
        <v>1468</v>
      </c>
      <c r="D317" s="15" t="s">
        <v>579</v>
      </c>
      <c r="E317" s="15">
        <v>23</v>
      </c>
      <c r="F317" s="35" t="s">
        <v>9</v>
      </c>
      <c r="G317" s="16">
        <v>1105.82</v>
      </c>
      <c r="H317" s="16">
        <v>839.5</v>
      </c>
      <c r="I317" s="16">
        <v>266.32</v>
      </c>
      <c r="J317" s="17">
        <v>31.72</v>
      </c>
      <c r="K317" s="18">
        <v>1</v>
      </c>
      <c r="L317" s="18">
        <f>1/4</f>
        <v>0.25</v>
      </c>
      <c r="M317" s="19">
        <f t="shared" si="16"/>
        <v>1.9166666666666667</v>
      </c>
      <c r="N317" s="44">
        <f t="shared" si="17"/>
        <v>3.8333333333333335</v>
      </c>
      <c r="O317" s="44">
        <f t="shared" si="18"/>
        <v>7.666666666666667</v>
      </c>
      <c r="P317" s="22">
        <f t="shared" si="19"/>
        <v>9.5833333333333339</v>
      </c>
    </row>
    <row r="318" spans="1:16" x14ac:dyDescent="0.3">
      <c r="A318" s="40">
        <v>317</v>
      </c>
      <c r="C318" s="21">
        <v>416</v>
      </c>
      <c r="D318" s="15" t="s">
        <v>90</v>
      </c>
      <c r="E318" s="15">
        <v>34</v>
      </c>
      <c r="F318" s="35" t="s">
        <v>9</v>
      </c>
      <c r="G318" s="16">
        <v>1101.23</v>
      </c>
      <c r="H318" s="16">
        <v>0</v>
      </c>
      <c r="I318" s="16">
        <v>1101.23</v>
      </c>
      <c r="J318" s="17">
        <v>100</v>
      </c>
      <c r="K318" s="18">
        <f>20/30</f>
        <v>0.66666666666666663</v>
      </c>
      <c r="L318" s="18">
        <f>1/6</f>
        <v>0.16666666666666666</v>
      </c>
      <c r="M318" s="19">
        <f t="shared" si="16"/>
        <v>1.8888888888888888</v>
      </c>
      <c r="N318" s="44">
        <f t="shared" si="17"/>
        <v>3.7777777777777777</v>
      </c>
      <c r="O318" s="44">
        <f t="shared" si="18"/>
        <v>17.000000000000004</v>
      </c>
      <c r="P318" s="22">
        <f t="shared" si="19"/>
        <v>18.888888888888893</v>
      </c>
    </row>
    <row r="319" spans="1:16" x14ac:dyDescent="0.3">
      <c r="A319" s="40">
        <v>318</v>
      </c>
      <c r="C319" s="21">
        <v>4705</v>
      </c>
      <c r="D319" s="15" t="s">
        <v>580</v>
      </c>
      <c r="E319" s="17">
        <v>69.5</v>
      </c>
      <c r="F319" s="35" t="s">
        <v>16</v>
      </c>
      <c r="G319" s="16">
        <v>1099.71</v>
      </c>
      <c r="H319" s="16">
        <v>973</v>
      </c>
      <c r="I319" s="16">
        <v>126.71</v>
      </c>
      <c r="J319" s="17">
        <v>13.02</v>
      </c>
      <c r="K319" s="18">
        <v>1</v>
      </c>
      <c r="L319" s="18">
        <f>1/4</f>
        <v>0.25</v>
      </c>
      <c r="M319" s="19">
        <f t="shared" si="16"/>
        <v>5.791666666666667</v>
      </c>
      <c r="N319" s="44">
        <f t="shared" si="17"/>
        <v>11.583333333333334</v>
      </c>
      <c r="O319" s="44">
        <f t="shared" si="18"/>
        <v>23.166666666666668</v>
      </c>
      <c r="P319" s="22">
        <f t="shared" si="19"/>
        <v>28.958333333333336</v>
      </c>
    </row>
    <row r="320" spans="1:16" x14ac:dyDescent="0.3">
      <c r="A320" s="40">
        <v>319</v>
      </c>
      <c r="C320" s="21">
        <v>4323</v>
      </c>
      <c r="D320" s="15" t="s">
        <v>581</v>
      </c>
      <c r="E320" s="15">
        <v>48</v>
      </c>
      <c r="F320" s="35" t="s">
        <v>9</v>
      </c>
      <c r="G320" s="16">
        <v>1099.69</v>
      </c>
      <c r="H320" s="16">
        <v>723.08</v>
      </c>
      <c r="I320" s="16">
        <v>376.61</v>
      </c>
      <c r="J320" s="17">
        <v>52.08</v>
      </c>
      <c r="K320" s="18">
        <v>1</v>
      </c>
      <c r="L320" s="18">
        <f>1/4</f>
        <v>0.25</v>
      </c>
      <c r="M320" s="19">
        <f t="shared" si="16"/>
        <v>4</v>
      </c>
      <c r="N320" s="44">
        <f t="shared" si="17"/>
        <v>8</v>
      </c>
      <c r="O320" s="44">
        <f t="shared" si="18"/>
        <v>16</v>
      </c>
      <c r="P320" s="22">
        <f t="shared" si="19"/>
        <v>20</v>
      </c>
    </row>
    <row r="321" spans="1:16" x14ac:dyDescent="0.3">
      <c r="A321" s="40">
        <v>320</v>
      </c>
      <c r="C321" s="21">
        <v>3253</v>
      </c>
      <c r="D321" s="15" t="s">
        <v>582</v>
      </c>
      <c r="E321" s="17">
        <f>82.79+68.85+46.5</f>
        <v>198.14</v>
      </c>
      <c r="F321" s="35" t="s">
        <v>365</v>
      </c>
      <c r="G321" s="16">
        <v>1097.52</v>
      </c>
      <c r="H321" s="16">
        <v>797.27</v>
      </c>
      <c r="I321" s="16">
        <v>300.25</v>
      </c>
      <c r="J321" s="17">
        <v>37.659999999999997</v>
      </c>
      <c r="K321" s="18">
        <v>1</v>
      </c>
      <c r="L321" s="18">
        <f>1/5</f>
        <v>0.2</v>
      </c>
      <c r="M321" s="19">
        <f t="shared" si="16"/>
        <v>16.511666666666667</v>
      </c>
      <c r="N321" s="44">
        <f t="shared" si="17"/>
        <v>33.023333333333333</v>
      </c>
      <c r="O321" s="44">
        <f t="shared" si="18"/>
        <v>82.558333333333323</v>
      </c>
      <c r="P321" s="22">
        <f t="shared" si="19"/>
        <v>99.07</v>
      </c>
    </row>
    <row r="322" spans="1:16" x14ac:dyDescent="0.3">
      <c r="A322" s="40">
        <v>321</v>
      </c>
      <c r="C322" s="21">
        <v>1681</v>
      </c>
      <c r="D322" s="15" t="s">
        <v>583</v>
      </c>
      <c r="E322" s="15">
        <v>141</v>
      </c>
      <c r="F322" s="35" t="s">
        <v>16</v>
      </c>
      <c r="G322" s="16">
        <v>1096.5899999999999</v>
      </c>
      <c r="H322" s="16">
        <v>1015.2</v>
      </c>
      <c r="I322" s="16">
        <v>81.39</v>
      </c>
      <c r="J322" s="17">
        <v>8.02</v>
      </c>
      <c r="K322" s="18">
        <v>1</v>
      </c>
      <c r="L322" s="18">
        <f>1/4</f>
        <v>0.25</v>
      </c>
      <c r="M322" s="19">
        <f t="shared" ref="M322:M385" si="20">(E322/12)*K322</f>
        <v>11.75</v>
      </c>
      <c r="N322" s="44">
        <f t="shared" ref="N322:N385" si="21">((E322/12)*K322)+M322</f>
        <v>23.5</v>
      </c>
      <c r="O322" s="44">
        <f t="shared" ref="O322:O385" si="22">(E322/12)/L322</f>
        <v>47</v>
      </c>
      <c r="P322" s="22">
        <f t="shared" ref="P322:P385" si="23">O322+M322</f>
        <v>58.75</v>
      </c>
    </row>
    <row r="323" spans="1:16" x14ac:dyDescent="0.3">
      <c r="A323" s="40">
        <v>322</v>
      </c>
      <c r="C323" s="21">
        <v>1391</v>
      </c>
      <c r="D323" s="15" t="s">
        <v>584</v>
      </c>
      <c r="E323" s="17">
        <v>42.5</v>
      </c>
      <c r="F323" s="35" t="s">
        <v>9</v>
      </c>
      <c r="G323" s="16">
        <v>1095.02</v>
      </c>
      <c r="H323" s="16">
        <v>760.75</v>
      </c>
      <c r="I323" s="16">
        <v>334.27</v>
      </c>
      <c r="J323" s="17">
        <v>43.94</v>
      </c>
      <c r="K323" s="18">
        <v>1</v>
      </c>
      <c r="L323" s="18">
        <f>1/4</f>
        <v>0.25</v>
      </c>
      <c r="M323" s="19">
        <f t="shared" si="20"/>
        <v>3.5416666666666665</v>
      </c>
      <c r="N323" s="44">
        <f t="shared" si="21"/>
        <v>7.083333333333333</v>
      </c>
      <c r="O323" s="44">
        <f t="shared" si="22"/>
        <v>14.166666666666666</v>
      </c>
      <c r="P323" s="22">
        <f t="shared" si="23"/>
        <v>17.708333333333332</v>
      </c>
    </row>
    <row r="324" spans="1:16" x14ac:dyDescent="0.3">
      <c r="A324" s="40">
        <v>323</v>
      </c>
      <c r="C324" s="21">
        <v>4190</v>
      </c>
      <c r="D324" s="15" t="s">
        <v>585</v>
      </c>
      <c r="E324" s="15">
        <v>105</v>
      </c>
      <c r="F324" s="35" t="s">
        <v>9</v>
      </c>
      <c r="G324" s="16">
        <v>1091.05</v>
      </c>
      <c r="H324" s="16">
        <v>1077.67</v>
      </c>
      <c r="I324" s="16">
        <v>13.38</v>
      </c>
      <c r="J324" s="17">
        <v>1.24</v>
      </c>
      <c r="K324" s="18">
        <f>15/30</f>
        <v>0.5</v>
      </c>
      <c r="L324" s="18">
        <f>1/4</f>
        <v>0.25</v>
      </c>
      <c r="M324" s="19">
        <f t="shared" si="20"/>
        <v>4.375</v>
      </c>
      <c r="N324" s="44">
        <f t="shared" si="21"/>
        <v>8.75</v>
      </c>
      <c r="O324" s="44">
        <f t="shared" si="22"/>
        <v>35</v>
      </c>
      <c r="P324" s="22">
        <f t="shared" si="23"/>
        <v>39.375</v>
      </c>
    </row>
    <row r="325" spans="1:16" x14ac:dyDescent="0.3">
      <c r="A325" s="40">
        <v>324</v>
      </c>
      <c r="C325" s="21">
        <v>584</v>
      </c>
      <c r="D325" s="15" t="s">
        <v>221</v>
      </c>
      <c r="E325" s="15">
        <v>13</v>
      </c>
      <c r="F325" s="35" t="s">
        <v>9</v>
      </c>
      <c r="G325" s="16">
        <v>1087.46</v>
      </c>
      <c r="H325" s="16">
        <v>513.5</v>
      </c>
      <c r="I325" s="16">
        <v>573.96</v>
      </c>
      <c r="J325" s="17">
        <v>111.77</v>
      </c>
      <c r="K325" s="18">
        <v>1</v>
      </c>
      <c r="L325" s="18">
        <f>1/6</f>
        <v>0.16666666666666666</v>
      </c>
      <c r="M325" s="19">
        <f t="shared" si="20"/>
        <v>1.0833333333333333</v>
      </c>
      <c r="N325" s="44">
        <f t="shared" si="21"/>
        <v>2.1666666666666665</v>
      </c>
      <c r="O325" s="44">
        <f t="shared" si="22"/>
        <v>6.5</v>
      </c>
      <c r="P325" s="22">
        <f t="shared" si="23"/>
        <v>7.583333333333333</v>
      </c>
    </row>
    <row r="326" spans="1:16" x14ac:dyDescent="0.3">
      <c r="A326" s="40">
        <v>325</v>
      </c>
      <c r="C326" s="21">
        <v>3327</v>
      </c>
      <c r="D326" s="15" t="s">
        <v>383</v>
      </c>
      <c r="E326" s="15">
        <v>296</v>
      </c>
      <c r="F326" s="35" t="s">
        <v>9</v>
      </c>
      <c r="G326" s="16">
        <v>1085.98</v>
      </c>
      <c r="H326" s="16">
        <v>818.72</v>
      </c>
      <c r="I326" s="16">
        <v>267.26</v>
      </c>
      <c r="J326" s="17">
        <v>32.64</v>
      </c>
      <c r="K326" s="18">
        <f>15/30</f>
        <v>0.5</v>
      </c>
      <c r="L326" s="18">
        <f>1/4</f>
        <v>0.25</v>
      </c>
      <c r="M326" s="19">
        <f t="shared" si="20"/>
        <v>12.333333333333334</v>
      </c>
      <c r="N326" s="44">
        <f t="shared" si="21"/>
        <v>24.666666666666668</v>
      </c>
      <c r="O326" s="44">
        <f t="shared" si="22"/>
        <v>98.666666666666671</v>
      </c>
      <c r="P326" s="22">
        <f t="shared" si="23"/>
        <v>111</v>
      </c>
    </row>
    <row r="327" spans="1:16" x14ac:dyDescent="0.3">
      <c r="A327" s="40">
        <v>326</v>
      </c>
      <c r="C327" s="21">
        <v>2418</v>
      </c>
      <c r="D327" s="15" t="s">
        <v>586</v>
      </c>
      <c r="E327" s="17">
        <v>159.5</v>
      </c>
      <c r="F327" s="35" t="s">
        <v>12</v>
      </c>
      <c r="G327" s="16">
        <v>1079.27</v>
      </c>
      <c r="H327" s="16">
        <v>1082.53</v>
      </c>
      <c r="I327" s="16">
        <v>-3.26</v>
      </c>
      <c r="J327" s="17">
        <v>-0.3</v>
      </c>
      <c r="K327" s="18">
        <f>25/30</f>
        <v>0.83333333333333337</v>
      </c>
      <c r="L327" s="18">
        <f>1/6</f>
        <v>0.16666666666666666</v>
      </c>
      <c r="M327" s="19">
        <f t="shared" si="20"/>
        <v>11.076388888888889</v>
      </c>
      <c r="N327" s="44">
        <f t="shared" si="21"/>
        <v>22.152777777777779</v>
      </c>
      <c r="O327" s="44">
        <f t="shared" si="22"/>
        <v>79.75</v>
      </c>
      <c r="P327" s="22">
        <f t="shared" si="23"/>
        <v>90.826388888888886</v>
      </c>
    </row>
    <row r="328" spans="1:16" x14ac:dyDescent="0.3">
      <c r="A328" s="40">
        <v>327</v>
      </c>
      <c r="C328" s="21">
        <v>624</v>
      </c>
      <c r="D328" s="15" t="s">
        <v>314</v>
      </c>
      <c r="E328" s="15">
        <v>47</v>
      </c>
      <c r="F328" s="35" t="s">
        <v>9</v>
      </c>
      <c r="G328" s="16">
        <v>1072.67</v>
      </c>
      <c r="H328" s="16">
        <v>681.5</v>
      </c>
      <c r="I328" s="16">
        <v>391.17</v>
      </c>
      <c r="J328" s="17">
        <v>57.4</v>
      </c>
      <c r="K328" s="18">
        <f>20/30</f>
        <v>0.66666666666666663</v>
      </c>
      <c r="L328" s="18">
        <f>1/4</f>
        <v>0.25</v>
      </c>
      <c r="M328" s="19">
        <f t="shared" si="20"/>
        <v>2.6111111111111107</v>
      </c>
      <c r="N328" s="44">
        <f t="shared" si="21"/>
        <v>5.2222222222222214</v>
      </c>
      <c r="O328" s="44">
        <f t="shared" si="22"/>
        <v>15.666666666666666</v>
      </c>
      <c r="P328" s="22">
        <f t="shared" si="23"/>
        <v>18.277777777777779</v>
      </c>
    </row>
    <row r="329" spans="1:16" x14ac:dyDescent="0.3">
      <c r="A329" s="40">
        <v>328</v>
      </c>
      <c r="C329" s="21">
        <v>1083</v>
      </c>
      <c r="D329" s="15" t="s">
        <v>587</v>
      </c>
      <c r="E329" s="15">
        <v>11499</v>
      </c>
      <c r="F329" s="35" t="s">
        <v>9</v>
      </c>
      <c r="G329" s="16">
        <v>1072.22</v>
      </c>
      <c r="H329" s="16">
        <v>1379.88</v>
      </c>
      <c r="I329" s="16">
        <v>-307.66000000000003</v>
      </c>
      <c r="J329" s="17">
        <v>-22.3</v>
      </c>
      <c r="K329" s="18">
        <v>1</v>
      </c>
      <c r="L329" s="18">
        <f>1/4</f>
        <v>0.25</v>
      </c>
      <c r="M329" s="19">
        <f t="shared" si="20"/>
        <v>958.25</v>
      </c>
      <c r="N329" s="44">
        <f t="shared" si="21"/>
        <v>1916.5</v>
      </c>
      <c r="O329" s="44">
        <f t="shared" si="22"/>
        <v>3833</v>
      </c>
      <c r="P329" s="22">
        <f t="shared" si="23"/>
        <v>4791.25</v>
      </c>
    </row>
    <row r="330" spans="1:16" x14ac:dyDescent="0.3">
      <c r="A330" s="40">
        <v>329</v>
      </c>
      <c r="C330" s="21">
        <v>73</v>
      </c>
      <c r="D330" s="15" t="s">
        <v>211</v>
      </c>
      <c r="E330" s="15">
        <v>6</v>
      </c>
      <c r="F330" s="35" t="s">
        <v>9</v>
      </c>
      <c r="G330" s="16">
        <v>1069.3800000000001</v>
      </c>
      <c r="H330" s="16">
        <v>0</v>
      </c>
      <c r="I330" s="16">
        <v>1069.3800000000001</v>
      </c>
      <c r="J330" s="17">
        <v>100</v>
      </c>
      <c r="K330" s="18">
        <f>10/30</f>
        <v>0.33333333333333331</v>
      </c>
      <c r="L330" s="18">
        <f>1/5</f>
        <v>0.2</v>
      </c>
      <c r="M330" s="19">
        <f t="shared" si="20"/>
        <v>0.16666666666666666</v>
      </c>
      <c r="N330" s="44">
        <f t="shared" si="21"/>
        <v>0.33333333333333331</v>
      </c>
      <c r="O330" s="44">
        <f t="shared" si="22"/>
        <v>2.5</v>
      </c>
      <c r="P330" s="22">
        <f t="shared" si="23"/>
        <v>2.6666666666666665</v>
      </c>
    </row>
    <row r="331" spans="1:16" x14ac:dyDescent="0.3">
      <c r="A331" s="40">
        <v>330</v>
      </c>
      <c r="C331" s="21">
        <v>3207</v>
      </c>
      <c r="D331" s="15" t="s">
        <v>74</v>
      </c>
      <c r="E331" s="17">
        <v>390.08</v>
      </c>
      <c r="F331" s="35" t="s">
        <v>12</v>
      </c>
      <c r="G331" s="16">
        <v>1064.23</v>
      </c>
      <c r="H331" s="16">
        <v>865.06</v>
      </c>
      <c r="I331" s="16">
        <v>199.16</v>
      </c>
      <c r="J331" s="17">
        <v>23.02</v>
      </c>
      <c r="K331" s="18">
        <v>1</v>
      </c>
      <c r="L331" s="18">
        <f>1/6</f>
        <v>0.16666666666666666</v>
      </c>
      <c r="M331" s="19">
        <f t="shared" si="20"/>
        <v>32.506666666666668</v>
      </c>
      <c r="N331" s="44">
        <f t="shared" si="21"/>
        <v>65.013333333333335</v>
      </c>
      <c r="O331" s="44">
        <f t="shared" si="22"/>
        <v>195.04000000000002</v>
      </c>
      <c r="P331" s="22">
        <f t="shared" si="23"/>
        <v>227.54666666666668</v>
      </c>
    </row>
    <row r="332" spans="1:16" x14ac:dyDescent="0.3">
      <c r="A332" s="40">
        <v>331</v>
      </c>
      <c r="C332" s="47">
        <v>363</v>
      </c>
      <c r="D332" s="49" t="s">
        <v>588</v>
      </c>
      <c r="E332" s="17">
        <f>593.57+913.5</f>
        <v>1507.0700000000002</v>
      </c>
      <c r="F332" s="35" t="s">
        <v>9</v>
      </c>
      <c r="G332" s="16">
        <v>1063.79</v>
      </c>
      <c r="H332" s="16">
        <v>688.54</v>
      </c>
      <c r="I332" s="16">
        <v>375.25</v>
      </c>
      <c r="J332" s="17">
        <v>54.5</v>
      </c>
      <c r="K332" s="18">
        <v>1</v>
      </c>
      <c r="L332" s="18">
        <f>1/5</f>
        <v>0.2</v>
      </c>
      <c r="M332" s="19">
        <f t="shared" si="20"/>
        <v>125.58916666666669</v>
      </c>
      <c r="N332" s="44">
        <f t="shared" si="21"/>
        <v>251.17833333333337</v>
      </c>
      <c r="O332" s="44">
        <f t="shared" si="22"/>
        <v>627.94583333333344</v>
      </c>
      <c r="P332" s="22">
        <f t="shared" si="23"/>
        <v>753.53500000000008</v>
      </c>
    </row>
    <row r="333" spans="1:16" x14ac:dyDescent="0.3">
      <c r="A333" s="40">
        <v>332</v>
      </c>
      <c r="C333" s="21">
        <v>2904</v>
      </c>
      <c r="D333" s="15" t="s">
        <v>273</v>
      </c>
      <c r="E333" s="15">
        <v>4</v>
      </c>
      <c r="F333" s="35" t="s">
        <v>9</v>
      </c>
      <c r="G333" s="16">
        <v>1061.96</v>
      </c>
      <c r="H333" s="16">
        <v>1150</v>
      </c>
      <c r="I333" s="16">
        <v>-88.04</v>
      </c>
      <c r="J333" s="17">
        <v>-7.66</v>
      </c>
      <c r="K333" s="18">
        <f>20/30</f>
        <v>0.66666666666666663</v>
      </c>
      <c r="L333" s="18">
        <f>1/7</f>
        <v>0.14285714285714285</v>
      </c>
      <c r="M333" s="19">
        <f t="shared" si="20"/>
        <v>0.22222222222222221</v>
      </c>
      <c r="N333" s="44">
        <f t="shared" si="21"/>
        <v>0.44444444444444442</v>
      </c>
      <c r="O333" s="44">
        <f t="shared" si="22"/>
        <v>2.3333333333333335</v>
      </c>
      <c r="P333" s="22">
        <f t="shared" si="23"/>
        <v>2.5555555555555558</v>
      </c>
    </row>
    <row r="334" spans="1:16" x14ac:dyDescent="0.3">
      <c r="A334" s="40">
        <v>333</v>
      </c>
      <c r="C334" s="21">
        <v>2059</v>
      </c>
      <c r="D334" s="15" t="s">
        <v>589</v>
      </c>
      <c r="E334" s="15">
        <v>48</v>
      </c>
      <c r="F334" s="35" t="s">
        <v>9</v>
      </c>
      <c r="G334" s="16">
        <v>1058.79</v>
      </c>
      <c r="H334" s="16">
        <v>844.82</v>
      </c>
      <c r="I334" s="16">
        <v>213.97</v>
      </c>
      <c r="J334" s="17">
        <v>25.33</v>
      </c>
      <c r="K334" s="18">
        <f>15/30</f>
        <v>0.5</v>
      </c>
      <c r="L334" s="18">
        <f>1/6</f>
        <v>0.16666666666666666</v>
      </c>
      <c r="M334" s="19">
        <f t="shared" si="20"/>
        <v>2</v>
      </c>
      <c r="N334" s="44">
        <f t="shared" si="21"/>
        <v>4</v>
      </c>
      <c r="O334" s="44">
        <f t="shared" si="22"/>
        <v>24</v>
      </c>
      <c r="P334" s="22">
        <f t="shared" si="23"/>
        <v>26</v>
      </c>
    </row>
    <row r="335" spans="1:16" x14ac:dyDescent="0.3">
      <c r="A335" s="40">
        <v>334</v>
      </c>
      <c r="C335" s="21">
        <v>280</v>
      </c>
      <c r="D335" s="15" t="s">
        <v>590</v>
      </c>
      <c r="E335" s="15">
        <v>26</v>
      </c>
      <c r="F335" s="35" t="s">
        <v>22</v>
      </c>
      <c r="G335" s="16">
        <v>1056.27</v>
      </c>
      <c r="H335" s="16">
        <v>754</v>
      </c>
      <c r="I335" s="16">
        <v>302.27</v>
      </c>
      <c r="J335" s="17">
        <v>40.090000000000003</v>
      </c>
      <c r="K335" s="18">
        <f>20/30</f>
        <v>0.66666666666666663</v>
      </c>
      <c r="L335" s="18">
        <f>1/6</f>
        <v>0.16666666666666666</v>
      </c>
      <c r="M335" s="19">
        <f t="shared" si="20"/>
        <v>1.4444444444444442</v>
      </c>
      <c r="N335" s="44">
        <f t="shared" si="21"/>
        <v>2.8888888888888884</v>
      </c>
      <c r="O335" s="44">
        <f t="shared" si="22"/>
        <v>13</v>
      </c>
      <c r="P335" s="22">
        <f t="shared" si="23"/>
        <v>14.444444444444445</v>
      </c>
    </row>
    <row r="336" spans="1:16" x14ac:dyDescent="0.3">
      <c r="A336" s="40">
        <v>335</v>
      </c>
      <c r="C336" s="21">
        <v>5072</v>
      </c>
      <c r="D336" s="15" t="s">
        <v>591</v>
      </c>
      <c r="E336" s="15">
        <v>48</v>
      </c>
      <c r="F336" s="35" t="s">
        <v>9</v>
      </c>
      <c r="G336" s="16">
        <v>1048.17</v>
      </c>
      <c r="H336" s="16">
        <v>984</v>
      </c>
      <c r="I336" s="16">
        <v>64.17</v>
      </c>
      <c r="J336" s="17">
        <v>6.52</v>
      </c>
      <c r="K336" s="18">
        <f>15/30</f>
        <v>0.5</v>
      </c>
      <c r="L336" s="18">
        <f>1/3</f>
        <v>0.33333333333333331</v>
      </c>
      <c r="M336" s="19">
        <f t="shared" si="20"/>
        <v>2</v>
      </c>
      <c r="N336" s="44">
        <f t="shared" si="21"/>
        <v>4</v>
      </c>
      <c r="O336" s="44">
        <f t="shared" si="22"/>
        <v>12</v>
      </c>
      <c r="P336" s="22">
        <f t="shared" si="23"/>
        <v>14</v>
      </c>
    </row>
    <row r="337" spans="1:16" x14ac:dyDescent="0.3">
      <c r="A337" s="40">
        <v>336</v>
      </c>
      <c r="C337" s="21">
        <v>1213</v>
      </c>
      <c r="D337" s="15" t="s">
        <v>592</v>
      </c>
      <c r="E337" s="15">
        <v>191</v>
      </c>
      <c r="F337" s="35" t="s">
        <v>9</v>
      </c>
      <c r="G337" s="16">
        <v>1047.28</v>
      </c>
      <c r="H337" s="16">
        <v>1006.19</v>
      </c>
      <c r="I337" s="16">
        <v>41.09</v>
      </c>
      <c r="J337" s="17">
        <v>4.08</v>
      </c>
      <c r="K337" s="18">
        <v>1</v>
      </c>
      <c r="L337" s="18">
        <f>1/3</f>
        <v>0.33333333333333331</v>
      </c>
      <c r="M337" s="19">
        <f t="shared" si="20"/>
        <v>15.916666666666666</v>
      </c>
      <c r="N337" s="44">
        <f t="shared" si="21"/>
        <v>31.833333333333332</v>
      </c>
      <c r="O337" s="44">
        <f t="shared" si="22"/>
        <v>47.75</v>
      </c>
      <c r="P337" s="22">
        <f t="shared" si="23"/>
        <v>63.666666666666664</v>
      </c>
    </row>
    <row r="338" spans="1:16" x14ac:dyDescent="0.3">
      <c r="A338" s="40">
        <v>337</v>
      </c>
      <c r="C338" s="21">
        <v>3404</v>
      </c>
      <c r="D338" s="15" t="s">
        <v>593</v>
      </c>
      <c r="E338" s="15">
        <v>17</v>
      </c>
      <c r="F338" s="35" t="s">
        <v>594</v>
      </c>
      <c r="G338" s="16">
        <v>1043.97</v>
      </c>
      <c r="H338" s="16">
        <v>699</v>
      </c>
      <c r="I338" s="16">
        <v>344.97</v>
      </c>
      <c r="J338" s="17">
        <v>49.35</v>
      </c>
      <c r="K338" s="18">
        <v>1</v>
      </c>
      <c r="L338" s="18">
        <f>1/6</f>
        <v>0.16666666666666666</v>
      </c>
      <c r="M338" s="19">
        <f t="shared" si="20"/>
        <v>1.4166666666666667</v>
      </c>
      <c r="N338" s="44">
        <f t="shared" si="21"/>
        <v>2.8333333333333335</v>
      </c>
      <c r="O338" s="44">
        <f t="shared" si="22"/>
        <v>8.5000000000000018</v>
      </c>
      <c r="P338" s="22">
        <f t="shared" si="23"/>
        <v>9.9166666666666679</v>
      </c>
    </row>
    <row r="339" spans="1:16" x14ac:dyDescent="0.3">
      <c r="A339" s="40">
        <v>338</v>
      </c>
      <c r="C339" s="21">
        <v>514</v>
      </c>
      <c r="D339" s="15" t="s">
        <v>595</v>
      </c>
      <c r="E339" s="17">
        <f>74.74+64.64+54.64</f>
        <v>194.01999999999998</v>
      </c>
      <c r="F339" s="35" t="s">
        <v>12</v>
      </c>
      <c r="G339" s="16">
        <v>1042.6199999999999</v>
      </c>
      <c r="H339" s="16">
        <v>0</v>
      </c>
      <c r="I339" s="16">
        <v>1042.6199999999999</v>
      </c>
      <c r="J339" s="17">
        <v>100</v>
      </c>
      <c r="K339" s="18">
        <v>1</v>
      </c>
      <c r="L339" s="18">
        <f>1/6</f>
        <v>0.16666666666666666</v>
      </c>
      <c r="M339" s="19">
        <f t="shared" si="20"/>
        <v>16.168333333333333</v>
      </c>
      <c r="N339" s="44">
        <f t="shared" si="21"/>
        <v>32.336666666666666</v>
      </c>
      <c r="O339" s="44">
        <f t="shared" si="22"/>
        <v>97.01</v>
      </c>
      <c r="P339" s="22">
        <f t="shared" si="23"/>
        <v>113.17833333333334</v>
      </c>
    </row>
    <row r="340" spans="1:16" x14ac:dyDescent="0.3">
      <c r="A340" s="40">
        <v>339</v>
      </c>
      <c r="C340" s="21">
        <v>571</v>
      </c>
      <c r="D340" s="15" t="s">
        <v>35</v>
      </c>
      <c r="E340" s="15">
        <v>1</v>
      </c>
      <c r="F340" s="35" t="s">
        <v>9</v>
      </c>
      <c r="G340" s="16">
        <v>1036.8</v>
      </c>
      <c r="H340" s="16">
        <v>975</v>
      </c>
      <c r="I340" s="16">
        <v>61.8</v>
      </c>
      <c r="J340" s="17">
        <v>6.34</v>
      </c>
      <c r="K340" s="18">
        <v>1</v>
      </c>
      <c r="L340" s="18">
        <f>1/12</f>
        <v>8.3333333333333329E-2</v>
      </c>
      <c r="M340" s="19">
        <f t="shared" si="20"/>
        <v>8.3333333333333329E-2</v>
      </c>
      <c r="N340" s="44">
        <f t="shared" si="21"/>
        <v>0.16666666666666666</v>
      </c>
      <c r="O340" s="44">
        <f t="shared" si="22"/>
        <v>1</v>
      </c>
      <c r="P340" s="22">
        <f t="shared" si="23"/>
        <v>1.0833333333333333</v>
      </c>
    </row>
    <row r="341" spans="1:16" x14ac:dyDescent="0.3">
      <c r="A341" s="40">
        <v>340</v>
      </c>
      <c r="C341" s="21">
        <v>1251</v>
      </c>
      <c r="D341" s="15" t="s">
        <v>596</v>
      </c>
      <c r="E341" s="15">
        <v>32</v>
      </c>
      <c r="F341" s="35" t="s">
        <v>9</v>
      </c>
      <c r="G341" s="16">
        <v>1034.6099999999999</v>
      </c>
      <c r="H341" s="16">
        <v>864</v>
      </c>
      <c r="I341" s="16">
        <v>170.61</v>
      </c>
      <c r="J341" s="17">
        <v>19.75</v>
      </c>
      <c r="K341" s="18">
        <v>1</v>
      </c>
      <c r="L341" s="18">
        <f>1/6</f>
        <v>0.16666666666666666</v>
      </c>
      <c r="M341" s="19">
        <f t="shared" si="20"/>
        <v>2.6666666666666665</v>
      </c>
      <c r="N341" s="44">
        <f t="shared" si="21"/>
        <v>5.333333333333333</v>
      </c>
      <c r="O341" s="44">
        <f t="shared" si="22"/>
        <v>16</v>
      </c>
      <c r="P341" s="22">
        <f t="shared" si="23"/>
        <v>18.666666666666668</v>
      </c>
    </row>
    <row r="342" spans="1:16" x14ac:dyDescent="0.3">
      <c r="A342" s="40">
        <v>341</v>
      </c>
      <c r="C342" s="21">
        <v>3597</v>
      </c>
      <c r="D342" s="15" t="s">
        <v>597</v>
      </c>
      <c r="E342" s="15">
        <v>4</v>
      </c>
      <c r="F342" s="35" t="s">
        <v>86</v>
      </c>
      <c r="G342" s="16">
        <v>1033.5</v>
      </c>
      <c r="H342" s="16">
        <v>940</v>
      </c>
      <c r="I342" s="16">
        <v>93.5</v>
      </c>
      <c r="J342" s="17">
        <v>9.9499999999999993</v>
      </c>
      <c r="K342" s="18">
        <v>1</v>
      </c>
      <c r="L342" s="18">
        <f>1/6</f>
        <v>0.16666666666666666</v>
      </c>
      <c r="M342" s="19">
        <f t="shared" si="20"/>
        <v>0.33333333333333331</v>
      </c>
      <c r="N342" s="44">
        <f t="shared" si="21"/>
        <v>0.66666666666666663</v>
      </c>
      <c r="O342" s="44">
        <f t="shared" si="22"/>
        <v>2</v>
      </c>
      <c r="P342" s="22">
        <f t="shared" si="23"/>
        <v>2.3333333333333335</v>
      </c>
    </row>
    <row r="343" spans="1:16" x14ac:dyDescent="0.3">
      <c r="A343" s="40">
        <v>342</v>
      </c>
      <c r="C343" s="21">
        <v>568</v>
      </c>
      <c r="D343" s="15" t="s">
        <v>598</v>
      </c>
      <c r="E343" s="15">
        <v>839</v>
      </c>
      <c r="F343" s="35" t="s">
        <v>9</v>
      </c>
      <c r="G343" s="16">
        <v>1029.5999999999999</v>
      </c>
      <c r="H343" s="16">
        <v>747.67</v>
      </c>
      <c r="I343" s="16">
        <v>281.93</v>
      </c>
      <c r="J343" s="17">
        <v>37.71</v>
      </c>
      <c r="K343" s="18">
        <f>20/30</f>
        <v>0.66666666666666663</v>
      </c>
      <c r="L343" s="18">
        <f>1/4</f>
        <v>0.25</v>
      </c>
      <c r="M343" s="19">
        <f t="shared" si="20"/>
        <v>46.611111111111114</v>
      </c>
      <c r="N343" s="44">
        <f t="shared" si="21"/>
        <v>93.222222222222229</v>
      </c>
      <c r="O343" s="44">
        <f t="shared" si="22"/>
        <v>279.66666666666669</v>
      </c>
      <c r="P343" s="22">
        <f t="shared" si="23"/>
        <v>326.27777777777783</v>
      </c>
    </row>
    <row r="344" spans="1:16" x14ac:dyDescent="0.3">
      <c r="A344" s="40">
        <v>343</v>
      </c>
      <c r="C344" s="21">
        <v>2064</v>
      </c>
      <c r="D344" s="15" t="s">
        <v>599</v>
      </c>
      <c r="E344" s="17">
        <v>125.5</v>
      </c>
      <c r="F344" s="35" t="s">
        <v>9</v>
      </c>
      <c r="G344" s="16">
        <v>1024.03</v>
      </c>
      <c r="H344" s="16">
        <v>1041.6500000000001</v>
      </c>
      <c r="I344" s="16">
        <v>-17.62</v>
      </c>
      <c r="J344" s="17">
        <v>-1.69</v>
      </c>
      <c r="K344" s="18">
        <v>1</v>
      </c>
      <c r="L344" s="18">
        <f>1/4</f>
        <v>0.25</v>
      </c>
      <c r="M344" s="19">
        <f t="shared" si="20"/>
        <v>10.458333333333334</v>
      </c>
      <c r="N344" s="44">
        <f t="shared" si="21"/>
        <v>20.916666666666668</v>
      </c>
      <c r="O344" s="44">
        <f t="shared" si="22"/>
        <v>41.833333333333336</v>
      </c>
      <c r="P344" s="22">
        <f t="shared" si="23"/>
        <v>52.291666666666671</v>
      </c>
    </row>
    <row r="345" spans="1:16" x14ac:dyDescent="0.3">
      <c r="A345" s="40">
        <v>344</v>
      </c>
      <c r="C345" s="21">
        <v>212</v>
      </c>
      <c r="D345" s="15" t="s">
        <v>600</v>
      </c>
      <c r="E345" s="15">
        <v>421</v>
      </c>
      <c r="F345" s="35" t="s">
        <v>9</v>
      </c>
      <c r="G345" s="16">
        <v>1023.72</v>
      </c>
      <c r="H345" s="16">
        <v>703.98</v>
      </c>
      <c r="I345" s="16">
        <v>319.74</v>
      </c>
      <c r="J345" s="17">
        <v>45.42</v>
      </c>
      <c r="K345" s="18">
        <f>10/30</f>
        <v>0.33333333333333331</v>
      </c>
      <c r="L345" s="18">
        <f>1/2</f>
        <v>0.5</v>
      </c>
      <c r="M345" s="19">
        <f t="shared" si="20"/>
        <v>11.694444444444445</v>
      </c>
      <c r="N345" s="44">
        <f t="shared" si="21"/>
        <v>23.388888888888889</v>
      </c>
      <c r="O345" s="44">
        <f t="shared" si="22"/>
        <v>70.166666666666671</v>
      </c>
      <c r="P345" s="22">
        <f t="shared" si="23"/>
        <v>81.861111111111114</v>
      </c>
    </row>
    <row r="346" spans="1:16" x14ac:dyDescent="0.3">
      <c r="A346" s="40">
        <v>345</v>
      </c>
      <c r="C346" s="21">
        <v>3932</v>
      </c>
      <c r="D346" s="15" t="s">
        <v>601</v>
      </c>
      <c r="E346" s="15">
        <f>26+16</f>
        <v>42</v>
      </c>
      <c r="F346" s="35" t="s">
        <v>34</v>
      </c>
      <c r="G346" s="16">
        <v>1019.48</v>
      </c>
      <c r="H346" s="16">
        <v>901</v>
      </c>
      <c r="I346" s="16">
        <v>118.48</v>
      </c>
      <c r="J346" s="17">
        <v>13.15</v>
      </c>
      <c r="K346" s="18">
        <f>10/30</f>
        <v>0.33333333333333331</v>
      </c>
      <c r="L346" s="18">
        <f>1/3</f>
        <v>0.33333333333333331</v>
      </c>
      <c r="M346" s="19">
        <f t="shared" si="20"/>
        <v>1.1666666666666665</v>
      </c>
      <c r="N346" s="44">
        <f t="shared" si="21"/>
        <v>2.333333333333333</v>
      </c>
      <c r="O346" s="44">
        <f t="shared" si="22"/>
        <v>10.5</v>
      </c>
      <c r="P346" s="22">
        <f t="shared" si="23"/>
        <v>11.666666666666666</v>
      </c>
    </row>
    <row r="347" spans="1:16" x14ac:dyDescent="0.3">
      <c r="A347" s="40">
        <v>346</v>
      </c>
      <c r="C347" s="21">
        <v>3323</v>
      </c>
      <c r="D347" s="15" t="s">
        <v>602</v>
      </c>
      <c r="E347" s="15">
        <v>197</v>
      </c>
      <c r="F347" s="35" t="s">
        <v>9</v>
      </c>
      <c r="G347" s="16">
        <v>1016.74</v>
      </c>
      <c r="H347" s="16">
        <v>729.61</v>
      </c>
      <c r="I347" s="16">
        <v>287.13</v>
      </c>
      <c r="J347" s="17">
        <v>39.35</v>
      </c>
      <c r="K347" s="18">
        <f>15/30</f>
        <v>0.5</v>
      </c>
      <c r="L347" s="18">
        <f>1/4</f>
        <v>0.25</v>
      </c>
      <c r="M347" s="19">
        <f t="shared" si="20"/>
        <v>8.2083333333333339</v>
      </c>
      <c r="N347" s="44">
        <f t="shared" si="21"/>
        <v>16.416666666666668</v>
      </c>
      <c r="O347" s="44">
        <f t="shared" si="22"/>
        <v>65.666666666666671</v>
      </c>
      <c r="P347" s="22">
        <f t="shared" si="23"/>
        <v>73.875</v>
      </c>
    </row>
    <row r="348" spans="1:16" x14ac:dyDescent="0.3">
      <c r="A348" s="40">
        <v>347</v>
      </c>
      <c r="C348" s="21">
        <v>256</v>
      </c>
      <c r="D348" s="15" t="s">
        <v>603</v>
      </c>
      <c r="E348" s="15">
        <v>6</v>
      </c>
      <c r="F348" s="35" t="s">
        <v>9</v>
      </c>
      <c r="G348" s="16">
        <v>1016.24</v>
      </c>
      <c r="H348" s="16">
        <v>220.08</v>
      </c>
      <c r="I348" s="16">
        <v>796.16</v>
      </c>
      <c r="J348" s="17">
        <v>361.76</v>
      </c>
      <c r="K348" s="18">
        <v>1</v>
      </c>
      <c r="L348" s="18">
        <f>1/6</f>
        <v>0.16666666666666666</v>
      </c>
      <c r="M348" s="19">
        <f t="shared" si="20"/>
        <v>0.5</v>
      </c>
      <c r="N348" s="44">
        <f t="shared" si="21"/>
        <v>1</v>
      </c>
      <c r="O348" s="44">
        <f t="shared" si="22"/>
        <v>3</v>
      </c>
      <c r="P348" s="22">
        <f t="shared" si="23"/>
        <v>3.5</v>
      </c>
    </row>
    <row r="349" spans="1:16" x14ac:dyDescent="0.3">
      <c r="A349" s="40">
        <v>348</v>
      </c>
      <c r="C349" s="21">
        <v>5092</v>
      </c>
      <c r="D349" s="15" t="s">
        <v>604</v>
      </c>
      <c r="E349" s="15">
        <v>4162</v>
      </c>
      <c r="F349" s="35" t="s">
        <v>9</v>
      </c>
      <c r="G349" s="16">
        <v>1015.48</v>
      </c>
      <c r="H349" s="16">
        <v>817.67</v>
      </c>
      <c r="I349" s="16">
        <v>197.81</v>
      </c>
      <c r="J349" s="17">
        <v>24.19</v>
      </c>
      <c r="K349" s="18">
        <v>1</v>
      </c>
      <c r="L349" s="18">
        <f>1/4</f>
        <v>0.25</v>
      </c>
      <c r="M349" s="19">
        <f t="shared" si="20"/>
        <v>346.83333333333331</v>
      </c>
      <c r="N349" s="44">
        <f t="shared" si="21"/>
        <v>693.66666666666663</v>
      </c>
      <c r="O349" s="44">
        <f t="shared" si="22"/>
        <v>1387.3333333333333</v>
      </c>
      <c r="P349" s="22">
        <f t="shared" si="23"/>
        <v>1734.1666666666665</v>
      </c>
    </row>
    <row r="350" spans="1:16" x14ac:dyDescent="0.3">
      <c r="A350" s="40">
        <v>349</v>
      </c>
      <c r="C350" s="21">
        <v>4898</v>
      </c>
      <c r="D350" s="15" t="s">
        <v>605</v>
      </c>
      <c r="E350" s="15">
        <v>175</v>
      </c>
      <c r="F350" s="35" t="s">
        <v>9</v>
      </c>
      <c r="G350" s="16">
        <v>1014.57</v>
      </c>
      <c r="H350" s="16">
        <v>761.65</v>
      </c>
      <c r="I350" s="16">
        <v>252.92</v>
      </c>
      <c r="J350" s="17">
        <v>33.21</v>
      </c>
      <c r="K350" s="18">
        <v>1</v>
      </c>
      <c r="L350" s="18">
        <f>1/3</f>
        <v>0.33333333333333331</v>
      </c>
      <c r="M350" s="19">
        <f t="shared" si="20"/>
        <v>14.583333333333334</v>
      </c>
      <c r="N350" s="44">
        <f t="shared" si="21"/>
        <v>29.166666666666668</v>
      </c>
      <c r="O350" s="44">
        <f t="shared" si="22"/>
        <v>43.750000000000007</v>
      </c>
      <c r="P350" s="22">
        <f t="shared" si="23"/>
        <v>58.333333333333343</v>
      </c>
    </row>
    <row r="351" spans="1:16" x14ac:dyDescent="0.3">
      <c r="A351" s="40">
        <v>350</v>
      </c>
      <c r="C351" s="21">
        <v>1369</v>
      </c>
      <c r="D351" s="15" t="s">
        <v>606</v>
      </c>
      <c r="E351" s="15">
        <v>78</v>
      </c>
      <c r="F351" s="35" t="s">
        <v>9</v>
      </c>
      <c r="G351" s="16">
        <v>1011.46</v>
      </c>
      <c r="H351" s="16">
        <v>12090</v>
      </c>
      <c r="I351" s="16">
        <v>-11078.54</v>
      </c>
      <c r="J351" s="17">
        <v>-91.63</v>
      </c>
      <c r="K351" s="18">
        <v>1</v>
      </c>
      <c r="L351" s="18">
        <f>1/4</f>
        <v>0.25</v>
      </c>
      <c r="M351" s="19">
        <f t="shared" si="20"/>
        <v>6.5</v>
      </c>
      <c r="N351" s="44">
        <f t="shared" si="21"/>
        <v>13</v>
      </c>
      <c r="O351" s="44">
        <f t="shared" si="22"/>
        <v>26</v>
      </c>
      <c r="P351" s="22">
        <f t="shared" si="23"/>
        <v>32.5</v>
      </c>
    </row>
    <row r="352" spans="1:16" x14ac:dyDescent="0.3">
      <c r="A352" s="40">
        <v>351</v>
      </c>
      <c r="C352" s="21">
        <v>4697</v>
      </c>
      <c r="D352" s="15" t="s">
        <v>607</v>
      </c>
      <c r="E352" s="15">
        <v>14</v>
      </c>
      <c r="F352" s="35" t="s">
        <v>9</v>
      </c>
      <c r="G352" s="16">
        <v>1008.35</v>
      </c>
      <c r="H352" s="16">
        <v>889</v>
      </c>
      <c r="I352" s="16">
        <v>119.35</v>
      </c>
      <c r="J352" s="17">
        <v>13.43</v>
      </c>
      <c r="K352" s="18">
        <f>20/30</f>
        <v>0.66666666666666663</v>
      </c>
      <c r="L352" s="18">
        <f>1/6</f>
        <v>0.16666666666666666</v>
      </c>
      <c r="M352" s="19">
        <f t="shared" si="20"/>
        <v>0.77777777777777779</v>
      </c>
      <c r="N352" s="44">
        <f t="shared" si="21"/>
        <v>1.5555555555555556</v>
      </c>
      <c r="O352" s="44">
        <f t="shared" si="22"/>
        <v>7.0000000000000009</v>
      </c>
      <c r="P352" s="22">
        <f t="shared" si="23"/>
        <v>7.7777777777777786</v>
      </c>
    </row>
    <row r="353" spans="1:16" x14ac:dyDescent="0.3">
      <c r="A353" s="40">
        <v>352</v>
      </c>
      <c r="C353" s="21">
        <v>2013</v>
      </c>
      <c r="D353" s="15" t="s">
        <v>608</v>
      </c>
      <c r="E353" s="15">
        <v>8</v>
      </c>
      <c r="F353" s="35" t="s">
        <v>9</v>
      </c>
      <c r="G353" s="16">
        <v>1007.88</v>
      </c>
      <c r="H353" s="16">
        <v>988</v>
      </c>
      <c r="I353" s="16">
        <v>19.88</v>
      </c>
      <c r="J353" s="17">
        <v>2.0099999999999998</v>
      </c>
      <c r="K353" s="18">
        <f>10/30</f>
        <v>0.33333333333333331</v>
      </c>
      <c r="L353" s="18">
        <f>1/3</f>
        <v>0.33333333333333331</v>
      </c>
      <c r="M353" s="19">
        <f t="shared" si="20"/>
        <v>0.22222222222222221</v>
      </c>
      <c r="N353" s="44">
        <f t="shared" si="21"/>
        <v>0.44444444444444442</v>
      </c>
      <c r="O353" s="44">
        <f t="shared" si="22"/>
        <v>2</v>
      </c>
      <c r="P353" s="22">
        <f t="shared" si="23"/>
        <v>2.2222222222222223</v>
      </c>
    </row>
    <row r="354" spans="1:16" x14ac:dyDescent="0.3">
      <c r="A354" s="40">
        <v>353</v>
      </c>
      <c r="C354" s="21">
        <v>5067</v>
      </c>
      <c r="D354" s="15" t="s">
        <v>609</v>
      </c>
      <c r="E354" s="15">
        <v>14</v>
      </c>
      <c r="F354" s="35" t="s">
        <v>9</v>
      </c>
      <c r="G354" s="16">
        <v>1006.87</v>
      </c>
      <c r="H354" s="16">
        <v>1050</v>
      </c>
      <c r="I354" s="16">
        <v>-43.13</v>
      </c>
      <c r="J354" s="17">
        <v>-4.1100000000000003</v>
      </c>
      <c r="K354" s="18">
        <f>15/30</f>
        <v>0.5</v>
      </c>
      <c r="L354" s="18">
        <f>1/4</f>
        <v>0.25</v>
      </c>
      <c r="M354" s="19">
        <f t="shared" si="20"/>
        <v>0.58333333333333337</v>
      </c>
      <c r="N354" s="44">
        <f t="shared" si="21"/>
        <v>1.1666666666666667</v>
      </c>
      <c r="O354" s="44">
        <f t="shared" si="22"/>
        <v>4.666666666666667</v>
      </c>
      <c r="P354" s="22">
        <f t="shared" si="23"/>
        <v>5.25</v>
      </c>
    </row>
    <row r="355" spans="1:16" x14ac:dyDescent="0.3">
      <c r="A355" s="40">
        <v>354</v>
      </c>
      <c r="C355" s="21">
        <v>2936</v>
      </c>
      <c r="D355" s="15" t="s">
        <v>610</v>
      </c>
      <c r="E355" s="15">
        <v>816</v>
      </c>
      <c r="F355" s="35" t="s">
        <v>9</v>
      </c>
      <c r="G355" s="16">
        <v>1005.27</v>
      </c>
      <c r="H355" s="16">
        <v>1060.8</v>
      </c>
      <c r="I355" s="16">
        <v>-55.53</v>
      </c>
      <c r="J355" s="17">
        <v>-5.23</v>
      </c>
      <c r="K355" s="18">
        <v>1</v>
      </c>
      <c r="L355" s="18">
        <f>1/4</f>
        <v>0.25</v>
      </c>
      <c r="M355" s="19">
        <f t="shared" si="20"/>
        <v>68</v>
      </c>
      <c r="N355" s="44">
        <f t="shared" si="21"/>
        <v>136</v>
      </c>
      <c r="O355" s="44">
        <f t="shared" si="22"/>
        <v>272</v>
      </c>
      <c r="P355" s="22">
        <f t="shared" si="23"/>
        <v>340</v>
      </c>
    </row>
    <row r="356" spans="1:16" x14ac:dyDescent="0.3">
      <c r="A356" s="40">
        <v>355</v>
      </c>
      <c r="C356" s="21">
        <v>1426</v>
      </c>
      <c r="D356" s="15" t="s">
        <v>611</v>
      </c>
      <c r="E356" s="15">
        <v>57</v>
      </c>
      <c r="F356" s="35" t="s">
        <v>9</v>
      </c>
      <c r="G356" s="16">
        <v>1004.37</v>
      </c>
      <c r="H356" s="16">
        <v>547.20000000000005</v>
      </c>
      <c r="I356" s="16">
        <v>457.17</v>
      </c>
      <c r="J356" s="17">
        <v>83.55</v>
      </c>
      <c r="K356" s="18">
        <f>25/30</f>
        <v>0.83333333333333337</v>
      </c>
      <c r="L356" s="18">
        <f>1/4</f>
        <v>0.25</v>
      </c>
      <c r="M356" s="19">
        <f t="shared" si="20"/>
        <v>3.9583333333333335</v>
      </c>
      <c r="N356" s="44">
        <f t="shared" si="21"/>
        <v>7.916666666666667</v>
      </c>
      <c r="O356" s="44">
        <f t="shared" si="22"/>
        <v>19</v>
      </c>
      <c r="P356" s="22">
        <f t="shared" si="23"/>
        <v>22.958333333333332</v>
      </c>
    </row>
    <row r="357" spans="1:16" x14ac:dyDescent="0.3">
      <c r="A357" s="40">
        <v>356</v>
      </c>
      <c r="C357" s="21">
        <v>4668</v>
      </c>
      <c r="D357" s="15" t="s">
        <v>150</v>
      </c>
      <c r="E357" s="15">
        <v>74</v>
      </c>
      <c r="F357" s="35" t="s">
        <v>9</v>
      </c>
      <c r="G357" s="16">
        <v>1002.42</v>
      </c>
      <c r="H357" s="16">
        <v>917.9</v>
      </c>
      <c r="I357" s="16">
        <v>84.52</v>
      </c>
      <c r="J357" s="17">
        <v>9.2100000000000009</v>
      </c>
      <c r="K357" s="18">
        <f>15/30</f>
        <v>0.5</v>
      </c>
      <c r="L357" s="18">
        <f>1/4</f>
        <v>0.25</v>
      </c>
      <c r="M357" s="19">
        <f t="shared" si="20"/>
        <v>3.0833333333333335</v>
      </c>
      <c r="N357" s="44">
        <f t="shared" si="21"/>
        <v>6.166666666666667</v>
      </c>
      <c r="O357" s="44">
        <f t="shared" si="22"/>
        <v>24.666666666666668</v>
      </c>
      <c r="P357" s="22">
        <f t="shared" si="23"/>
        <v>27.75</v>
      </c>
    </row>
    <row r="358" spans="1:16" x14ac:dyDescent="0.3">
      <c r="A358" s="40">
        <v>357</v>
      </c>
      <c r="C358" s="21">
        <v>1504</v>
      </c>
      <c r="D358" s="15" t="s">
        <v>612</v>
      </c>
      <c r="E358" s="15">
        <v>1</v>
      </c>
      <c r="F358" s="35" t="s">
        <v>9</v>
      </c>
      <c r="G358" s="16">
        <v>999.97</v>
      </c>
      <c r="H358" s="16">
        <v>888</v>
      </c>
      <c r="I358" s="16">
        <v>111.97</v>
      </c>
      <c r="J358" s="17">
        <v>12.61</v>
      </c>
      <c r="K358" s="18">
        <v>1</v>
      </c>
      <c r="L358" s="18">
        <f>1/12</f>
        <v>8.3333333333333329E-2</v>
      </c>
      <c r="M358" s="19">
        <f t="shared" si="20"/>
        <v>8.3333333333333329E-2</v>
      </c>
      <c r="N358" s="44">
        <f t="shared" si="21"/>
        <v>0.16666666666666666</v>
      </c>
      <c r="O358" s="44">
        <f t="shared" si="22"/>
        <v>1</v>
      </c>
      <c r="P358" s="22">
        <f t="shared" si="23"/>
        <v>1.0833333333333333</v>
      </c>
    </row>
    <row r="359" spans="1:16" x14ac:dyDescent="0.3">
      <c r="A359" s="40">
        <v>358</v>
      </c>
      <c r="C359" s="21">
        <v>3643</v>
      </c>
      <c r="D359" s="15" t="s">
        <v>613</v>
      </c>
      <c r="E359" s="15">
        <v>119</v>
      </c>
      <c r="F359" s="35" t="s">
        <v>9</v>
      </c>
      <c r="G359" s="16">
        <v>999.44</v>
      </c>
      <c r="H359" s="16">
        <v>904.4</v>
      </c>
      <c r="I359" s="16">
        <v>95.04</v>
      </c>
      <c r="J359" s="17">
        <v>10.51</v>
      </c>
      <c r="K359" s="18">
        <f>15/30</f>
        <v>0.5</v>
      </c>
      <c r="L359" s="18">
        <f>1/4</f>
        <v>0.25</v>
      </c>
      <c r="M359" s="19">
        <f t="shared" si="20"/>
        <v>4.958333333333333</v>
      </c>
      <c r="N359" s="44">
        <f t="shared" si="21"/>
        <v>9.9166666666666661</v>
      </c>
      <c r="O359" s="44">
        <f t="shared" si="22"/>
        <v>39.666666666666664</v>
      </c>
      <c r="P359" s="22">
        <f t="shared" si="23"/>
        <v>44.625</v>
      </c>
    </row>
    <row r="360" spans="1:16" x14ac:dyDescent="0.3">
      <c r="A360" s="40">
        <v>359</v>
      </c>
      <c r="C360" s="21">
        <v>1351</v>
      </c>
      <c r="D360" s="15" t="s">
        <v>108</v>
      </c>
      <c r="E360" s="15">
        <v>3</v>
      </c>
      <c r="F360" s="35" t="s">
        <v>9</v>
      </c>
      <c r="G360" s="16">
        <v>999</v>
      </c>
      <c r="H360" s="16">
        <v>990</v>
      </c>
      <c r="I360" s="16">
        <v>9</v>
      </c>
      <c r="J360" s="17">
        <v>0.91</v>
      </c>
      <c r="K360" s="18">
        <f>20/30</f>
        <v>0.66666666666666663</v>
      </c>
      <c r="L360" s="18">
        <f>1/4</f>
        <v>0.25</v>
      </c>
      <c r="M360" s="19">
        <f t="shared" si="20"/>
        <v>0.16666666666666666</v>
      </c>
      <c r="N360" s="44">
        <f t="shared" si="21"/>
        <v>0.33333333333333331</v>
      </c>
      <c r="O360" s="44">
        <f t="shared" si="22"/>
        <v>1</v>
      </c>
      <c r="P360" s="22">
        <f t="shared" si="23"/>
        <v>1.1666666666666667</v>
      </c>
    </row>
    <row r="361" spans="1:16" x14ac:dyDescent="0.3">
      <c r="A361" s="40">
        <v>360</v>
      </c>
      <c r="C361" s="21">
        <v>625</v>
      </c>
      <c r="D361" s="15" t="s">
        <v>614</v>
      </c>
      <c r="E361" s="15">
        <v>41</v>
      </c>
      <c r="F361" s="35" t="s">
        <v>9</v>
      </c>
      <c r="G361" s="16">
        <v>998.03</v>
      </c>
      <c r="H361" s="16">
        <v>756.65</v>
      </c>
      <c r="I361" s="16">
        <v>241.38</v>
      </c>
      <c r="J361" s="17">
        <v>31.9</v>
      </c>
      <c r="K361" s="18">
        <f>1</f>
        <v>1</v>
      </c>
      <c r="L361" s="18">
        <f>1/6</f>
        <v>0.16666666666666666</v>
      </c>
      <c r="M361" s="19">
        <f t="shared" si="20"/>
        <v>3.4166666666666665</v>
      </c>
      <c r="N361" s="44">
        <f t="shared" si="21"/>
        <v>6.833333333333333</v>
      </c>
      <c r="O361" s="44">
        <f t="shared" si="22"/>
        <v>20.5</v>
      </c>
      <c r="P361" s="22">
        <f t="shared" si="23"/>
        <v>23.916666666666668</v>
      </c>
    </row>
    <row r="362" spans="1:16" x14ac:dyDescent="0.3">
      <c r="A362" s="40">
        <v>361</v>
      </c>
      <c r="C362" s="21">
        <v>1634</v>
      </c>
      <c r="D362" s="15" t="s">
        <v>615</v>
      </c>
      <c r="E362" s="15">
        <v>31</v>
      </c>
      <c r="F362" s="35" t="s">
        <v>34</v>
      </c>
      <c r="G362" s="16">
        <v>997.95</v>
      </c>
      <c r="H362" s="16">
        <v>791.5</v>
      </c>
      <c r="I362" s="16">
        <v>206.45</v>
      </c>
      <c r="J362" s="17">
        <v>26.08</v>
      </c>
      <c r="K362" s="18">
        <f>10/30</f>
        <v>0.33333333333333331</v>
      </c>
      <c r="L362" s="18">
        <f>1/3</f>
        <v>0.33333333333333331</v>
      </c>
      <c r="M362" s="19">
        <f t="shared" si="20"/>
        <v>0.86111111111111116</v>
      </c>
      <c r="N362" s="44">
        <f t="shared" si="21"/>
        <v>1.7222222222222223</v>
      </c>
      <c r="O362" s="44">
        <f t="shared" si="22"/>
        <v>7.7500000000000009</v>
      </c>
      <c r="P362" s="22">
        <f t="shared" si="23"/>
        <v>8.6111111111111125</v>
      </c>
    </row>
    <row r="363" spans="1:16" x14ac:dyDescent="0.3">
      <c r="A363" s="40">
        <v>362</v>
      </c>
      <c r="C363" s="21">
        <v>497</v>
      </c>
      <c r="D363" s="15" t="s">
        <v>616</v>
      </c>
      <c r="E363" s="15">
        <v>18</v>
      </c>
      <c r="F363" s="35" t="s">
        <v>34</v>
      </c>
      <c r="G363" s="16">
        <v>994.3</v>
      </c>
      <c r="H363" s="16">
        <v>784.8</v>
      </c>
      <c r="I363" s="16">
        <v>209.5</v>
      </c>
      <c r="J363" s="17">
        <v>26.69</v>
      </c>
      <c r="K363" s="18">
        <f>10/30</f>
        <v>0.33333333333333331</v>
      </c>
      <c r="L363" s="18">
        <f>1/3</f>
        <v>0.33333333333333331</v>
      </c>
      <c r="M363" s="19">
        <f t="shared" si="20"/>
        <v>0.5</v>
      </c>
      <c r="N363" s="44">
        <f t="shared" si="21"/>
        <v>1</v>
      </c>
      <c r="O363" s="44">
        <f t="shared" si="22"/>
        <v>4.5</v>
      </c>
      <c r="P363" s="22">
        <f t="shared" si="23"/>
        <v>5</v>
      </c>
    </row>
    <row r="364" spans="1:16" x14ac:dyDescent="0.3">
      <c r="A364" s="40">
        <v>363</v>
      </c>
      <c r="C364" s="21">
        <v>2134</v>
      </c>
      <c r="D364" s="15" t="s">
        <v>342</v>
      </c>
      <c r="E364" s="15">
        <v>295</v>
      </c>
      <c r="F364" s="35" t="s">
        <v>9</v>
      </c>
      <c r="G364" s="16">
        <v>994.3</v>
      </c>
      <c r="H364" s="16">
        <v>669.23</v>
      </c>
      <c r="I364" s="16">
        <v>325.07</v>
      </c>
      <c r="J364" s="17">
        <v>48.57</v>
      </c>
      <c r="K364" s="18">
        <f>15/30</f>
        <v>0.5</v>
      </c>
      <c r="L364" s="18">
        <f>1/2</f>
        <v>0.5</v>
      </c>
      <c r="M364" s="19">
        <f t="shared" si="20"/>
        <v>12.291666666666666</v>
      </c>
      <c r="N364" s="44">
        <f t="shared" si="21"/>
        <v>24.583333333333332</v>
      </c>
      <c r="O364" s="44">
        <f t="shared" si="22"/>
        <v>49.166666666666664</v>
      </c>
      <c r="P364" s="22">
        <f t="shared" si="23"/>
        <v>61.458333333333329</v>
      </c>
    </row>
    <row r="365" spans="1:16" x14ac:dyDescent="0.3">
      <c r="A365" s="40">
        <v>364</v>
      </c>
      <c r="C365" s="21">
        <v>5112</v>
      </c>
      <c r="D365" s="15" t="s">
        <v>617</v>
      </c>
      <c r="E365" s="15">
        <f>69+61</f>
        <v>130</v>
      </c>
      <c r="F365" s="35" t="s">
        <v>9</v>
      </c>
      <c r="G365" s="16">
        <v>992.73</v>
      </c>
      <c r="H365" s="16">
        <v>724.5</v>
      </c>
      <c r="I365" s="16">
        <v>268.23</v>
      </c>
      <c r="J365" s="17">
        <v>37.020000000000003</v>
      </c>
      <c r="K365" s="18">
        <f>10/30</f>
        <v>0.33333333333333331</v>
      </c>
      <c r="L365" s="18">
        <f>1/3</f>
        <v>0.33333333333333331</v>
      </c>
      <c r="M365" s="19">
        <f t="shared" si="20"/>
        <v>3.6111111111111112</v>
      </c>
      <c r="N365" s="44">
        <f t="shared" si="21"/>
        <v>7.2222222222222223</v>
      </c>
      <c r="O365" s="44">
        <f t="shared" si="22"/>
        <v>32.500000000000007</v>
      </c>
      <c r="P365" s="22">
        <f t="shared" si="23"/>
        <v>36.111111111111121</v>
      </c>
    </row>
    <row r="366" spans="1:16" x14ac:dyDescent="0.3">
      <c r="A366" s="40">
        <v>365</v>
      </c>
      <c r="C366" s="21">
        <v>216</v>
      </c>
      <c r="D366" s="15" t="s">
        <v>618</v>
      </c>
      <c r="E366" s="15">
        <v>2</v>
      </c>
      <c r="F366" s="35" t="s">
        <v>9</v>
      </c>
      <c r="G366" s="16">
        <v>992</v>
      </c>
      <c r="H366" s="16">
        <v>660</v>
      </c>
      <c r="I366" s="16">
        <v>332</v>
      </c>
      <c r="J366" s="17">
        <v>50.3</v>
      </c>
      <c r="K366" s="18">
        <f>20/30</f>
        <v>0.66666666666666663</v>
      </c>
      <c r="L366" s="18">
        <f>1/4</f>
        <v>0.25</v>
      </c>
      <c r="M366" s="19">
        <f t="shared" si="20"/>
        <v>0.1111111111111111</v>
      </c>
      <c r="N366" s="44">
        <f t="shared" si="21"/>
        <v>0.22222222222222221</v>
      </c>
      <c r="O366" s="44">
        <f t="shared" si="22"/>
        <v>0.66666666666666663</v>
      </c>
      <c r="P366" s="22">
        <f t="shared" si="23"/>
        <v>0.77777777777777768</v>
      </c>
    </row>
    <row r="367" spans="1:16" x14ac:dyDescent="0.3">
      <c r="A367" s="40">
        <v>366</v>
      </c>
      <c r="C367" s="21">
        <v>4428</v>
      </c>
      <c r="D367" s="15" t="s">
        <v>619</v>
      </c>
      <c r="E367" s="15">
        <v>13</v>
      </c>
      <c r="F367" s="35" t="s">
        <v>9</v>
      </c>
      <c r="G367" s="16">
        <v>990.6</v>
      </c>
      <c r="H367" s="16">
        <v>1144</v>
      </c>
      <c r="I367" s="16">
        <v>-153.4</v>
      </c>
      <c r="J367" s="17">
        <v>-13.41</v>
      </c>
      <c r="K367" s="18">
        <v>1</v>
      </c>
      <c r="L367" s="18">
        <f>1/6</f>
        <v>0.16666666666666666</v>
      </c>
      <c r="M367" s="19">
        <f t="shared" si="20"/>
        <v>1.0833333333333333</v>
      </c>
      <c r="N367" s="44">
        <f t="shared" si="21"/>
        <v>2.1666666666666665</v>
      </c>
      <c r="O367" s="44">
        <f t="shared" si="22"/>
        <v>6.5</v>
      </c>
      <c r="P367" s="22">
        <f t="shared" si="23"/>
        <v>7.583333333333333</v>
      </c>
    </row>
    <row r="368" spans="1:16" x14ac:dyDescent="0.3">
      <c r="A368" s="40">
        <v>367</v>
      </c>
      <c r="C368" s="21">
        <v>2908</v>
      </c>
      <c r="D368" s="15" t="s">
        <v>620</v>
      </c>
      <c r="E368" s="15">
        <v>6</v>
      </c>
      <c r="F368" s="35" t="s">
        <v>9</v>
      </c>
      <c r="G368" s="16">
        <v>983.05</v>
      </c>
      <c r="H368" s="16">
        <v>660</v>
      </c>
      <c r="I368" s="16">
        <v>323.05</v>
      </c>
      <c r="J368" s="17">
        <v>48.95</v>
      </c>
      <c r="K368" s="18">
        <f>10/30</f>
        <v>0.33333333333333331</v>
      </c>
      <c r="L368" s="18">
        <f>1/5</f>
        <v>0.2</v>
      </c>
      <c r="M368" s="19">
        <f t="shared" si="20"/>
        <v>0.16666666666666666</v>
      </c>
      <c r="N368" s="44">
        <f t="shared" si="21"/>
        <v>0.33333333333333331</v>
      </c>
      <c r="O368" s="44">
        <f t="shared" si="22"/>
        <v>2.5</v>
      </c>
      <c r="P368" s="22">
        <f t="shared" si="23"/>
        <v>2.6666666666666665</v>
      </c>
    </row>
    <row r="369" spans="1:16" x14ac:dyDescent="0.3">
      <c r="A369" s="40">
        <v>368</v>
      </c>
      <c r="C369" s="21">
        <v>3990</v>
      </c>
      <c r="D369" s="15" t="s">
        <v>621</v>
      </c>
      <c r="E369" s="15">
        <v>9</v>
      </c>
      <c r="F369" s="35" t="s">
        <v>9</v>
      </c>
      <c r="G369" s="16">
        <v>973.53</v>
      </c>
      <c r="H369" s="16">
        <v>1044</v>
      </c>
      <c r="I369" s="16">
        <v>-70.47</v>
      </c>
      <c r="J369" s="17">
        <v>-6.75</v>
      </c>
      <c r="K369" s="18">
        <v>1</v>
      </c>
      <c r="L369" s="18">
        <f>1/6</f>
        <v>0.16666666666666666</v>
      </c>
      <c r="M369" s="19">
        <f t="shared" si="20"/>
        <v>0.75</v>
      </c>
      <c r="N369" s="44">
        <f t="shared" si="21"/>
        <v>1.5</v>
      </c>
      <c r="O369" s="44">
        <f t="shared" si="22"/>
        <v>4.5</v>
      </c>
      <c r="P369" s="22">
        <f t="shared" si="23"/>
        <v>5.25</v>
      </c>
    </row>
    <row r="370" spans="1:16" x14ac:dyDescent="0.3">
      <c r="A370" s="40">
        <v>369</v>
      </c>
      <c r="C370" s="21">
        <v>5040</v>
      </c>
      <c r="D370" s="15" t="s">
        <v>119</v>
      </c>
      <c r="E370" s="15">
        <v>19</v>
      </c>
      <c r="F370" s="35" t="s">
        <v>9</v>
      </c>
      <c r="G370" s="16">
        <v>969.15</v>
      </c>
      <c r="H370" s="16">
        <v>1045</v>
      </c>
      <c r="I370" s="16">
        <v>-75.849999999999994</v>
      </c>
      <c r="J370" s="17">
        <v>-7.26</v>
      </c>
      <c r="K370" s="18">
        <v>1</v>
      </c>
      <c r="L370" s="18">
        <f>1/6</f>
        <v>0.16666666666666666</v>
      </c>
      <c r="M370" s="19">
        <f t="shared" si="20"/>
        <v>1.5833333333333333</v>
      </c>
      <c r="N370" s="44">
        <f t="shared" si="21"/>
        <v>3.1666666666666665</v>
      </c>
      <c r="O370" s="44">
        <f t="shared" si="22"/>
        <v>9.5</v>
      </c>
      <c r="P370" s="22">
        <f t="shared" si="23"/>
        <v>11.083333333333334</v>
      </c>
    </row>
    <row r="371" spans="1:16" x14ac:dyDescent="0.3">
      <c r="A371" s="40">
        <v>370</v>
      </c>
      <c r="C371" s="47">
        <v>3266</v>
      </c>
      <c r="D371" s="49" t="s">
        <v>622</v>
      </c>
      <c r="E371" s="15">
        <v>9</v>
      </c>
      <c r="F371" s="35" t="s">
        <v>9</v>
      </c>
      <c r="G371" s="16">
        <v>965.09</v>
      </c>
      <c r="H371" s="16">
        <v>990</v>
      </c>
      <c r="I371" s="16">
        <v>-24.91</v>
      </c>
      <c r="J371" s="17">
        <v>-2.52</v>
      </c>
      <c r="K371" s="18">
        <v>1</v>
      </c>
      <c r="L371" s="18">
        <f>1/2</f>
        <v>0.5</v>
      </c>
      <c r="M371" s="19">
        <f t="shared" si="20"/>
        <v>0.75</v>
      </c>
      <c r="N371" s="44">
        <f t="shared" si="21"/>
        <v>1.5</v>
      </c>
      <c r="O371" s="44">
        <f t="shared" si="22"/>
        <v>1.5</v>
      </c>
      <c r="P371" s="22">
        <f t="shared" si="23"/>
        <v>2.25</v>
      </c>
    </row>
    <row r="372" spans="1:16" x14ac:dyDescent="0.3">
      <c r="A372" s="40">
        <v>371</v>
      </c>
      <c r="C372" s="21">
        <v>1486</v>
      </c>
      <c r="D372" s="15" t="s">
        <v>376</v>
      </c>
      <c r="E372" s="15">
        <v>219</v>
      </c>
      <c r="F372" s="35" t="s">
        <v>9</v>
      </c>
      <c r="G372" s="16">
        <v>964.79</v>
      </c>
      <c r="H372" s="16">
        <v>1614.76</v>
      </c>
      <c r="I372" s="16">
        <v>-649.97</v>
      </c>
      <c r="J372" s="17">
        <v>-40.25</v>
      </c>
      <c r="K372" s="18">
        <f>15/30</f>
        <v>0.5</v>
      </c>
      <c r="L372" s="18">
        <f>1/4</f>
        <v>0.25</v>
      </c>
      <c r="M372" s="19">
        <f t="shared" si="20"/>
        <v>9.125</v>
      </c>
      <c r="N372" s="44">
        <f t="shared" si="21"/>
        <v>18.25</v>
      </c>
      <c r="O372" s="44">
        <f t="shared" si="22"/>
        <v>73</v>
      </c>
      <c r="P372" s="22">
        <f t="shared" si="23"/>
        <v>82.125</v>
      </c>
    </row>
    <row r="373" spans="1:16" x14ac:dyDescent="0.3">
      <c r="A373" s="40">
        <v>372</v>
      </c>
      <c r="C373" s="21">
        <v>3379</v>
      </c>
      <c r="D373" s="15" t="s">
        <v>623</v>
      </c>
      <c r="E373" s="15">
        <v>12</v>
      </c>
      <c r="F373" s="35" t="s">
        <v>9</v>
      </c>
      <c r="G373" s="16">
        <v>964.42</v>
      </c>
      <c r="H373" s="16">
        <v>980.4</v>
      </c>
      <c r="I373" s="16">
        <v>-15.98</v>
      </c>
      <c r="J373" s="17">
        <v>-1.63</v>
      </c>
      <c r="K373" s="18">
        <v>1</v>
      </c>
      <c r="L373" s="18">
        <f>1/12</f>
        <v>8.3333333333333329E-2</v>
      </c>
      <c r="M373" s="19">
        <f t="shared" si="20"/>
        <v>1</v>
      </c>
      <c r="N373" s="44">
        <f t="shared" si="21"/>
        <v>2</v>
      </c>
      <c r="O373" s="44">
        <f t="shared" si="22"/>
        <v>12</v>
      </c>
      <c r="P373" s="22">
        <f t="shared" si="23"/>
        <v>13</v>
      </c>
    </row>
    <row r="374" spans="1:16" x14ac:dyDescent="0.3">
      <c r="A374" s="40">
        <v>373</v>
      </c>
      <c r="C374" s="21">
        <v>1642</v>
      </c>
      <c r="D374" s="15" t="s">
        <v>624</v>
      </c>
      <c r="E374" s="15">
        <v>21</v>
      </c>
      <c r="F374" s="35" t="s">
        <v>34</v>
      </c>
      <c r="G374" s="16">
        <v>962.68</v>
      </c>
      <c r="H374" s="16">
        <v>744.5</v>
      </c>
      <c r="I374" s="16">
        <v>218.18</v>
      </c>
      <c r="J374" s="17">
        <v>29.31</v>
      </c>
      <c r="K374" s="18">
        <f>10/30</f>
        <v>0.33333333333333331</v>
      </c>
      <c r="L374" s="18">
        <f>1/3</f>
        <v>0.33333333333333331</v>
      </c>
      <c r="M374" s="19">
        <f t="shared" si="20"/>
        <v>0.58333333333333326</v>
      </c>
      <c r="N374" s="44">
        <f t="shared" si="21"/>
        <v>1.1666666666666665</v>
      </c>
      <c r="O374" s="44">
        <f t="shared" si="22"/>
        <v>5.25</v>
      </c>
      <c r="P374" s="22">
        <f t="shared" si="23"/>
        <v>5.833333333333333</v>
      </c>
    </row>
    <row r="375" spans="1:16" x14ac:dyDescent="0.3">
      <c r="A375" s="40">
        <v>374</v>
      </c>
      <c r="C375" s="21">
        <v>3005</v>
      </c>
      <c r="D375" s="15" t="s">
        <v>625</v>
      </c>
      <c r="E375" s="15">
        <v>46</v>
      </c>
      <c r="F375" s="35" t="s">
        <v>9</v>
      </c>
      <c r="G375" s="16">
        <v>962.11</v>
      </c>
      <c r="H375" s="16">
        <v>789.2</v>
      </c>
      <c r="I375" s="16">
        <v>172.91</v>
      </c>
      <c r="J375" s="17">
        <v>21.91</v>
      </c>
      <c r="K375" s="18">
        <f>15/30</f>
        <v>0.5</v>
      </c>
      <c r="L375" s="18">
        <f>1/4</f>
        <v>0.25</v>
      </c>
      <c r="M375" s="19">
        <f t="shared" si="20"/>
        <v>1.9166666666666667</v>
      </c>
      <c r="N375" s="44">
        <f t="shared" si="21"/>
        <v>3.8333333333333335</v>
      </c>
      <c r="O375" s="44">
        <f t="shared" si="22"/>
        <v>15.333333333333334</v>
      </c>
      <c r="P375" s="22">
        <f t="shared" si="23"/>
        <v>17.25</v>
      </c>
    </row>
    <row r="376" spans="1:16" x14ac:dyDescent="0.3">
      <c r="A376" s="40">
        <v>375</v>
      </c>
      <c r="C376" s="21">
        <v>4325</v>
      </c>
      <c r="D376" s="15" t="s">
        <v>174</v>
      </c>
      <c r="E376" s="15">
        <v>5</v>
      </c>
      <c r="F376" s="35" t="s">
        <v>9</v>
      </c>
      <c r="G376" s="16">
        <v>959.83</v>
      </c>
      <c r="H376" s="16">
        <v>944</v>
      </c>
      <c r="I376" s="16">
        <v>15.83</v>
      </c>
      <c r="J376" s="17">
        <v>1.68</v>
      </c>
      <c r="K376" s="18">
        <f>1</f>
        <v>1</v>
      </c>
      <c r="L376" s="18">
        <f>1/12</f>
        <v>8.3333333333333329E-2</v>
      </c>
      <c r="M376" s="19">
        <f t="shared" si="20"/>
        <v>0.41666666666666669</v>
      </c>
      <c r="N376" s="44">
        <f t="shared" si="21"/>
        <v>0.83333333333333337</v>
      </c>
      <c r="O376" s="44">
        <f t="shared" si="22"/>
        <v>5.0000000000000009</v>
      </c>
      <c r="P376" s="22">
        <f t="shared" si="23"/>
        <v>5.4166666666666679</v>
      </c>
    </row>
    <row r="377" spans="1:16" x14ac:dyDescent="0.3">
      <c r="A377" s="40">
        <v>376</v>
      </c>
      <c r="C377" s="21">
        <v>336</v>
      </c>
      <c r="D377" s="15" t="s">
        <v>626</v>
      </c>
      <c r="E377" s="15">
        <v>13</v>
      </c>
      <c r="F377" s="35" t="s">
        <v>9</v>
      </c>
      <c r="G377" s="16">
        <v>958.98</v>
      </c>
      <c r="H377" s="16">
        <v>0</v>
      </c>
      <c r="I377" s="16">
        <v>958.98</v>
      </c>
      <c r="J377" s="17">
        <v>100</v>
      </c>
      <c r="K377" s="18">
        <v>1</v>
      </c>
      <c r="L377" s="18">
        <f>1/6</f>
        <v>0.16666666666666666</v>
      </c>
      <c r="M377" s="19">
        <f t="shared" si="20"/>
        <v>1.0833333333333333</v>
      </c>
      <c r="N377" s="44">
        <f t="shared" si="21"/>
        <v>2.1666666666666665</v>
      </c>
      <c r="O377" s="44">
        <f t="shared" si="22"/>
        <v>6.5</v>
      </c>
      <c r="P377" s="22">
        <f t="shared" si="23"/>
        <v>7.583333333333333</v>
      </c>
    </row>
    <row r="378" spans="1:16" x14ac:dyDescent="0.3">
      <c r="A378" s="40">
        <v>377</v>
      </c>
      <c r="C378" s="21">
        <v>2554</v>
      </c>
      <c r="D378" s="15" t="s">
        <v>627</v>
      </c>
      <c r="E378" s="17">
        <v>50.5</v>
      </c>
      <c r="F378" s="35" t="s">
        <v>9</v>
      </c>
      <c r="G378" s="16">
        <v>958.4</v>
      </c>
      <c r="H378" s="16">
        <v>757.5</v>
      </c>
      <c r="I378" s="16">
        <v>200.9</v>
      </c>
      <c r="J378" s="17">
        <v>26.52</v>
      </c>
      <c r="K378" s="18">
        <v>1</v>
      </c>
      <c r="L378" s="18">
        <f>1/4</f>
        <v>0.25</v>
      </c>
      <c r="M378" s="19">
        <f t="shared" si="20"/>
        <v>4.208333333333333</v>
      </c>
      <c r="N378" s="44">
        <f t="shared" si="21"/>
        <v>8.4166666666666661</v>
      </c>
      <c r="O378" s="44">
        <f t="shared" si="22"/>
        <v>16.833333333333332</v>
      </c>
      <c r="P378" s="22">
        <f t="shared" si="23"/>
        <v>21.041666666666664</v>
      </c>
    </row>
    <row r="379" spans="1:16" x14ac:dyDescent="0.3">
      <c r="A379" s="40">
        <v>378</v>
      </c>
      <c r="C379" s="21">
        <v>4319</v>
      </c>
      <c r="D379" s="15" t="s">
        <v>628</v>
      </c>
      <c r="E379" s="15">
        <v>46</v>
      </c>
      <c r="F379" s="35" t="s">
        <v>9</v>
      </c>
      <c r="G379" s="16">
        <v>958.01</v>
      </c>
      <c r="H379" s="16">
        <v>864.8</v>
      </c>
      <c r="I379" s="16">
        <v>93.21</v>
      </c>
      <c r="J379" s="17">
        <v>10.78</v>
      </c>
      <c r="K379" s="18">
        <f>10/30</f>
        <v>0.33333333333333331</v>
      </c>
      <c r="L379" s="18">
        <f>1/3</f>
        <v>0.33333333333333331</v>
      </c>
      <c r="M379" s="19">
        <f t="shared" si="20"/>
        <v>1.2777777777777777</v>
      </c>
      <c r="N379" s="44">
        <f t="shared" si="21"/>
        <v>2.5555555555555554</v>
      </c>
      <c r="O379" s="44">
        <f t="shared" si="22"/>
        <v>11.500000000000002</v>
      </c>
      <c r="P379" s="22">
        <f t="shared" si="23"/>
        <v>12.777777777777779</v>
      </c>
    </row>
    <row r="380" spans="1:16" x14ac:dyDescent="0.3">
      <c r="A380" s="40">
        <v>379</v>
      </c>
      <c r="C380" s="21">
        <v>1209</v>
      </c>
      <c r="D380" s="15" t="s">
        <v>629</v>
      </c>
      <c r="E380" s="15">
        <v>28</v>
      </c>
      <c r="F380" s="35" t="s">
        <v>9</v>
      </c>
      <c r="G380" s="16">
        <v>957.2</v>
      </c>
      <c r="H380" s="16">
        <v>559.44000000000005</v>
      </c>
      <c r="I380" s="16">
        <v>397.76</v>
      </c>
      <c r="J380" s="17">
        <v>71.099999999999994</v>
      </c>
      <c r="K380" s="18">
        <v>1</v>
      </c>
      <c r="L380" s="18">
        <f>1/6</f>
        <v>0.16666666666666666</v>
      </c>
      <c r="M380" s="19">
        <f t="shared" si="20"/>
        <v>2.3333333333333335</v>
      </c>
      <c r="N380" s="44">
        <f t="shared" si="21"/>
        <v>4.666666666666667</v>
      </c>
      <c r="O380" s="44">
        <f t="shared" si="22"/>
        <v>14.000000000000002</v>
      </c>
      <c r="P380" s="22">
        <f t="shared" si="23"/>
        <v>16.333333333333336</v>
      </c>
    </row>
    <row r="381" spans="1:16" x14ac:dyDescent="0.3">
      <c r="A381" s="40">
        <v>380</v>
      </c>
      <c r="C381" s="21">
        <v>3522</v>
      </c>
      <c r="D381" s="15" t="s">
        <v>324</v>
      </c>
      <c r="E381" s="15">
        <v>17</v>
      </c>
      <c r="F381" s="35" t="s">
        <v>9</v>
      </c>
      <c r="G381" s="16">
        <v>954.16</v>
      </c>
      <c r="H381" s="16">
        <v>1003</v>
      </c>
      <c r="I381" s="16">
        <v>-48.84</v>
      </c>
      <c r="J381" s="17">
        <v>-4.87</v>
      </c>
      <c r="K381" s="18">
        <v>1</v>
      </c>
      <c r="L381" s="18">
        <f>1/6</f>
        <v>0.16666666666666666</v>
      </c>
      <c r="M381" s="19">
        <f t="shared" si="20"/>
        <v>1.4166666666666667</v>
      </c>
      <c r="N381" s="44">
        <f t="shared" si="21"/>
        <v>2.8333333333333335</v>
      </c>
      <c r="O381" s="44">
        <f t="shared" si="22"/>
        <v>8.5000000000000018</v>
      </c>
      <c r="P381" s="22">
        <f t="shared" si="23"/>
        <v>9.9166666666666679</v>
      </c>
    </row>
    <row r="382" spans="1:16" x14ac:dyDescent="0.3">
      <c r="A382" s="40">
        <v>381</v>
      </c>
      <c r="C382" s="21">
        <v>4157</v>
      </c>
      <c r="D382" s="15" t="s">
        <v>630</v>
      </c>
      <c r="E382" s="15">
        <v>5</v>
      </c>
      <c r="F382" s="35" t="s">
        <v>9</v>
      </c>
      <c r="G382" s="16">
        <v>953</v>
      </c>
      <c r="H382" s="16">
        <v>995</v>
      </c>
      <c r="I382" s="16">
        <v>-42</v>
      </c>
      <c r="J382" s="17">
        <v>-4.22</v>
      </c>
      <c r="K382" s="18">
        <v>1</v>
      </c>
      <c r="L382" s="18">
        <f>1/4</f>
        <v>0.25</v>
      </c>
      <c r="M382" s="19">
        <f t="shared" si="20"/>
        <v>0.41666666666666669</v>
      </c>
      <c r="N382" s="44">
        <f t="shared" si="21"/>
        <v>0.83333333333333337</v>
      </c>
      <c r="O382" s="44">
        <f t="shared" si="22"/>
        <v>1.6666666666666667</v>
      </c>
      <c r="P382" s="22">
        <f t="shared" si="23"/>
        <v>2.0833333333333335</v>
      </c>
    </row>
    <row r="383" spans="1:16" x14ac:dyDescent="0.3">
      <c r="A383" s="40">
        <v>382</v>
      </c>
      <c r="C383" s="21">
        <v>1431</v>
      </c>
      <c r="D383" s="15" t="s">
        <v>631</v>
      </c>
      <c r="E383" s="15">
        <v>13</v>
      </c>
      <c r="F383" s="35" t="s">
        <v>34</v>
      </c>
      <c r="G383" s="16">
        <v>949.29</v>
      </c>
      <c r="H383" s="16">
        <v>702</v>
      </c>
      <c r="I383" s="16">
        <v>247.29</v>
      </c>
      <c r="J383" s="17">
        <v>35.229999999999997</v>
      </c>
      <c r="K383" s="18">
        <f>10/30</f>
        <v>0.33333333333333331</v>
      </c>
      <c r="L383" s="18">
        <f>1/3</f>
        <v>0.33333333333333331</v>
      </c>
      <c r="M383" s="19">
        <f t="shared" si="20"/>
        <v>0.36111111111111105</v>
      </c>
      <c r="N383" s="44">
        <f t="shared" si="21"/>
        <v>0.7222222222222221</v>
      </c>
      <c r="O383" s="44">
        <f t="shared" si="22"/>
        <v>3.25</v>
      </c>
      <c r="P383" s="22">
        <f t="shared" si="23"/>
        <v>3.6111111111111112</v>
      </c>
    </row>
    <row r="384" spans="1:16" x14ac:dyDescent="0.3">
      <c r="A384" s="40">
        <v>383</v>
      </c>
      <c r="C384" s="47">
        <v>170</v>
      </c>
      <c r="D384" s="15" t="s">
        <v>632</v>
      </c>
      <c r="E384" s="17">
        <v>727.3</v>
      </c>
      <c r="F384" s="35" t="s">
        <v>12</v>
      </c>
      <c r="G384" s="16">
        <v>946.46</v>
      </c>
      <c r="H384" s="16">
        <v>1054.58</v>
      </c>
      <c r="I384" s="16">
        <v>-108.13</v>
      </c>
      <c r="J384" s="17">
        <v>-10.25</v>
      </c>
      <c r="K384" s="18">
        <f>25/30</f>
        <v>0.83333333333333337</v>
      </c>
      <c r="L384" s="18">
        <f>1/6</f>
        <v>0.16666666666666666</v>
      </c>
      <c r="M384" s="19">
        <f t="shared" si="20"/>
        <v>50.506944444444443</v>
      </c>
      <c r="N384" s="44">
        <f t="shared" si="21"/>
        <v>101.01388888888889</v>
      </c>
      <c r="O384" s="44">
        <f t="shared" si="22"/>
        <v>363.65</v>
      </c>
      <c r="P384" s="22">
        <f t="shared" si="23"/>
        <v>414.15694444444443</v>
      </c>
    </row>
    <row r="385" spans="1:16" x14ac:dyDescent="0.3">
      <c r="A385" s="40">
        <v>384</v>
      </c>
      <c r="C385" s="21">
        <v>3621</v>
      </c>
      <c r="D385" s="15" t="s">
        <v>182</v>
      </c>
      <c r="E385" s="15">
        <v>4</v>
      </c>
      <c r="F385" s="35" t="s">
        <v>9</v>
      </c>
      <c r="G385" s="16">
        <v>941.86</v>
      </c>
      <c r="H385" s="16">
        <v>670</v>
      </c>
      <c r="I385" s="16">
        <v>271.86</v>
      </c>
      <c r="J385" s="17">
        <v>40.58</v>
      </c>
      <c r="K385" s="18">
        <f>15/30</f>
        <v>0.5</v>
      </c>
      <c r="L385" s="18">
        <f>1/12</f>
        <v>8.3333333333333329E-2</v>
      </c>
      <c r="M385" s="19">
        <f t="shared" si="20"/>
        <v>0.16666666666666666</v>
      </c>
      <c r="N385" s="44">
        <f t="shared" si="21"/>
        <v>0.33333333333333331</v>
      </c>
      <c r="O385" s="44">
        <f t="shared" si="22"/>
        <v>4</v>
      </c>
      <c r="P385" s="22">
        <f t="shared" si="23"/>
        <v>4.166666666666667</v>
      </c>
    </row>
    <row r="386" spans="1:16" x14ac:dyDescent="0.3">
      <c r="A386" s="40">
        <v>385</v>
      </c>
      <c r="C386" s="21">
        <v>2038</v>
      </c>
      <c r="D386" s="15" t="s">
        <v>633</v>
      </c>
      <c r="E386" s="15">
        <v>4</v>
      </c>
      <c r="F386" s="35" t="s">
        <v>9</v>
      </c>
      <c r="G386" s="16">
        <v>938.8</v>
      </c>
      <c r="H386" s="16">
        <v>128</v>
      </c>
      <c r="I386" s="16">
        <v>810.8</v>
      </c>
      <c r="J386" s="17">
        <v>633.44000000000005</v>
      </c>
      <c r="K386" s="18">
        <f>15/30</f>
        <v>0.5</v>
      </c>
      <c r="L386" s="18">
        <f>1/4</f>
        <v>0.25</v>
      </c>
      <c r="M386" s="19">
        <f t="shared" ref="M386:M449" si="24">(E386/12)*K386</f>
        <v>0.16666666666666666</v>
      </c>
      <c r="N386" s="44">
        <f t="shared" ref="N386:N449" si="25">((E386/12)*K386)+M386</f>
        <v>0.33333333333333331</v>
      </c>
      <c r="O386" s="44">
        <f t="shared" ref="O386:O449" si="26">(E386/12)/L386</f>
        <v>1.3333333333333333</v>
      </c>
      <c r="P386" s="22">
        <f t="shared" ref="P386:P449" si="27">O386+M386</f>
        <v>1.5</v>
      </c>
    </row>
    <row r="387" spans="1:16" x14ac:dyDescent="0.3">
      <c r="A387" s="40">
        <v>386</v>
      </c>
      <c r="C387" s="21">
        <v>2716</v>
      </c>
      <c r="D387" s="15" t="s">
        <v>634</v>
      </c>
      <c r="E387" s="15">
        <v>33</v>
      </c>
      <c r="F387" s="35" t="s">
        <v>9</v>
      </c>
      <c r="G387" s="16">
        <v>936.36</v>
      </c>
      <c r="H387" s="16">
        <v>778.8</v>
      </c>
      <c r="I387" s="16">
        <v>157.56</v>
      </c>
      <c r="J387" s="17">
        <v>20.23</v>
      </c>
      <c r="K387" s="18">
        <v>1</v>
      </c>
      <c r="L387" s="18">
        <f>1/6</f>
        <v>0.16666666666666666</v>
      </c>
      <c r="M387" s="19">
        <f t="shared" si="24"/>
        <v>2.75</v>
      </c>
      <c r="N387" s="44">
        <f t="shared" si="25"/>
        <v>5.5</v>
      </c>
      <c r="O387" s="44">
        <f t="shared" si="26"/>
        <v>16.5</v>
      </c>
      <c r="P387" s="22">
        <f t="shared" si="27"/>
        <v>19.25</v>
      </c>
    </row>
    <row r="388" spans="1:16" x14ac:dyDescent="0.3">
      <c r="A388" s="40">
        <v>387</v>
      </c>
      <c r="C388" s="47">
        <v>249</v>
      </c>
      <c r="D388" s="15" t="s">
        <v>635</v>
      </c>
      <c r="E388" s="15">
        <v>7</v>
      </c>
      <c r="F388" s="35" t="s">
        <v>9</v>
      </c>
      <c r="G388" s="16">
        <v>936.09</v>
      </c>
      <c r="H388" s="16">
        <v>174</v>
      </c>
      <c r="I388" s="16">
        <v>762.09</v>
      </c>
      <c r="J388" s="17">
        <v>437.98</v>
      </c>
      <c r="K388" s="18">
        <f>20/30</f>
        <v>0.66666666666666663</v>
      </c>
      <c r="L388" s="18">
        <f>1/6</f>
        <v>0.16666666666666666</v>
      </c>
      <c r="M388" s="19">
        <f t="shared" si="24"/>
        <v>0.3888888888888889</v>
      </c>
      <c r="N388" s="44">
        <f t="shared" si="25"/>
        <v>0.77777777777777779</v>
      </c>
      <c r="O388" s="44">
        <f t="shared" si="26"/>
        <v>3.5000000000000004</v>
      </c>
      <c r="P388" s="22">
        <f t="shared" si="27"/>
        <v>3.8888888888888893</v>
      </c>
    </row>
    <row r="389" spans="1:16" x14ac:dyDescent="0.3">
      <c r="A389" s="40">
        <v>388</v>
      </c>
      <c r="C389" s="21">
        <v>828</v>
      </c>
      <c r="D389" s="15" t="s">
        <v>73</v>
      </c>
      <c r="E389" s="15">
        <v>2</v>
      </c>
      <c r="F389" s="35" t="s">
        <v>9</v>
      </c>
      <c r="G389" s="16">
        <v>934.6</v>
      </c>
      <c r="H389" s="16">
        <v>756</v>
      </c>
      <c r="I389" s="16">
        <v>178.6</v>
      </c>
      <c r="J389" s="17">
        <v>23.62</v>
      </c>
      <c r="K389" s="18">
        <v>1</v>
      </c>
      <c r="L389" s="18">
        <f>1/12</f>
        <v>8.3333333333333329E-2</v>
      </c>
      <c r="M389" s="19">
        <f t="shared" si="24"/>
        <v>0.16666666666666666</v>
      </c>
      <c r="N389" s="44">
        <f t="shared" si="25"/>
        <v>0.33333333333333331</v>
      </c>
      <c r="O389" s="44">
        <f t="shared" si="26"/>
        <v>2</v>
      </c>
      <c r="P389" s="22">
        <f t="shared" si="27"/>
        <v>2.1666666666666665</v>
      </c>
    </row>
    <row r="390" spans="1:16" x14ac:dyDescent="0.3">
      <c r="A390" s="40">
        <v>389</v>
      </c>
      <c r="C390" s="21">
        <v>4672</v>
      </c>
      <c r="D390" s="15" t="s">
        <v>636</v>
      </c>
      <c r="E390" s="15">
        <v>97</v>
      </c>
      <c r="F390" s="35" t="s">
        <v>9</v>
      </c>
      <c r="G390" s="16">
        <v>931.79</v>
      </c>
      <c r="H390" s="16">
        <v>859.44</v>
      </c>
      <c r="I390" s="16">
        <v>72.349999999999994</v>
      </c>
      <c r="J390" s="17">
        <v>8.42</v>
      </c>
      <c r="K390" s="18">
        <f>15/30</f>
        <v>0.5</v>
      </c>
      <c r="L390" s="18">
        <f>1/4</f>
        <v>0.25</v>
      </c>
      <c r="M390" s="19">
        <f t="shared" si="24"/>
        <v>4.041666666666667</v>
      </c>
      <c r="N390" s="44">
        <f t="shared" si="25"/>
        <v>8.0833333333333339</v>
      </c>
      <c r="O390" s="44">
        <f t="shared" si="26"/>
        <v>32.333333333333336</v>
      </c>
      <c r="P390" s="22">
        <f t="shared" si="27"/>
        <v>36.375</v>
      </c>
    </row>
    <row r="391" spans="1:16" x14ac:dyDescent="0.3">
      <c r="A391" s="40">
        <v>390</v>
      </c>
      <c r="C391" s="21">
        <v>381</v>
      </c>
      <c r="D391" s="15" t="s">
        <v>637</v>
      </c>
      <c r="E391" s="15">
        <v>62</v>
      </c>
      <c r="F391" s="35" t="s">
        <v>9</v>
      </c>
      <c r="G391" s="16">
        <v>931.34</v>
      </c>
      <c r="H391" s="16">
        <v>849</v>
      </c>
      <c r="I391" s="16">
        <v>82.34</v>
      </c>
      <c r="J391" s="17">
        <v>9.6999999999999993</v>
      </c>
      <c r="K391" s="18">
        <f>10/30</f>
        <v>0.33333333333333331</v>
      </c>
      <c r="L391" s="18">
        <f>1/3</f>
        <v>0.33333333333333331</v>
      </c>
      <c r="M391" s="19">
        <f t="shared" si="24"/>
        <v>1.7222222222222223</v>
      </c>
      <c r="N391" s="44">
        <f t="shared" si="25"/>
        <v>3.4444444444444446</v>
      </c>
      <c r="O391" s="44">
        <f t="shared" si="26"/>
        <v>15.500000000000002</v>
      </c>
      <c r="P391" s="22">
        <f t="shared" si="27"/>
        <v>17.222222222222225</v>
      </c>
    </row>
    <row r="392" spans="1:16" x14ac:dyDescent="0.3">
      <c r="A392" s="40">
        <v>391</v>
      </c>
      <c r="C392" s="21">
        <v>3409</v>
      </c>
      <c r="D392" s="15" t="s">
        <v>638</v>
      </c>
      <c r="E392" s="15">
        <v>44</v>
      </c>
      <c r="F392" s="35" t="s">
        <v>9</v>
      </c>
      <c r="G392" s="16">
        <v>928.6</v>
      </c>
      <c r="H392" s="16">
        <v>493.9</v>
      </c>
      <c r="I392" s="16">
        <v>434.7</v>
      </c>
      <c r="J392" s="17">
        <v>88.01</v>
      </c>
      <c r="K392" s="18">
        <f>15/30</f>
        <v>0.5</v>
      </c>
      <c r="L392" s="18">
        <f>1/4</f>
        <v>0.25</v>
      </c>
      <c r="M392" s="19">
        <f t="shared" si="24"/>
        <v>1.8333333333333333</v>
      </c>
      <c r="N392" s="44">
        <f t="shared" si="25"/>
        <v>3.6666666666666665</v>
      </c>
      <c r="O392" s="44">
        <f t="shared" si="26"/>
        <v>14.666666666666666</v>
      </c>
      <c r="P392" s="22">
        <f t="shared" si="27"/>
        <v>16.5</v>
      </c>
    </row>
    <row r="393" spans="1:16" x14ac:dyDescent="0.3">
      <c r="A393" s="40">
        <v>392</v>
      </c>
      <c r="C393" s="21">
        <v>4226</v>
      </c>
      <c r="D393" s="15" t="s">
        <v>639</v>
      </c>
      <c r="E393" s="15">
        <v>14</v>
      </c>
      <c r="F393" s="35" t="s">
        <v>9</v>
      </c>
      <c r="G393" s="16">
        <v>926.46</v>
      </c>
      <c r="H393" s="16">
        <v>977.2</v>
      </c>
      <c r="I393" s="16">
        <v>-50.74</v>
      </c>
      <c r="J393" s="17">
        <v>-5.19</v>
      </c>
      <c r="K393" s="18">
        <v>1</v>
      </c>
      <c r="L393" s="18">
        <f>1/6</f>
        <v>0.16666666666666666</v>
      </c>
      <c r="M393" s="19">
        <f t="shared" si="24"/>
        <v>1.1666666666666667</v>
      </c>
      <c r="N393" s="44">
        <f t="shared" si="25"/>
        <v>2.3333333333333335</v>
      </c>
      <c r="O393" s="44">
        <f t="shared" si="26"/>
        <v>7.0000000000000009</v>
      </c>
      <c r="P393" s="22">
        <f t="shared" si="27"/>
        <v>8.1666666666666679</v>
      </c>
    </row>
    <row r="394" spans="1:16" x14ac:dyDescent="0.3">
      <c r="A394" s="40">
        <v>393</v>
      </c>
      <c r="C394" s="21">
        <v>702</v>
      </c>
      <c r="D394" s="15" t="s">
        <v>640</v>
      </c>
      <c r="E394" s="15">
        <v>115</v>
      </c>
      <c r="F394" s="35" t="s">
        <v>16</v>
      </c>
      <c r="G394" s="16">
        <v>924.66</v>
      </c>
      <c r="H394" s="16">
        <v>1437.5</v>
      </c>
      <c r="I394" s="16">
        <v>-512.84</v>
      </c>
      <c r="J394" s="17">
        <v>-35.68</v>
      </c>
      <c r="K394" s="18">
        <v>1</v>
      </c>
      <c r="L394" s="18">
        <f>1/4</f>
        <v>0.25</v>
      </c>
      <c r="M394" s="19">
        <f t="shared" si="24"/>
        <v>9.5833333333333339</v>
      </c>
      <c r="N394" s="44">
        <f t="shared" si="25"/>
        <v>19.166666666666668</v>
      </c>
      <c r="O394" s="44">
        <f t="shared" si="26"/>
        <v>38.333333333333336</v>
      </c>
      <c r="P394" s="22">
        <f t="shared" si="27"/>
        <v>47.916666666666671</v>
      </c>
    </row>
    <row r="395" spans="1:16" x14ac:dyDescent="0.3">
      <c r="A395" s="40">
        <v>394</v>
      </c>
      <c r="C395" s="21">
        <v>4975</v>
      </c>
      <c r="D395" s="15" t="s">
        <v>641</v>
      </c>
      <c r="E395" s="15">
        <v>29</v>
      </c>
      <c r="F395" s="35" t="s">
        <v>9</v>
      </c>
      <c r="G395" s="16">
        <v>920.71</v>
      </c>
      <c r="H395" s="16">
        <v>928</v>
      </c>
      <c r="I395" s="16">
        <v>-7.29</v>
      </c>
      <c r="J395" s="17">
        <v>-0.79</v>
      </c>
      <c r="K395" s="18">
        <f>25/30</f>
        <v>0.83333333333333337</v>
      </c>
      <c r="L395" s="18">
        <f>1/4</f>
        <v>0.25</v>
      </c>
      <c r="M395" s="19">
        <f t="shared" si="24"/>
        <v>2.0138888888888888</v>
      </c>
      <c r="N395" s="44">
        <f t="shared" si="25"/>
        <v>4.0277777777777777</v>
      </c>
      <c r="O395" s="44">
        <f t="shared" si="26"/>
        <v>9.6666666666666661</v>
      </c>
      <c r="P395" s="22">
        <f t="shared" si="27"/>
        <v>11.680555555555555</v>
      </c>
    </row>
    <row r="396" spans="1:16" x14ac:dyDescent="0.3">
      <c r="A396" s="40">
        <v>395</v>
      </c>
      <c r="C396" s="21">
        <v>815</v>
      </c>
      <c r="D396" s="15" t="s">
        <v>642</v>
      </c>
      <c r="E396" s="17">
        <v>507.65</v>
      </c>
      <c r="F396" s="35" t="s">
        <v>12</v>
      </c>
      <c r="G396" s="16">
        <v>919.63</v>
      </c>
      <c r="H396" s="16">
        <v>634.55999999999995</v>
      </c>
      <c r="I396" s="16">
        <v>285.07</v>
      </c>
      <c r="J396" s="17">
        <v>44.92</v>
      </c>
      <c r="K396" s="18">
        <v>1</v>
      </c>
      <c r="L396" s="18">
        <f>1/6</f>
        <v>0.16666666666666666</v>
      </c>
      <c r="M396" s="19">
        <f t="shared" si="24"/>
        <v>42.304166666666667</v>
      </c>
      <c r="N396" s="44">
        <f t="shared" si="25"/>
        <v>84.608333333333334</v>
      </c>
      <c r="O396" s="44">
        <f t="shared" si="26"/>
        <v>253.82500000000002</v>
      </c>
      <c r="P396" s="22">
        <f t="shared" si="27"/>
        <v>296.12916666666666</v>
      </c>
    </row>
    <row r="397" spans="1:16" x14ac:dyDescent="0.3">
      <c r="A397" s="40">
        <v>396</v>
      </c>
      <c r="C397" s="21">
        <v>3440</v>
      </c>
      <c r="D397" s="15" t="s">
        <v>643</v>
      </c>
      <c r="E397" s="15">
        <v>141</v>
      </c>
      <c r="F397" s="35" t="s">
        <v>9</v>
      </c>
      <c r="G397" s="16">
        <v>918</v>
      </c>
      <c r="H397" s="16">
        <v>648.6</v>
      </c>
      <c r="I397" s="16">
        <v>269.39999999999998</v>
      </c>
      <c r="J397" s="17">
        <v>41.54</v>
      </c>
      <c r="K397" s="18">
        <v>1</v>
      </c>
      <c r="L397" s="18">
        <f>1/4</f>
        <v>0.25</v>
      </c>
      <c r="M397" s="19">
        <f t="shared" si="24"/>
        <v>11.75</v>
      </c>
      <c r="N397" s="44">
        <f t="shared" si="25"/>
        <v>23.5</v>
      </c>
      <c r="O397" s="44">
        <f t="shared" si="26"/>
        <v>47</v>
      </c>
      <c r="P397" s="22">
        <f t="shared" si="27"/>
        <v>58.75</v>
      </c>
    </row>
    <row r="398" spans="1:16" x14ac:dyDescent="0.3">
      <c r="A398" s="40">
        <v>397</v>
      </c>
      <c r="C398" s="21">
        <v>3255</v>
      </c>
      <c r="D398" s="15" t="s">
        <v>155</v>
      </c>
      <c r="E398" s="15">
        <v>15</v>
      </c>
      <c r="F398" s="35" t="s">
        <v>9</v>
      </c>
      <c r="G398" s="16">
        <v>917.79</v>
      </c>
      <c r="H398" s="16">
        <v>1135.5</v>
      </c>
      <c r="I398" s="16">
        <v>-217.71</v>
      </c>
      <c r="J398" s="17">
        <v>-19.170000000000002</v>
      </c>
      <c r="K398" s="18">
        <v>1</v>
      </c>
      <c r="L398" s="18">
        <f>1/12</f>
        <v>8.3333333333333329E-2</v>
      </c>
      <c r="M398" s="19">
        <f t="shared" si="24"/>
        <v>1.25</v>
      </c>
      <c r="N398" s="44">
        <f t="shared" si="25"/>
        <v>2.5</v>
      </c>
      <c r="O398" s="44">
        <f t="shared" si="26"/>
        <v>15</v>
      </c>
      <c r="P398" s="22">
        <f t="shared" si="27"/>
        <v>16.25</v>
      </c>
    </row>
    <row r="399" spans="1:16" x14ac:dyDescent="0.3">
      <c r="A399" s="40">
        <v>398</v>
      </c>
      <c r="C399" s="21">
        <v>2752</v>
      </c>
      <c r="D399" s="15" t="s">
        <v>644</v>
      </c>
      <c r="E399" s="15">
        <v>65</v>
      </c>
      <c r="F399" s="35" t="s">
        <v>9</v>
      </c>
      <c r="G399" s="16">
        <v>912.21</v>
      </c>
      <c r="H399" s="16">
        <v>604.54999999999995</v>
      </c>
      <c r="I399" s="16">
        <v>307.66000000000003</v>
      </c>
      <c r="J399" s="17">
        <v>50.89</v>
      </c>
      <c r="K399" s="18">
        <f>20/30</f>
        <v>0.66666666666666663</v>
      </c>
      <c r="L399" s="18">
        <f>1/6</f>
        <v>0.16666666666666666</v>
      </c>
      <c r="M399" s="19">
        <f t="shared" si="24"/>
        <v>3.6111111111111112</v>
      </c>
      <c r="N399" s="44">
        <f t="shared" si="25"/>
        <v>7.2222222222222223</v>
      </c>
      <c r="O399" s="44">
        <f t="shared" si="26"/>
        <v>32.500000000000007</v>
      </c>
      <c r="P399" s="22">
        <f t="shared" si="27"/>
        <v>36.111111111111121</v>
      </c>
    </row>
    <row r="400" spans="1:16" x14ac:dyDescent="0.3">
      <c r="A400" s="40">
        <v>399</v>
      </c>
      <c r="C400" s="21">
        <v>1644</v>
      </c>
      <c r="D400" s="15" t="s">
        <v>645</v>
      </c>
      <c r="E400" s="15">
        <f>6+6</f>
        <v>12</v>
      </c>
      <c r="F400" s="35" t="s">
        <v>25</v>
      </c>
      <c r="G400" s="16">
        <v>911.38</v>
      </c>
      <c r="H400" s="16">
        <v>810</v>
      </c>
      <c r="I400" s="16">
        <v>101.38</v>
      </c>
      <c r="J400" s="17">
        <v>12.52</v>
      </c>
      <c r="K400" s="18">
        <f>10/30</f>
        <v>0.33333333333333331</v>
      </c>
      <c r="L400" s="18">
        <f>1/3</f>
        <v>0.33333333333333331</v>
      </c>
      <c r="M400" s="19">
        <f t="shared" si="24"/>
        <v>0.33333333333333331</v>
      </c>
      <c r="N400" s="44">
        <f t="shared" si="25"/>
        <v>0.66666666666666663</v>
      </c>
      <c r="O400" s="44">
        <f t="shared" si="26"/>
        <v>3</v>
      </c>
      <c r="P400" s="22">
        <f t="shared" si="27"/>
        <v>3.3333333333333335</v>
      </c>
    </row>
    <row r="401" spans="1:16" x14ac:dyDescent="0.3">
      <c r="A401" s="40">
        <v>400</v>
      </c>
      <c r="C401" s="21">
        <v>507</v>
      </c>
      <c r="D401" s="15" t="s">
        <v>646</v>
      </c>
      <c r="E401" s="15">
        <v>1</v>
      </c>
      <c r="F401" s="35" t="s">
        <v>9</v>
      </c>
      <c r="G401" s="16">
        <v>909</v>
      </c>
      <c r="H401" s="16">
        <v>0</v>
      </c>
      <c r="I401" s="16">
        <v>909</v>
      </c>
      <c r="J401" s="17">
        <v>100</v>
      </c>
      <c r="K401" s="18">
        <v>1</v>
      </c>
      <c r="L401" s="18">
        <f>1/12</f>
        <v>8.3333333333333329E-2</v>
      </c>
      <c r="M401" s="19">
        <f t="shared" si="24"/>
        <v>8.3333333333333329E-2</v>
      </c>
      <c r="N401" s="44">
        <f t="shared" si="25"/>
        <v>0.16666666666666666</v>
      </c>
      <c r="O401" s="44">
        <f t="shared" si="26"/>
        <v>1</v>
      </c>
      <c r="P401" s="22">
        <f t="shared" si="27"/>
        <v>1.0833333333333333</v>
      </c>
    </row>
    <row r="402" spans="1:16" x14ac:dyDescent="0.3">
      <c r="A402" s="40">
        <v>401</v>
      </c>
      <c r="C402" s="21">
        <v>786</v>
      </c>
      <c r="D402" s="15" t="s">
        <v>647</v>
      </c>
      <c r="E402" s="15">
        <v>4</v>
      </c>
      <c r="F402" s="35" t="s">
        <v>9</v>
      </c>
      <c r="G402" s="16">
        <v>906.4</v>
      </c>
      <c r="H402" s="16">
        <v>840</v>
      </c>
      <c r="I402" s="16">
        <v>66.400000000000006</v>
      </c>
      <c r="J402" s="17">
        <v>7.9</v>
      </c>
      <c r="K402" s="18">
        <f>1</f>
        <v>1</v>
      </c>
      <c r="L402" s="18">
        <f>1/12</f>
        <v>8.3333333333333329E-2</v>
      </c>
      <c r="M402" s="19">
        <f t="shared" si="24"/>
        <v>0.33333333333333331</v>
      </c>
      <c r="N402" s="44">
        <f t="shared" si="25"/>
        <v>0.66666666666666663</v>
      </c>
      <c r="O402" s="44">
        <f t="shared" si="26"/>
        <v>4</v>
      </c>
      <c r="P402" s="22">
        <f t="shared" si="27"/>
        <v>4.333333333333333</v>
      </c>
    </row>
    <row r="403" spans="1:16" x14ac:dyDescent="0.3">
      <c r="A403" s="40">
        <v>402</v>
      </c>
      <c r="C403" s="21">
        <v>4007</v>
      </c>
      <c r="D403" s="15" t="s">
        <v>648</v>
      </c>
      <c r="E403" s="15">
        <v>66</v>
      </c>
      <c r="F403" s="35" t="s">
        <v>9</v>
      </c>
      <c r="G403" s="16">
        <v>904.63</v>
      </c>
      <c r="H403" s="16">
        <v>528</v>
      </c>
      <c r="I403" s="16">
        <v>376.63</v>
      </c>
      <c r="J403" s="17">
        <v>71.33</v>
      </c>
      <c r="K403" s="18">
        <f>20/30</f>
        <v>0.66666666666666663</v>
      </c>
      <c r="L403" s="18">
        <f>1/5</f>
        <v>0.2</v>
      </c>
      <c r="M403" s="19">
        <f t="shared" si="24"/>
        <v>3.6666666666666665</v>
      </c>
      <c r="N403" s="44">
        <f t="shared" si="25"/>
        <v>7.333333333333333</v>
      </c>
      <c r="O403" s="44">
        <f t="shared" si="26"/>
        <v>27.5</v>
      </c>
      <c r="P403" s="22">
        <f t="shared" si="27"/>
        <v>31.166666666666668</v>
      </c>
    </row>
    <row r="404" spans="1:16" x14ac:dyDescent="0.3">
      <c r="A404" s="40">
        <v>403</v>
      </c>
      <c r="C404" s="21">
        <v>758</v>
      </c>
      <c r="D404" s="15" t="s">
        <v>649</v>
      </c>
      <c r="E404" s="15">
        <v>41</v>
      </c>
      <c r="F404" s="35" t="s">
        <v>9</v>
      </c>
      <c r="G404" s="16">
        <v>901.99</v>
      </c>
      <c r="H404" s="16">
        <v>569.9</v>
      </c>
      <c r="I404" s="16">
        <v>332.09</v>
      </c>
      <c r="J404" s="17">
        <v>58.27</v>
      </c>
      <c r="K404" s="18">
        <v>1</v>
      </c>
      <c r="L404" s="18">
        <f>1/4</f>
        <v>0.25</v>
      </c>
      <c r="M404" s="19">
        <f t="shared" si="24"/>
        <v>3.4166666666666665</v>
      </c>
      <c r="N404" s="44">
        <f t="shared" si="25"/>
        <v>6.833333333333333</v>
      </c>
      <c r="O404" s="44">
        <f t="shared" si="26"/>
        <v>13.666666666666666</v>
      </c>
      <c r="P404" s="22">
        <f t="shared" si="27"/>
        <v>17.083333333333332</v>
      </c>
    </row>
    <row r="405" spans="1:16" x14ac:dyDescent="0.3">
      <c r="A405" s="40">
        <v>404</v>
      </c>
      <c r="C405" s="21">
        <v>1027</v>
      </c>
      <c r="D405" s="15" t="s">
        <v>219</v>
      </c>
      <c r="E405" s="15">
        <v>3466</v>
      </c>
      <c r="F405" s="35" t="s">
        <v>9</v>
      </c>
      <c r="G405" s="16">
        <v>899.86</v>
      </c>
      <c r="H405" s="16">
        <v>695.03</v>
      </c>
      <c r="I405" s="16">
        <v>204.83</v>
      </c>
      <c r="J405" s="17">
        <v>29.47</v>
      </c>
      <c r="K405" s="18">
        <v>1</v>
      </c>
      <c r="L405" s="18">
        <f>1/4</f>
        <v>0.25</v>
      </c>
      <c r="M405" s="19">
        <f t="shared" si="24"/>
        <v>288.83333333333331</v>
      </c>
      <c r="N405" s="44">
        <f t="shared" si="25"/>
        <v>577.66666666666663</v>
      </c>
      <c r="O405" s="44">
        <f t="shared" si="26"/>
        <v>1155.3333333333333</v>
      </c>
      <c r="P405" s="22">
        <f t="shared" si="27"/>
        <v>1444.1666666666665</v>
      </c>
    </row>
    <row r="406" spans="1:16" x14ac:dyDescent="0.3">
      <c r="A406" s="40">
        <v>405</v>
      </c>
      <c r="C406" s="21">
        <v>615</v>
      </c>
      <c r="D406" s="15" t="s">
        <v>650</v>
      </c>
      <c r="E406" s="15">
        <v>21</v>
      </c>
      <c r="F406" s="35" t="s">
        <v>651</v>
      </c>
      <c r="G406" s="16">
        <v>899.01</v>
      </c>
      <c r="H406" s="16">
        <v>735</v>
      </c>
      <c r="I406" s="16">
        <v>164.01</v>
      </c>
      <c r="J406" s="17">
        <v>22.31</v>
      </c>
      <c r="K406" s="18">
        <v>1</v>
      </c>
      <c r="L406" s="18">
        <f>1/6</f>
        <v>0.16666666666666666</v>
      </c>
      <c r="M406" s="19">
        <f t="shared" si="24"/>
        <v>1.75</v>
      </c>
      <c r="N406" s="44">
        <f t="shared" si="25"/>
        <v>3.5</v>
      </c>
      <c r="O406" s="44">
        <f t="shared" si="26"/>
        <v>10.5</v>
      </c>
      <c r="P406" s="22">
        <f t="shared" si="27"/>
        <v>12.25</v>
      </c>
    </row>
    <row r="407" spans="1:16" x14ac:dyDescent="0.3">
      <c r="A407" s="40">
        <v>406</v>
      </c>
      <c r="C407" s="47">
        <v>628</v>
      </c>
      <c r="D407" s="15" t="s">
        <v>652</v>
      </c>
      <c r="E407" s="15">
        <f>52+38</f>
        <v>90</v>
      </c>
      <c r="F407" s="35" t="s">
        <v>9</v>
      </c>
      <c r="G407" s="16">
        <v>897.06</v>
      </c>
      <c r="H407" s="16">
        <v>832</v>
      </c>
      <c r="I407" s="16">
        <v>65.06</v>
      </c>
      <c r="J407" s="17">
        <v>7.82</v>
      </c>
      <c r="K407" s="18">
        <f>20/30</f>
        <v>0.66666666666666663</v>
      </c>
      <c r="L407" s="18">
        <f>1/4</f>
        <v>0.25</v>
      </c>
      <c r="M407" s="19">
        <f t="shared" si="24"/>
        <v>5</v>
      </c>
      <c r="N407" s="44">
        <f t="shared" si="25"/>
        <v>10</v>
      </c>
      <c r="O407" s="44">
        <f t="shared" si="26"/>
        <v>30</v>
      </c>
      <c r="P407" s="22">
        <f t="shared" si="27"/>
        <v>35</v>
      </c>
    </row>
    <row r="408" spans="1:16" x14ac:dyDescent="0.3">
      <c r="A408" s="40">
        <v>407</v>
      </c>
      <c r="C408" s="21">
        <v>516</v>
      </c>
      <c r="D408" s="15" t="s">
        <v>653</v>
      </c>
      <c r="E408" s="17">
        <v>62.5</v>
      </c>
      <c r="F408" s="35" t="s">
        <v>9</v>
      </c>
      <c r="G408" s="16">
        <v>895.12</v>
      </c>
      <c r="H408" s="16">
        <v>0</v>
      </c>
      <c r="I408" s="16">
        <v>895.12</v>
      </c>
      <c r="J408" s="17">
        <v>100</v>
      </c>
      <c r="K408" s="18">
        <v>1</v>
      </c>
      <c r="L408" s="18">
        <f>1/6</f>
        <v>0.16666666666666666</v>
      </c>
      <c r="M408" s="19">
        <f t="shared" si="24"/>
        <v>5.208333333333333</v>
      </c>
      <c r="N408" s="44">
        <f t="shared" si="25"/>
        <v>10.416666666666666</v>
      </c>
      <c r="O408" s="44">
        <f t="shared" si="26"/>
        <v>31.25</v>
      </c>
      <c r="P408" s="22">
        <f t="shared" si="27"/>
        <v>36.458333333333336</v>
      </c>
    </row>
    <row r="409" spans="1:16" x14ac:dyDescent="0.3">
      <c r="A409" s="40">
        <v>408</v>
      </c>
      <c r="C409" s="21">
        <v>2075</v>
      </c>
      <c r="D409" s="15" t="s">
        <v>654</v>
      </c>
      <c r="E409" s="15">
        <v>247</v>
      </c>
      <c r="F409" s="35" t="s">
        <v>9</v>
      </c>
      <c r="G409" s="16">
        <v>893.28</v>
      </c>
      <c r="H409" s="16">
        <v>678.16</v>
      </c>
      <c r="I409" s="16">
        <v>215.12</v>
      </c>
      <c r="J409" s="17">
        <v>31.72</v>
      </c>
      <c r="K409" s="18">
        <f>20/30</f>
        <v>0.66666666666666663</v>
      </c>
      <c r="L409" s="18">
        <f>1/3</f>
        <v>0.33333333333333331</v>
      </c>
      <c r="M409" s="19">
        <f t="shared" si="24"/>
        <v>13.722222222222221</v>
      </c>
      <c r="N409" s="44">
        <f t="shared" si="25"/>
        <v>27.444444444444443</v>
      </c>
      <c r="O409" s="44">
        <f t="shared" si="26"/>
        <v>61.75</v>
      </c>
      <c r="P409" s="22">
        <f t="shared" si="27"/>
        <v>75.472222222222229</v>
      </c>
    </row>
    <row r="410" spans="1:16" x14ac:dyDescent="0.3">
      <c r="A410" s="40">
        <v>409</v>
      </c>
      <c r="C410" s="21">
        <v>1834</v>
      </c>
      <c r="D410" s="15" t="s">
        <v>655</v>
      </c>
      <c r="E410" s="15">
        <v>29</v>
      </c>
      <c r="F410" s="35" t="s">
        <v>9</v>
      </c>
      <c r="G410" s="16">
        <v>890.96</v>
      </c>
      <c r="H410" s="16">
        <v>925.1</v>
      </c>
      <c r="I410" s="16">
        <v>-34.14</v>
      </c>
      <c r="J410" s="17">
        <v>-3.69</v>
      </c>
      <c r="K410" s="18">
        <v>1</v>
      </c>
      <c r="L410" s="18">
        <f>1/6</f>
        <v>0.16666666666666666</v>
      </c>
      <c r="M410" s="19">
        <f t="shared" si="24"/>
        <v>2.4166666666666665</v>
      </c>
      <c r="N410" s="44">
        <f t="shared" si="25"/>
        <v>4.833333333333333</v>
      </c>
      <c r="O410" s="44">
        <f t="shared" si="26"/>
        <v>14.5</v>
      </c>
      <c r="P410" s="22">
        <f t="shared" si="27"/>
        <v>16.916666666666668</v>
      </c>
    </row>
    <row r="411" spans="1:16" x14ac:dyDescent="0.3">
      <c r="A411" s="40">
        <v>410</v>
      </c>
      <c r="C411" s="21">
        <v>601</v>
      </c>
      <c r="D411" s="15" t="s">
        <v>656</v>
      </c>
      <c r="E411" s="15">
        <f>23+22</f>
        <v>45</v>
      </c>
      <c r="F411" s="35" t="s">
        <v>9</v>
      </c>
      <c r="G411" s="16">
        <v>881.38</v>
      </c>
      <c r="H411" s="16">
        <v>874</v>
      </c>
      <c r="I411" s="16">
        <v>7.38</v>
      </c>
      <c r="J411" s="17">
        <v>0.84</v>
      </c>
      <c r="K411" s="18">
        <f>10/30</f>
        <v>0.33333333333333331</v>
      </c>
      <c r="L411" s="18">
        <f>1/12</f>
        <v>8.3333333333333329E-2</v>
      </c>
      <c r="M411" s="19">
        <f t="shared" si="24"/>
        <v>1.25</v>
      </c>
      <c r="N411" s="44">
        <f t="shared" si="25"/>
        <v>2.5</v>
      </c>
      <c r="O411" s="44">
        <f t="shared" si="26"/>
        <v>45</v>
      </c>
      <c r="P411" s="22">
        <f t="shared" si="27"/>
        <v>46.25</v>
      </c>
    </row>
    <row r="412" spans="1:16" x14ac:dyDescent="0.3">
      <c r="A412" s="40">
        <v>411</v>
      </c>
      <c r="C412" s="21">
        <v>3723</v>
      </c>
      <c r="D412" s="15" t="s">
        <v>186</v>
      </c>
      <c r="E412" s="15">
        <v>445</v>
      </c>
      <c r="F412" s="35" t="s">
        <v>9</v>
      </c>
      <c r="G412" s="16">
        <v>880.4</v>
      </c>
      <c r="H412" s="16">
        <v>761.5</v>
      </c>
      <c r="I412" s="16">
        <v>118.9</v>
      </c>
      <c r="J412" s="17">
        <v>15.61</v>
      </c>
      <c r="K412" s="18">
        <v>1</v>
      </c>
      <c r="L412" s="18">
        <f>1/6</f>
        <v>0.16666666666666666</v>
      </c>
      <c r="M412" s="19">
        <f t="shared" si="24"/>
        <v>37.083333333333336</v>
      </c>
      <c r="N412" s="44">
        <f t="shared" si="25"/>
        <v>74.166666666666671</v>
      </c>
      <c r="O412" s="44">
        <f t="shared" si="26"/>
        <v>222.50000000000003</v>
      </c>
      <c r="P412" s="22">
        <f t="shared" si="27"/>
        <v>259.58333333333337</v>
      </c>
    </row>
    <row r="413" spans="1:16" x14ac:dyDescent="0.3">
      <c r="A413" s="40">
        <v>412</v>
      </c>
      <c r="C413" s="21">
        <v>121</v>
      </c>
      <c r="D413" s="15" t="s">
        <v>657</v>
      </c>
      <c r="E413" s="15">
        <v>45</v>
      </c>
      <c r="F413" s="35" t="s">
        <v>9</v>
      </c>
      <c r="G413" s="16">
        <v>876.52</v>
      </c>
      <c r="H413" s="16">
        <v>446</v>
      </c>
      <c r="I413" s="16">
        <v>430.52</v>
      </c>
      <c r="J413" s="17">
        <v>96.53</v>
      </c>
      <c r="K413" s="18">
        <f>10/30</f>
        <v>0.33333333333333331</v>
      </c>
      <c r="L413" s="18">
        <f>1/2</f>
        <v>0.5</v>
      </c>
      <c r="M413" s="19">
        <f t="shared" si="24"/>
        <v>1.25</v>
      </c>
      <c r="N413" s="44">
        <f t="shared" si="25"/>
        <v>2.5</v>
      </c>
      <c r="O413" s="44">
        <f t="shared" si="26"/>
        <v>7.5</v>
      </c>
      <c r="P413" s="22">
        <f t="shared" si="27"/>
        <v>8.75</v>
      </c>
    </row>
    <row r="414" spans="1:16" x14ac:dyDescent="0.3">
      <c r="A414" s="40">
        <v>413</v>
      </c>
      <c r="C414" s="21">
        <v>502</v>
      </c>
      <c r="D414" s="15" t="s">
        <v>658</v>
      </c>
      <c r="E414" s="15">
        <v>2</v>
      </c>
      <c r="F414" s="35" t="s">
        <v>9</v>
      </c>
      <c r="G414" s="16">
        <v>872.26</v>
      </c>
      <c r="H414" s="16">
        <v>0</v>
      </c>
      <c r="I414" s="16">
        <v>872.26</v>
      </c>
      <c r="J414" s="17">
        <v>100</v>
      </c>
      <c r="K414" s="18">
        <v>1</v>
      </c>
      <c r="L414" s="18">
        <f>1/6</f>
        <v>0.16666666666666666</v>
      </c>
      <c r="M414" s="19">
        <f t="shared" si="24"/>
        <v>0.16666666666666666</v>
      </c>
      <c r="N414" s="44">
        <f t="shared" si="25"/>
        <v>0.33333333333333331</v>
      </c>
      <c r="O414" s="44">
        <f t="shared" si="26"/>
        <v>1</v>
      </c>
      <c r="P414" s="22">
        <f t="shared" si="27"/>
        <v>1.1666666666666667</v>
      </c>
    </row>
    <row r="415" spans="1:16" x14ac:dyDescent="0.3">
      <c r="A415" s="40">
        <v>414</v>
      </c>
      <c r="C415" s="21">
        <v>1038</v>
      </c>
      <c r="D415" s="15" t="s">
        <v>659</v>
      </c>
      <c r="E415" s="15">
        <v>10663</v>
      </c>
      <c r="F415" s="35" t="s">
        <v>9</v>
      </c>
      <c r="G415" s="16">
        <v>868.22</v>
      </c>
      <c r="H415" s="16">
        <v>938.66</v>
      </c>
      <c r="I415" s="16">
        <v>-70.44</v>
      </c>
      <c r="J415" s="17">
        <v>-7.5</v>
      </c>
      <c r="K415" s="18">
        <v>1</v>
      </c>
      <c r="L415" s="18">
        <f>1/4</f>
        <v>0.25</v>
      </c>
      <c r="M415" s="19">
        <f t="shared" si="24"/>
        <v>888.58333333333337</v>
      </c>
      <c r="N415" s="44">
        <f t="shared" si="25"/>
        <v>1777.1666666666667</v>
      </c>
      <c r="O415" s="44">
        <f t="shared" si="26"/>
        <v>3554.3333333333335</v>
      </c>
      <c r="P415" s="22">
        <f t="shared" si="27"/>
        <v>4442.916666666667</v>
      </c>
    </row>
    <row r="416" spans="1:16" x14ac:dyDescent="0.3">
      <c r="A416" s="40">
        <v>415</v>
      </c>
      <c r="C416" s="21">
        <v>1577</v>
      </c>
      <c r="D416" s="15" t="s">
        <v>660</v>
      </c>
      <c r="E416" s="15">
        <v>183</v>
      </c>
      <c r="F416" s="35" t="s">
        <v>9</v>
      </c>
      <c r="G416" s="16">
        <v>857.62</v>
      </c>
      <c r="H416" s="16">
        <v>905.85</v>
      </c>
      <c r="I416" s="16">
        <v>-48.23</v>
      </c>
      <c r="J416" s="17">
        <v>-5.32</v>
      </c>
      <c r="K416" s="18">
        <f>20/30</f>
        <v>0.66666666666666663</v>
      </c>
      <c r="L416" s="18">
        <f>1/3</f>
        <v>0.33333333333333331</v>
      </c>
      <c r="M416" s="19">
        <f t="shared" si="24"/>
        <v>10.166666666666666</v>
      </c>
      <c r="N416" s="44">
        <f t="shared" si="25"/>
        <v>20.333333333333332</v>
      </c>
      <c r="O416" s="44">
        <f t="shared" si="26"/>
        <v>45.75</v>
      </c>
      <c r="P416" s="22">
        <f t="shared" si="27"/>
        <v>55.916666666666664</v>
      </c>
    </row>
    <row r="417" spans="1:16" x14ac:dyDescent="0.3">
      <c r="A417" s="40">
        <v>416</v>
      </c>
      <c r="C417" s="21">
        <v>1088</v>
      </c>
      <c r="D417" s="15" t="s">
        <v>661</v>
      </c>
      <c r="E417" s="15">
        <v>26</v>
      </c>
      <c r="F417" s="35" t="s">
        <v>9</v>
      </c>
      <c r="G417" s="16">
        <v>857.43</v>
      </c>
      <c r="H417" s="16">
        <v>581.4</v>
      </c>
      <c r="I417" s="16">
        <v>276.02999999999997</v>
      </c>
      <c r="J417" s="17">
        <v>47.48</v>
      </c>
      <c r="K417" s="18">
        <f>20/30</f>
        <v>0.66666666666666663</v>
      </c>
      <c r="L417" s="18">
        <f>1/6</f>
        <v>0.16666666666666666</v>
      </c>
      <c r="M417" s="19">
        <f t="shared" si="24"/>
        <v>1.4444444444444442</v>
      </c>
      <c r="N417" s="44">
        <f t="shared" si="25"/>
        <v>2.8888888888888884</v>
      </c>
      <c r="O417" s="44">
        <f t="shared" si="26"/>
        <v>13</v>
      </c>
      <c r="P417" s="22">
        <f t="shared" si="27"/>
        <v>14.444444444444445</v>
      </c>
    </row>
    <row r="418" spans="1:16" x14ac:dyDescent="0.3">
      <c r="A418" s="40">
        <v>417</v>
      </c>
      <c r="C418" s="21">
        <v>2996</v>
      </c>
      <c r="D418" s="15" t="s">
        <v>46</v>
      </c>
      <c r="E418" s="15">
        <v>2</v>
      </c>
      <c r="F418" s="35" t="s">
        <v>9</v>
      </c>
      <c r="G418" s="16">
        <v>854.72</v>
      </c>
      <c r="H418" s="16">
        <v>950</v>
      </c>
      <c r="I418" s="16">
        <v>-95.28</v>
      </c>
      <c r="J418" s="17">
        <v>-10.029999999999999</v>
      </c>
      <c r="K418" s="18">
        <v>1</v>
      </c>
      <c r="L418" s="18">
        <f>1/12</f>
        <v>8.3333333333333329E-2</v>
      </c>
      <c r="M418" s="19">
        <f t="shared" si="24"/>
        <v>0.16666666666666666</v>
      </c>
      <c r="N418" s="44">
        <f t="shared" si="25"/>
        <v>0.33333333333333331</v>
      </c>
      <c r="O418" s="44">
        <f t="shared" si="26"/>
        <v>2</v>
      </c>
      <c r="P418" s="22">
        <f t="shared" si="27"/>
        <v>2.1666666666666665</v>
      </c>
    </row>
    <row r="419" spans="1:16" x14ac:dyDescent="0.3">
      <c r="A419" s="40">
        <v>418</v>
      </c>
      <c r="C419" s="21">
        <v>694</v>
      </c>
      <c r="D419" s="15" t="s">
        <v>662</v>
      </c>
      <c r="E419" s="17">
        <v>103.24</v>
      </c>
      <c r="F419" s="35" t="s">
        <v>16</v>
      </c>
      <c r="G419" s="16">
        <v>848.96</v>
      </c>
      <c r="H419" s="16">
        <v>877.54</v>
      </c>
      <c r="I419" s="16">
        <v>-28.58</v>
      </c>
      <c r="J419" s="17">
        <v>-3.26</v>
      </c>
      <c r="K419" s="18">
        <v>1</v>
      </c>
      <c r="L419" s="18">
        <f>1/4</f>
        <v>0.25</v>
      </c>
      <c r="M419" s="19">
        <f t="shared" si="24"/>
        <v>8.6033333333333335</v>
      </c>
      <c r="N419" s="44">
        <f t="shared" si="25"/>
        <v>17.206666666666667</v>
      </c>
      <c r="O419" s="44">
        <f t="shared" si="26"/>
        <v>34.413333333333334</v>
      </c>
      <c r="P419" s="22">
        <f t="shared" si="27"/>
        <v>43.016666666666666</v>
      </c>
    </row>
    <row r="420" spans="1:16" x14ac:dyDescent="0.3">
      <c r="A420" s="40">
        <v>419</v>
      </c>
      <c r="C420" s="21">
        <v>4506</v>
      </c>
      <c r="D420" s="15" t="s">
        <v>663</v>
      </c>
      <c r="E420" s="15">
        <v>238</v>
      </c>
      <c r="F420" s="35" t="s">
        <v>9</v>
      </c>
      <c r="G420" s="16">
        <v>848.02</v>
      </c>
      <c r="H420" s="16">
        <v>726.6</v>
      </c>
      <c r="I420" s="16">
        <v>121.42</v>
      </c>
      <c r="J420" s="17">
        <v>16.71</v>
      </c>
      <c r="K420" s="18">
        <f>15/30</f>
        <v>0.5</v>
      </c>
      <c r="L420" s="18">
        <f>1/3</f>
        <v>0.33333333333333331</v>
      </c>
      <c r="M420" s="19">
        <f t="shared" si="24"/>
        <v>9.9166666666666661</v>
      </c>
      <c r="N420" s="44">
        <f t="shared" si="25"/>
        <v>19.833333333333332</v>
      </c>
      <c r="O420" s="44">
        <f t="shared" si="26"/>
        <v>59.5</v>
      </c>
      <c r="P420" s="22">
        <f t="shared" si="27"/>
        <v>69.416666666666671</v>
      </c>
    </row>
    <row r="421" spans="1:16" x14ac:dyDescent="0.3">
      <c r="A421" s="40">
        <v>420</v>
      </c>
      <c r="C421" s="47">
        <v>167</v>
      </c>
      <c r="D421" s="15" t="s">
        <v>398</v>
      </c>
      <c r="E421" s="15">
        <v>10</v>
      </c>
      <c r="F421" s="35" t="s">
        <v>9</v>
      </c>
      <c r="G421" s="16">
        <v>847.86</v>
      </c>
      <c r="H421" s="16">
        <v>485.2</v>
      </c>
      <c r="I421" s="16">
        <v>362.66</v>
      </c>
      <c r="J421" s="17">
        <v>74.739999999999995</v>
      </c>
      <c r="K421" s="18">
        <f>25/30</f>
        <v>0.83333333333333337</v>
      </c>
      <c r="L421" s="18">
        <f>1/4</f>
        <v>0.25</v>
      </c>
      <c r="M421" s="19">
        <f t="shared" si="24"/>
        <v>0.69444444444444453</v>
      </c>
      <c r="N421" s="44">
        <f t="shared" si="25"/>
        <v>1.3888888888888891</v>
      </c>
      <c r="O421" s="44">
        <f t="shared" si="26"/>
        <v>3.3333333333333335</v>
      </c>
      <c r="P421" s="22">
        <f t="shared" si="27"/>
        <v>4.0277777777777777</v>
      </c>
    </row>
    <row r="422" spans="1:16" x14ac:dyDescent="0.3">
      <c r="A422" s="40">
        <v>421</v>
      </c>
      <c r="C422" s="21">
        <v>799</v>
      </c>
      <c r="D422" s="15" t="s">
        <v>664</v>
      </c>
      <c r="E422" s="15">
        <v>5</v>
      </c>
      <c r="F422" s="35" t="s">
        <v>9</v>
      </c>
      <c r="G422" s="16">
        <v>844.98</v>
      </c>
      <c r="H422" s="16">
        <v>495</v>
      </c>
      <c r="I422" s="16">
        <v>349.98</v>
      </c>
      <c r="J422" s="17">
        <v>70.7</v>
      </c>
      <c r="K422" s="18">
        <v>1</v>
      </c>
      <c r="L422" s="18">
        <f>1/6</f>
        <v>0.16666666666666666</v>
      </c>
      <c r="M422" s="19">
        <f t="shared" si="24"/>
        <v>0.41666666666666669</v>
      </c>
      <c r="N422" s="44">
        <f t="shared" si="25"/>
        <v>0.83333333333333337</v>
      </c>
      <c r="O422" s="44">
        <f t="shared" si="26"/>
        <v>2.5000000000000004</v>
      </c>
      <c r="P422" s="22">
        <f t="shared" si="27"/>
        <v>2.916666666666667</v>
      </c>
    </row>
    <row r="423" spans="1:16" x14ac:dyDescent="0.3">
      <c r="A423" s="40">
        <v>422</v>
      </c>
      <c r="C423" s="21">
        <v>4931</v>
      </c>
      <c r="D423" s="15" t="s">
        <v>665</v>
      </c>
      <c r="E423" s="15">
        <v>1</v>
      </c>
      <c r="F423" s="35" t="s">
        <v>9</v>
      </c>
      <c r="G423" s="16">
        <v>844</v>
      </c>
      <c r="H423" s="16">
        <v>610</v>
      </c>
      <c r="I423" s="16">
        <v>234</v>
      </c>
      <c r="J423" s="17">
        <v>38.36</v>
      </c>
      <c r="K423" s="18">
        <v>1</v>
      </c>
      <c r="L423" s="18">
        <f>1/12</f>
        <v>8.3333333333333329E-2</v>
      </c>
      <c r="M423" s="19">
        <f t="shared" si="24"/>
        <v>8.3333333333333329E-2</v>
      </c>
      <c r="N423" s="44">
        <f t="shared" si="25"/>
        <v>0.16666666666666666</v>
      </c>
      <c r="O423" s="44">
        <f t="shared" si="26"/>
        <v>1</v>
      </c>
      <c r="P423" s="22">
        <f t="shared" si="27"/>
        <v>1.0833333333333333</v>
      </c>
    </row>
    <row r="424" spans="1:16" x14ac:dyDescent="0.3">
      <c r="A424" s="40">
        <v>423</v>
      </c>
      <c r="C424" s="21">
        <v>727</v>
      </c>
      <c r="D424" s="15" t="s">
        <v>666</v>
      </c>
      <c r="E424" s="15">
        <v>6</v>
      </c>
      <c r="F424" s="35" t="s">
        <v>9</v>
      </c>
      <c r="G424" s="16">
        <v>842.27</v>
      </c>
      <c r="H424" s="16">
        <v>0</v>
      </c>
      <c r="I424" s="16">
        <v>842.27</v>
      </c>
      <c r="J424" s="17">
        <v>100</v>
      </c>
      <c r="K424" s="18">
        <f>10/30</f>
        <v>0.33333333333333331</v>
      </c>
      <c r="L424" s="18">
        <f>1/3</f>
        <v>0.33333333333333331</v>
      </c>
      <c r="M424" s="19">
        <f t="shared" si="24"/>
        <v>0.16666666666666666</v>
      </c>
      <c r="N424" s="44">
        <f t="shared" si="25"/>
        <v>0.33333333333333331</v>
      </c>
      <c r="O424" s="44">
        <f t="shared" si="26"/>
        <v>1.5</v>
      </c>
      <c r="P424" s="22">
        <f t="shared" si="27"/>
        <v>1.6666666666666667</v>
      </c>
    </row>
    <row r="425" spans="1:16" x14ac:dyDescent="0.3">
      <c r="A425" s="40">
        <v>424</v>
      </c>
      <c r="C425" s="21">
        <v>5032</v>
      </c>
      <c r="D425" s="15" t="s">
        <v>667</v>
      </c>
      <c r="E425" s="15">
        <v>9</v>
      </c>
      <c r="F425" s="35" t="s">
        <v>9</v>
      </c>
      <c r="G425" s="16">
        <v>841.91</v>
      </c>
      <c r="H425" s="16">
        <v>945</v>
      </c>
      <c r="I425" s="16">
        <v>-103.09</v>
      </c>
      <c r="J425" s="17">
        <v>-10.91</v>
      </c>
      <c r="K425" s="18">
        <v>1</v>
      </c>
      <c r="L425" s="18">
        <f>1/6</f>
        <v>0.16666666666666666</v>
      </c>
      <c r="M425" s="19">
        <f t="shared" si="24"/>
        <v>0.75</v>
      </c>
      <c r="N425" s="44">
        <f t="shared" si="25"/>
        <v>1.5</v>
      </c>
      <c r="O425" s="44">
        <f t="shared" si="26"/>
        <v>4.5</v>
      </c>
      <c r="P425" s="22">
        <f t="shared" si="27"/>
        <v>5.25</v>
      </c>
    </row>
    <row r="426" spans="1:16" x14ac:dyDescent="0.3">
      <c r="A426" s="40">
        <v>425</v>
      </c>
      <c r="C426" s="21">
        <v>347</v>
      </c>
      <c r="D426" s="15" t="s">
        <v>668</v>
      </c>
      <c r="E426" s="17">
        <v>103.5</v>
      </c>
      <c r="F426" s="35" t="s">
        <v>12</v>
      </c>
      <c r="G426" s="16">
        <v>838.99</v>
      </c>
      <c r="H426" s="16">
        <v>776.25</v>
      </c>
      <c r="I426" s="16">
        <v>62.74</v>
      </c>
      <c r="J426" s="17">
        <v>8.08</v>
      </c>
      <c r="K426" s="18">
        <f>15/30</f>
        <v>0.5</v>
      </c>
      <c r="L426" s="18">
        <f>1/5</f>
        <v>0.2</v>
      </c>
      <c r="M426" s="19">
        <f t="shared" si="24"/>
        <v>4.3125</v>
      </c>
      <c r="N426" s="44">
        <f t="shared" si="25"/>
        <v>8.625</v>
      </c>
      <c r="O426" s="44">
        <f t="shared" si="26"/>
        <v>43.125</v>
      </c>
      <c r="P426" s="22">
        <f t="shared" si="27"/>
        <v>47.4375</v>
      </c>
    </row>
    <row r="427" spans="1:16" x14ac:dyDescent="0.3">
      <c r="A427" s="40">
        <v>426</v>
      </c>
      <c r="C427" s="21">
        <v>4568</v>
      </c>
      <c r="D427" s="15" t="s">
        <v>669</v>
      </c>
      <c r="E427" s="15">
        <v>3</v>
      </c>
      <c r="F427" s="35" t="s">
        <v>9</v>
      </c>
      <c r="G427" s="16">
        <v>838.1</v>
      </c>
      <c r="H427" s="16">
        <v>825</v>
      </c>
      <c r="I427" s="16">
        <v>13.1</v>
      </c>
      <c r="J427" s="17">
        <v>1.59</v>
      </c>
      <c r="K427" s="18">
        <v>1</v>
      </c>
      <c r="L427" s="18">
        <f>1/12</f>
        <v>8.3333333333333329E-2</v>
      </c>
      <c r="M427" s="19">
        <f t="shared" si="24"/>
        <v>0.25</v>
      </c>
      <c r="N427" s="44">
        <f t="shared" si="25"/>
        <v>0.5</v>
      </c>
      <c r="O427" s="44">
        <f t="shared" si="26"/>
        <v>3</v>
      </c>
      <c r="P427" s="22">
        <f t="shared" si="27"/>
        <v>3.25</v>
      </c>
    </row>
    <row r="428" spans="1:16" x14ac:dyDescent="0.3">
      <c r="A428" s="40">
        <v>427</v>
      </c>
      <c r="C428" s="21">
        <v>282</v>
      </c>
      <c r="D428" s="15" t="s">
        <v>670</v>
      </c>
      <c r="E428" s="15">
        <v>2</v>
      </c>
      <c r="F428" s="35" t="s">
        <v>9</v>
      </c>
      <c r="G428" s="16">
        <v>837.54</v>
      </c>
      <c r="H428" s="16">
        <v>599.84</v>
      </c>
      <c r="I428" s="16">
        <v>237.7</v>
      </c>
      <c r="J428" s="17">
        <v>39.630000000000003</v>
      </c>
      <c r="K428" s="18">
        <v>1</v>
      </c>
      <c r="L428" s="18">
        <f>1/6</f>
        <v>0.16666666666666666</v>
      </c>
      <c r="M428" s="19">
        <f t="shared" si="24"/>
        <v>0.16666666666666666</v>
      </c>
      <c r="N428" s="44">
        <f t="shared" si="25"/>
        <v>0.33333333333333331</v>
      </c>
      <c r="O428" s="44">
        <f t="shared" si="26"/>
        <v>1</v>
      </c>
      <c r="P428" s="22">
        <f t="shared" si="27"/>
        <v>1.1666666666666667</v>
      </c>
    </row>
    <row r="429" spans="1:16" x14ac:dyDescent="0.3">
      <c r="A429" s="40">
        <v>428</v>
      </c>
      <c r="C429" s="21">
        <v>1867</v>
      </c>
      <c r="D429" s="15" t="s">
        <v>154</v>
      </c>
      <c r="E429" s="15">
        <v>13</v>
      </c>
      <c r="F429" s="35" t="s">
        <v>9</v>
      </c>
      <c r="G429" s="16">
        <v>836.61</v>
      </c>
      <c r="H429" s="16">
        <v>533</v>
      </c>
      <c r="I429" s="16">
        <v>303.61</v>
      </c>
      <c r="J429" s="17">
        <v>56.96</v>
      </c>
      <c r="K429" s="18">
        <f>25/30</f>
        <v>0.83333333333333337</v>
      </c>
      <c r="L429" s="18">
        <f>1/4</f>
        <v>0.25</v>
      </c>
      <c r="M429" s="19">
        <f t="shared" si="24"/>
        <v>0.90277777777777779</v>
      </c>
      <c r="N429" s="44">
        <f t="shared" si="25"/>
        <v>1.8055555555555556</v>
      </c>
      <c r="O429" s="44">
        <f t="shared" si="26"/>
        <v>4.333333333333333</v>
      </c>
      <c r="P429" s="22">
        <f t="shared" si="27"/>
        <v>5.2361111111111107</v>
      </c>
    </row>
    <row r="430" spans="1:16" x14ac:dyDescent="0.3">
      <c r="A430" s="40">
        <v>429</v>
      </c>
      <c r="C430" s="21">
        <v>224</v>
      </c>
      <c r="D430" s="15" t="s">
        <v>671</v>
      </c>
      <c r="E430" s="15">
        <v>39</v>
      </c>
      <c r="F430" s="35" t="s">
        <v>9</v>
      </c>
      <c r="G430" s="16">
        <v>829.25</v>
      </c>
      <c r="H430" s="16">
        <v>696.95</v>
      </c>
      <c r="I430" s="16">
        <v>132.30000000000001</v>
      </c>
      <c r="J430" s="17">
        <v>18.98</v>
      </c>
      <c r="K430" s="18">
        <f>25/30</f>
        <v>0.83333333333333337</v>
      </c>
      <c r="L430" s="18">
        <f>1/4</f>
        <v>0.25</v>
      </c>
      <c r="M430" s="19">
        <f t="shared" si="24"/>
        <v>2.7083333333333335</v>
      </c>
      <c r="N430" s="44">
        <f t="shared" si="25"/>
        <v>5.416666666666667</v>
      </c>
      <c r="O430" s="44">
        <f t="shared" si="26"/>
        <v>13</v>
      </c>
      <c r="P430" s="22">
        <f t="shared" si="27"/>
        <v>15.708333333333334</v>
      </c>
    </row>
    <row r="431" spans="1:16" x14ac:dyDescent="0.3">
      <c r="A431" s="40">
        <v>430</v>
      </c>
      <c r="C431" s="21">
        <v>5114</v>
      </c>
      <c r="D431" s="15" t="s">
        <v>672</v>
      </c>
      <c r="E431" s="15">
        <v>51</v>
      </c>
      <c r="F431" s="35" t="s">
        <v>9</v>
      </c>
      <c r="G431" s="16">
        <v>828.31</v>
      </c>
      <c r="H431" s="16">
        <v>612</v>
      </c>
      <c r="I431" s="16">
        <v>216.31</v>
      </c>
      <c r="J431" s="17">
        <v>35.340000000000003</v>
      </c>
      <c r="K431" s="18">
        <f>10/30</f>
        <v>0.33333333333333331</v>
      </c>
      <c r="L431" s="18">
        <f>1/3</f>
        <v>0.33333333333333331</v>
      </c>
      <c r="M431" s="19">
        <f t="shared" si="24"/>
        <v>1.4166666666666665</v>
      </c>
      <c r="N431" s="44">
        <f t="shared" si="25"/>
        <v>2.833333333333333</v>
      </c>
      <c r="O431" s="44">
        <f t="shared" si="26"/>
        <v>12.75</v>
      </c>
      <c r="P431" s="22">
        <f t="shared" si="27"/>
        <v>14.166666666666666</v>
      </c>
    </row>
    <row r="432" spans="1:16" x14ac:dyDescent="0.3">
      <c r="A432" s="40">
        <v>431</v>
      </c>
      <c r="C432" s="21">
        <v>730</v>
      </c>
      <c r="D432" s="15" t="s">
        <v>673</v>
      </c>
      <c r="E432" s="15">
        <v>6</v>
      </c>
      <c r="F432" s="35" t="s">
        <v>9</v>
      </c>
      <c r="G432" s="16">
        <v>826.01</v>
      </c>
      <c r="H432" s="16">
        <v>0</v>
      </c>
      <c r="I432" s="16">
        <v>826.01</v>
      </c>
      <c r="J432" s="17">
        <v>100</v>
      </c>
      <c r="K432" s="18">
        <f>10/30</f>
        <v>0.33333333333333331</v>
      </c>
      <c r="L432" s="18">
        <f>1/3</f>
        <v>0.33333333333333331</v>
      </c>
      <c r="M432" s="19">
        <f t="shared" si="24"/>
        <v>0.16666666666666666</v>
      </c>
      <c r="N432" s="44">
        <f t="shared" si="25"/>
        <v>0.33333333333333331</v>
      </c>
      <c r="O432" s="44">
        <f t="shared" si="26"/>
        <v>1.5</v>
      </c>
      <c r="P432" s="22">
        <f t="shared" si="27"/>
        <v>1.6666666666666667</v>
      </c>
    </row>
    <row r="433" spans="1:16" x14ac:dyDescent="0.3">
      <c r="A433" s="40">
        <v>432</v>
      </c>
      <c r="C433" s="47">
        <v>3</v>
      </c>
      <c r="D433" s="15" t="s">
        <v>674</v>
      </c>
      <c r="E433" s="15">
        <v>119</v>
      </c>
      <c r="F433" s="35" t="s">
        <v>9</v>
      </c>
      <c r="G433" s="16">
        <v>823.56</v>
      </c>
      <c r="H433" s="16">
        <v>474.3</v>
      </c>
      <c r="I433" s="16">
        <v>349.26</v>
      </c>
      <c r="J433" s="17">
        <v>73.64</v>
      </c>
      <c r="K433" s="18">
        <f>20/30</f>
        <v>0.66666666666666663</v>
      </c>
      <c r="L433" s="18">
        <f>1/3</f>
        <v>0.33333333333333331</v>
      </c>
      <c r="M433" s="19">
        <f t="shared" si="24"/>
        <v>6.6111111111111107</v>
      </c>
      <c r="N433" s="44">
        <f t="shared" si="25"/>
        <v>13.222222222222221</v>
      </c>
      <c r="O433" s="44">
        <f t="shared" si="26"/>
        <v>29.75</v>
      </c>
      <c r="P433" s="22">
        <f t="shared" si="27"/>
        <v>36.361111111111114</v>
      </c>
    </row>
    <row r="434" spans="1:16" x14ac:dyDescent="0.3">
      <c r="A434" s="40">
        <v>433</v>
      </c>
      <c r="C434" s="21">
        <v>607</v>
      </c>
      <c r="D434" s="15" t="s">
        <v>675</v>
      </c>
      <c r="E434" s="15">
        <v>15</v>
      </c>
      <c r="F434" s="35" t="s">
        <v>34</v>
      </c>
      <c r="G434" s="16">
        <v>821.85</v>
      </c>
      <c r="H434" s="16">
        <v>834.9</v>
      </c>
      <c r="I434" s="16">
        <v>-13.05</v>
      </c>
      <c r="J434" s="17">
        <v>-1.56</v>
      </c>
      <c r="K434" s="18">
        <f>10/30</f>
        <v>0.33333333333333331</v>
      </c>
      <c r="L434" s="18">
        <f>1/3</f>
        <v>0.33333333333333331</v>
      </c>
      <c r="M434" s="19">
        <f t="shared" si="24"/>
        <v>0.41666666666666663</v>
      </c>
      <c r="N434" s="44">
        <f t="shared" si="25"/>
        <v>0.83333333333333326</v>
      </c>
      <c r="O434" s="44">
        <f t="shared" si="26"/>
        <v>3.75</v>
      </c>
      <c r="P434" s="22">
        <f t="shared" si="27"/>
        <v>4.166666666666667</v>
      </c>
    </row>
    <row r="435" spans="1:16" x14ac:dyDescent="0.3">
      <c r="A435" s="40">
        <v>434</v>
      </c>
      <c r="C435" s="21">
        <v>4336</v>
      </c>
      <c r="D435" s="15" t="s">
        <v>290</v>
      </c>
      <c r="E435" s="15">
        <f>69+55</f>
        <v>124</v>
      </c>
      <c r="F435" s="35" t="s">
        <v>9</v>
      </c>
      <c r="G435" s="16">
        <v>813.63</v>
      </c>
      <c r="H435" s="16">
        <v>608.54999999999995</v>
      </c>
      <c r="I435" s="16">
        <v>205.08</v>
      </c>
      <c r="J435" s="17">
        <v>33.700000000000003</v>
      </c>
      <c r="K435" s="18">
        <f>25/30</f>
        <v>0.83333333333333337</v>
      </c>
      <c r="L435" s="18">
        <f>1/4</f>
        <v>0.25</v>
      </c>
      <c r="M435" s="19">
        <f t="shared" si="24"/>
        <v>8.6111111111111125</v>
      </c>
      <c r="N435" s="44">
        <f t="shared" si="25"/>
        <v>17.222222222222225</v>
      </c>
      <c r="O435" s="44">
        <f t="shared" si="26"/>
        <v>41.333333333333336</v>
      </c>
      <c r="P435" s="22">
        <f t="shared" si="27"/>
        <v>49.94444444444445</v>
      </c>
    </row>
    <row r="436" spans="1:16" x14ac:dyDescent="0.3">
      <c r="A436" s="40">
        <v>435</v>
      </c>
      <c r="C436" s="21">
        <v>760</v>
      </c>
      <c r="D436" s="15" t="s">
        <v>676</v>
      </c>
      <c r="E436" s="15">
        <v>52</v>
      </c>
      <c r="F436" s="35" t="s">
        <v>9</v>
      </c>
      <c r="G436" s="16">
        <v>812.47</v>
      </c>
      <c r="H436" s="16">
        <v>965.1</v>
      </c>
      <c r="I436" s="16">
        <v>-152.63</v>
      </c>
      <c r="J436" s="17">
        <v>-15.81</v>
      </c>
      <c r="K436" s="18">
        <f>15/30</f>
        <v>0.5</v>
      </c>
      <c r="L436" s="18">
        <f>1/3</f>
        <v>0.33333333333333331</v>
      </c>
      <c r="M436" s="19">
        <f t="shared" si="24"/>
        <v>2.1666666666666665</v>
      </c>
      <c r="N436" s="44">
        <f t="shared" si="25"/>
        <v>4.333333333333333</v>
      </c>
      <c r="O436" s="44">
        <f t="shared" si="26"/>
        <v>13</v>
      </c>
      <c r="P436" s="22">
        <f t="shared" si="27"/>
        <v>15.166666666666666</v>
      </c>
    </row>
    <row r="437" spans="1:16" x14ac:dyDescent="0.3">
      <c r="A437" s="40">
        <v>436</v>
      </c>
      <c r="C437" s="21">
        <v>4825</v>
      </c>
      <c r="D437" s="15" t="s">
        <v>677</v>
      </c>
      <c r="E437" s="15">
        <v>5</v>
      </c>
      <c r="F437" s="35" t="s">
        <v>25</v>
      </c>
      <c r="G437" s="16">
        <v>811.4</v>
      </c>
      <c r="H437" s="16">
        <v>635</v>
      </c>
      <c r="I437" s="16">
        <v>176.4</v>
      </c>
      <c r="J437" s="17">
        <v>27.78</v>
      </c>
      <c r="K437" s="18">
        <f>10/30</f>
        <v>0.33333333333333331</v>
      </c>
      <c r="L437" s="18">
        <f>1/3</f>
        <v>0.33333333333333331</v>
      </c>
      <c r="M437" s="19">
        <f t="shared" si="24"/>
        <v>0.1388888888888889</v>
      </c>
      <c r="N437" s="44">
        <f t="shared" si="25"/>
        <v>0.27777777777777779</v>
      </c>
      <c r="O437" s="44">
        <f t="shared" si="26"/>
        <v>1.2500000000000002</v>
      </c>
      <c r="P437" s="22">
        <f t="shared" si="27"/>
        <v>1.3888888888888891</v>
      </c>
    </row>
    <row r="438" spans="1:16" x14ac:dyDescent="0.3">
      <c r="A438" s="40">
        <v>437</v>
      </c>
      <c r="C438" s="21">
        <v>4797</v>
      </c>
      <c r="D438" s="15" t="s">
        <v>678</v>
      </c>
      <c r="E438" s="15">
        <v>2</v>
      </c>
      <c r="F438" s="35" t="s">
        <v>9</v>
      </c>
      <c r="G438" s="16">
        <v>809.97</v>
      </c>
      <c r="H438" s="16">
        <v>870</v>
      </c>
      <c r="I438" s="16">
        <v>-60.03</v>
      </c>
      <c r="J438" s="17">
        <v>-6.9</v>
      </c>
      <c r="K438" s="18">
        <v>1</v>
      </c>
      <c r="L438" s="18">
        <f>1/12</f>
        <v>8.3333333333333329E-2</v>
      </c>
      <c r="M438" s="19">
        <f t="shared" si="24"/>
        <v>0.16666666666666666</v>
      </c>
      <c r="N438" s="44">
        <f t="shared" si="25"/>
        <v>0.33333333333333331</v>
      </c>
      <c r="O438" s="44">
        <f t="shared" si="26"/>
        <v>2</v>
      </c>
      <c r="P438" s="22">
        <f t="shared" si="27"/>
        <v>2.1666666666666665</v>
      </c>
    </row>
    <row r="439" spans="1:16" x14ac:dyDescent="0.3">
      <c r="A439" s="40">
        <v>438</v>
      </c>
      <c r="C439" s="21">
        <v>1840</v>
      </c>
      <c r="D439" s="15" t="s">
        <v>679</v>
      </c>
      <c r="E439" s="15">
        <v>19</v>
      </c>
      <c r="F439" s="35" t="s">
        <v>9</v>
      </c>
      <c r="G439" s="16">
        <v>809.18</v>
      </c>
      <c r="H439" s="16">
        <v>893</v>
      </c>
      <c r="I439" s="16">
        <v>-83.82</v>
      </c>
      <c r="J439" s="17">
        <v>-9.39</v>
      </c>
      <c r="K439" s="18">
        <v>1</v>
      </c>
      <c r="L439" s="18">
        <f>1/6</f>
        <v>0.16666666666666666</v>
      </c>
      <c r="M439" s="19">
        <f t="shared" si="24"/>
        <v>1.5833333333333333</v>
      </c>
      <c r="N439" s="44">
        <f t="shared" si="25"/>
        <v>3.1666666666666665</v>
      </c>
      <c r="O439" s="44">
        <f t="shared" si="26"/>
        <v>9.5</v>
      </c>
      <c r="P439" s="22">
        <f t="shared" si="27"/>
        <v>11.083333333333334</v>
      </c>
    </row>
    <row r="440" spans="1:16" x14ac:dyDescent="0.3">
      <c r="A440" s="40">
        <v>439</v>
      </c>
      <c r="C440" s="21">
        <v>453</v>
      </c>
      <c r="D440" s="15" t="s">
        <v>161</v>
      </c>
      <c r="E440" s="15">
        <v>7</v>
      </c>
      <c r="F440" s="35" t="s">
        <v>9</v>
      </c>
      <c r="G440" s="16">
        <v>806.7</v>
      </c>
      <c r="H440" s="16">
        <v>165.6</v>
      </c>
      <c r="I440" s="16">
        <v>641.1</v>
      </c>
      <c r="J440" s="17">
        <v>387.14</v>
      </c>
      <c r="K440" s="18">
        <v>1</v>
      </c>
      <c r="L440" s="18">
        <f>1/6</f>
        <v>0.16666666666666666</v>
      </c>
      <c r="M440" s="19">
        <f t="shared" si="24"/>
        <v>0.58333333333333337</v>
      </c>
      <c r="N440" s="44">
        <f t="shared" si="25"/>
        <v>1.1666666666666667</v>
      </c>
      <c r="O440" s="44">
        <f t="shared" si="26"/>
        <v>3.5000000000000004</v>
      </c>
      <c r="P440" s="22">
        <f t="shared" si="27"/>
        <v>4.0833333333333339</v>
      </c>
    </row>
    <row r="441" spans="1:16" x14ac:dyDescent="0.3">
      <c r="A441" s="40">
        <v>440</v>
      </c>
      <c r="C441" s="21">
        <v>722</v>
      </c>
      <c r="D441" s="15" t="s">
        <v>680</v>
      </c>
      <c r="E441" s="15">
        <f>47+41</f>
        <v>88</v>
      </c>
      <c r="F441" s="35" t="s">
        <v>34</v>
      </c>
      <c r="G441" s="16">
        <v>806.11</v>
      </c>
      <c r="H441" s="16">
        <v>657.5</v>
      </c>
      <c r="I441" s="16">
        <v>148.61000000000001</v>
      </c>
      <c r="J441" s="17">
        <v>22.6</v>
      </c>
      <c r="K441" s="18">
        <f>10/30</f>
        <v>0.33333333333333331</v>
      </c>
      <c r="L441" s="18">
        <f>1/3</f>
        <v>0.33333333333333331</v>
      </c>
      <c r="M441" s="19">
        <f t="shared" si="24"/>
        <v>2.4444444444444442</v>
      </c>
      <c r="N441" s="44">
        <f t="shared" si="25"/>
        <v>4.8888888888888884</v>
      </c>
      <c r="O441" s="44">
        <f t="shared" si="26"/>
        <v>22</v>
      </c>
      <c r="P441" s="22">
        <f t="shared" si="27"/>
        <v>24.444444444444443</v>
      </c>
    </row>
    <row r="442" spans="1:16" x14ac:dyDescent="0.3">
      <c r="A442" s="40">
        <v>441</v>
      </c>
      <c r="C442" s="21">
        <v>3601</v>
      </c>
      <c r="D442" s="15" t="s">
        <v>681</v>
      </c>
      <c r="E442" s="15">
        <v>2</v>
      </c>
      <c r="F442" s="35" t="s">
        <v>86</v>
      </c>
      <c r="G442" s="16">
        <v>806</v>
      </c>
      <c r="H442" s="16">
        <v>700</v>
      </c>
      <c r="I442" s="16">
        <v>106</v>
      </c>
      <c r="J442" s="17">
        <v>15.14</v>
      </c>
      <c r="K442" s="18">
        <v>1</v>
      </c>
      <c r="L442" s="18">
        <f>1/6</f>
        <v>0.16666666666666666</v>
      </c>
      <c r="M442" s="19">
        <f t="shared" si="24"/>
        <v>0.16666666666666666</v>
      </c>
      <c r="N442" s="44">
        <f t="shared" si="25"/>
        <v>0.33333333333333331</v>
      </c>
      <c r="O442" s="44">
        <f t="shared" si="26"/>
        <v>1</v>
      </c>
      <c r="P442" s="22">
        <f t="shared" si="27"/>
        <v>1.1666666666666667</v>
      </c>
    </row>
    <row r="443" spans="1:16" x14ac:dyDescent="0.3">
      <c r="A443" s="40">
        <v>442</v>
      </c>
      <c r="C443" s="21">
        <v>4842</v>
      </c>
      <c r="D443" s="15" t="s">
        <v>682</v>
      </c>
      <c r="E443" s="15">
        <v>364</v>
      </c>
      <c r="F443" s="35" t="s">
        <v>9</v>
      </c>
      <c r="G443" s="16">
        <v>805.93</v>
      </c>
      <c r="H443" s="16">
        <v>617.04</v>
      </c>
      <c r="I443" s="16">
        <v>188.89</v>
      </c>
      <c r="J443" s="17">
        <v>30.61</v>
      </c>
      <c r="K443" s="18">
        <f>15/30</f>
        <v>0.5</v>
      </c>
      <c r="L443" s="18">
        <f>1/4</f>
        <v>0.25</v>
      </c>
      <c r="M443" s="19">
        <f t="shared" si="24"/>
        <v>15.166666666666666</v>
      </c>
      <c r="N443" s="44">
        <f t="shared" si="25"/>
        <v>30.333333333333332</v>
      </c>
      <c r="O443" s="44">
        <f t="shared" si="26"/>
        <v>121.33333333333333</v>
      </c>
      <c r="P443" s="22">
        <f t="shared" si="27"/>
        <v>136.5</v>
      </c>
    </row>
    <row r="444" spans="1:16" x14ac:dyDescent="0.3">
      <c r="A444" s="40">
        <v>443</v>
      </c>
      <c r="C444" s="21">
        <v>1208</v>
      </c>
      <c r="D444" s="15" t="s">
        <v>683</v>
      </c>
      <c r="E444" s="15">
        <v>40</v>
      </c>
      <c r="F444" s="35" t="s">
        <v>9</v>
      </c>
      <c r="G444" s="16">
        <v>804.17</v>
      </c>
      <c r="H444" s="16">
        <v>508.4</v>
      </c>
      <c r="I444" s="16">
        <v>295.77</v>
      </c>
      <c r="J444" s="17">
        <v>58.18</v>
      </c>
      <c r="K444" s="18">
        <f>15/30</f>
        <v>0.5</v>
      </c>
      <c r="L444" s="18">
        <f>1/3</f>
        <v>0.33333333333333331</v>
      </c>
      <c r="M444" s="19">
        <f t="shared" si="24"/>
        <v>1.6666666666666667</v>
      </c>
      <c r="N444" s="44">
        <f t="shared" si="25"/>
        <v>3.3333333333333335</v>
      </c>
      <c r="O444" s="44">
        <f t="shared" si="26"/>
        <v>10.000000000000002</v>
      </c>
      <c r="P444" s="22">
        <f t="shared" si="27"/>
        <v>11.666666666666668</v>
      </c>
    </row>
    <row r="445" spans="1:16" x14ac:dyDescent="0.3">
      <c r="A445" s="40">
        <v>444</v>
      </c>
      <c r="C445" s="21">
        <v>616</v>
      </c>
      <c r="D445" s="15" t="s">
        <v>684</v>
      </c>
      <c r="E445" s="15">
        <v>137</v>
      </c>
      <c r="F445" s="35" t="s">
        <v>12</v>
      </c>
      <c r="G445" s="16">
        <v>802.31</v>
      </c>
      <c r="H445" s="16">
        <v>820.63</v>
      </c>
      <c r="I445" s="16">
        <v>-18.32</v>
      </c>
      <c r="J445" s="17">
        <v>-2.23</v>
      </c>
      <c r="K445" s="18">
        <f>15/30</f>
        <v>0.5</v>
      </c>
      <c r="L445" s="18">
        <f>1/5</f>
        <v>0.2</v>
      </c>
      <c r="M445" s="19">
        <f t="shared" si="24"/>
        <v>5.708333333333333</v>
      </c>
      <c r="N445" s="44">
        <f t="shared" si="25"/>
        <v>11.416666666666666</v>
      </c>
      <c r="O445" s="44">
        <f t="shared" si="26"/>
        <v>57.083333333333329</v>
      </c>
      <c r="P445" s="22">
        <f t="shared" si="27"/>
        <v>62.791666666666664</v>
      </c>
    </row>
    <row r="446" spans="1:16" x14ac:dyDescent="0.3">
      <c r="A446" s="40">
        <v>445</v>
      </c>
      <c r="C446" s="21">
        <v>1937</v>
      </c>
      <c r="D446" s="15" t="s">
        <v>685</v>
      </c>
      <c r="E446" s="15">
        <v>3</v>
      </c>
      <c r="F446" s="35" t="s">
        <v>9</v>
      </c>
      <c r="G446" s="16">
        <v>802</v>
      </c>
      <c r="H446" s="16">
        <v>477</v>
      </c>
      <c r="I446" s="16">
        <v>325</v>
      </c>
      <c r="J446" s="17">
        <v>68.13</v>
      </c>
      <c r="K446" s="18">
        <f>20/30</f>
        <v>0.66666666666666663</v>
      </c>
      <c r="L446" s="18">
        <f>1/6</f>
        <v>0.16666666666666666</v>
      </c>
      <c r="M446" s="19">
        <f t="shared" si="24"/>
        <v>0.16666666666666666</v>
      </c>
      <c r="N446" s="44">
        <f t="shared" si="25"/>
        <v>0.33333333333333331</v>
      </c>
      <c r="O446" s="44">
        <f t="shared" si="26"/>
        <v>1.5</v>
      </c>
      <c r="P446" s="22">
        <f t="shared" si="27"/>
        <v>1.6666666666666667</v>
      </c>
    </row>
    <row r="447" spans="1:16" x14ac:dyDescent="0.3">
      <c r="A447" s="40">
        <v>446</v>
      </c>
      <c r="C447" s="47">
        <v>628</v>
      </c>
      <c r="D447" s="15" t="s">
        <v>255</v>
      </c>
      <c r="E447" s="15">
        <f>22+20</f>
        <v>42</v>
      </c>
      <c r="F447" s="35" t="s">
        <v>9</v>
      </c>
      <c r="G447" s="16">
        <v>801.57</v>
      </c>
      <c r="H447" s="16">
        <v>454.4</v>
      </c>
      <c r="I447" s="16">
        <v>347.17</v>
      </c>
      <c r="J447" s="17">
        <v>76.400000000000006</v>
      </c>
      <c r="K447" s="18">
        <f>25/30</f>
        <v>0.83333333333333337</v>
      </c>
      <c r="L447" s="18">
        <f>1/4</f>
        <v>0.25</v>
      </c>
      <c r="M447" s="19">
        <f t="shared" si="24"/>
        <v>2.916666666666667</v>
      </c>
      <c r="N447" s="44">
        <f t="shared" si="25"/>
        <v>5.8333333333333339</v>
      </c>
      <c r="O447" s="44">
        <f t="shared" si="26"/>
        <v>14</v>
      </c>
      <c r="P447" s="22">
        <f t="shared" si="27"/>
        <v>16.916666666666668</v>
      </c>
    </row>
    <row r="448" spans="1:16" x14ac:dyDescent="0.3">
      <c r="A448" s="40">
        <v>447</v>
      </c>
      <c r="C448" s="47">
        <v>320</v>
      </c>
      <c r="D448" s="15" t="s">
        <v>686</v>
      </c>
      <c r="E448" s="15">
        <v>81</v>
      </c>
      <c r="F448" s="35" t="s">
        <v>9</v>
      </c>
      <c r="G448" s="16">
        <v>800.99</v>
      </c>
      <c r="H448" s="16">
        <v>0</v>
      </c>
      <c r="I448" s="16">
        <v>800.99</v>
      </c>
      <c r="J448" s="17">
        <v>100</v>
      </c>
      <c r="K448" s="18">
        <v>1</v>
      </c>
      <c r="L448" s="18">
        <f>1/3</f>
        <v>0.33333333333333331</v>
      </c>
      <c r="M448" s="19">
        <f t="shared" si="24"/>
        <v>6.75</v>
      </c>
      <c r="N448" s="44">
        <f t="shared" si="25"/>
        <v>13.5</v>
      </c>
      <c r="O448" s="44">
        <f t="shared" si="26"/>
        <v>20.25</v>
      </c>
      <c r="P448" s="22">
        <f t="shared" si="27"/>
        <v>27</v>
      </c>
    </row>
    <row r="449" spans="1:16" x14ac:dyDescent="0.3">
      <c r="A449" s="40">
        <v>448</v>
      </c>
      <c r="C449" s="21">
        <v>798</v>
      </c>
      <c r="D449" s="15" t="s">
        <v>687</v>
      </c>
      <c r="E449" s="15">
        <v>123</v>
      </c>
      <c r="F449" s="35" t="s">
        <v>9</v>
      </c>
      <c r="G449" s="16">
        <v>799.18</v>
      </c>
      <c r="H449" s="16">
        <v>799.5</v>
      </c>
      <c r="I449" s="16">
        <v>-0.32</v>
      </c>
      <c r="J449" s="17">
        <v>-0.04</v>
      </c>
      <c r="K449" s="18">
        <f>10/30</f>
        <v>0.33333333333333331</v>
      </c>
      <c r="L449" s="18">
        <f>1/3</f>
        <v>0.33333333333333331</v>
      </c>
      <c r="M449" s="19">
        <f t="shared" si="24"/>
        <v>3.4166666666666665</v>
      </c>
      <c r="N449" s="44">
        <f t="shared" si="25"/>
        <v>6.833333333333333</v>
      </c>
      <c r="O449" s="44">
        <f t="shared" si="26"/>
        <v>30.75</v>
      </c>
      <c r="P449" s="22">
        <f t="shared" si="27"/>
        <v>34.166666666666664</v>
      </c>
    </row>
    <row r="450" spans="1:16" x14ac:dyDescent="0.3">
      <c r="A450" s="40">
        <v>449</v>
      </c>
      <c r="C450" s="21">
        <v>4404</v>
      </c>
      <c r="D450" s="15" t="s">
        <v>688</v>
      </c>
      <c r="E450" s="15">
        <v>92</v>
      </c>
      <c r="F450" s="35" t="s">
        <v>12</v>
      </c>
      <c r="G450" s="16">
        <v>798.57</v>
      </c>
      <c r="H450" s="16">
        <v>651.65</v>
      </c>
      <c r="I450" s="16">
        <v>146.91999999999999</v>
      </c>
      <c r="J450" s="17">
        <v>22.55</v>
      </c>
      <c r="K450" s="18">
        <v>1</v>
      </c>
      <c r="L450" s="18">
        <f>1/4</f>
        <v>0.25</v>
      </c>
      <c r="M450" s="19">
        <f t="shared" ref="M450:M513" si="28">(E450/12)*K450</f>
        <v>7.666666666666667</v>
      </c>
      <c r="N450" s="44">
        <f t="shared" ref="N450:N513" si="29">((E450/12)*K450)+M450</f>
        <v>15.333333333333334</v>
      </c>
      <c r="O450" s="44">
        <f t="shared" ref="O450:O513" si="30">(E450/12)/L450</f>
        <v>30.666666666666668</v>
      </c>
      <c r="P450" s="22">
        <f t="shared" ref="P450:P513" si="31">O450+M450</f>
        <v>38.333333333333336</v>
      </c>
    </row>
    <row r="451" spans="1:16" x14ac:dyDescent="0.3">
      <c r="A451" s="40">
        <v>450</v>
      </c>
      <c r="C451" s="21">
        <v>155</v>
      </c>
      <c r="D451" s="15" t="s">
        <v>689</v>
      </c>
      <c r="E451" s="17">
        <v>41.2</v>
      </c>
      <c r="F451" s="35" t="s">
        <v>12</v>
      </c>
      <c r="G451" s="16">
        <v>797.01</v>
      </c>
      <c r="H451" s="16">
        <v>803.4</v>
      </c>
      <c r="I451" s="16">
        <v>-6.39</v>
      </c>
      <c r="J451" s="17">
        <v>-0.8</v>
      </c>
      <c r="K451" s="18">
        <f>25/30</f>
        <v>0.83333333333333337</v>
      </c>
      <c r="L451" s="18">
        <f>1/6</f>
        <v>0.16666666666666666</v>
      </c>
      <c r="M451" s="19">
        <f t="shared" si="28"/>
        <v>2.8611111111111116</v>
      </c>
      <c r="N451" s="44">
        <f t="shared" si="29"/>
        <v>5.7222222222222232</v>
      </c>
      <c r="O451" s="44">
        <f t="shared" si="30"/>
        <v>20.6</v>
      </c>
      <c r="P451" s="22">
        <f t="shared" si="31"/>
        <v>23.461111111111112</v>
      </c>
    </row>
    <row r="452" spans="1:16" x14ac:dyDescent="0.3">
      <c r="A452" s="40">
        <v>451</v>
      </c>
      <c r="C452" s="21">
        <v>4303</v>
      </c>
      <c r="D452" s="15" t="s">
        <v>690</v>
      </c>
      <c r="E452" s="15">
        <v>4</v>
      </c>
      <c r="F452" s="35" t="s">
        <v>9</v>
      </c>
      <c r="G452" s="16">
        <v>795.93</v>
      </c>
      <c r="H452" s="16">
        <v>664</v>
      </c>
      <c r="I452" s="16">
        <v>131.93</v>
      </c>
      <c r="J452" s="17">
        <v>19.87</v>
      </c>
      <c r="K452" s="18">
        <f>15/30</f>
        <v>0.5</v>
      </c>
      <c r="L452" s="18">
        <f>1/12</f>
        <v>8.3333333333333329E-2</v>
      </c>
      <c r="M452" s="19">
        <f t="shared" si="28"/>
        <v>0.16666666666666666</v>
      </c>
      <c r="N452" s="44">
        <f t="shared" si="29"/>
        <v>0.33333333333333331</v>
      </c>
      <c r="O452" s="44">
        <f t="shared" si="30"/>
        <v>4</v>
      </c>
      <c r="P452" s="22">
        <f t="shared" si="31"/>
        <v>4.166666666666667</v>
      </c>
    </row>
    <row r="453" spans="1:16" x14ac:dyDescent="0.3">
      <c r="A453" s="40">
        <v>452</v>
      </c>
      <c r="C453" s="21">
        <v>3953</v>
      </c>
      <c r="D453" s="15" t="s">
        <v>691</v>
      </c>
      <c r="E453" s="15">
        <v>186</v>
      </c>
      <c r="F453" s="35" t="s">
        <v>9</v>
      </c>
      <c r="G453" s="16">
        <v>795.31</v>
      </c>
      <c r="H453" s="16">
        <v>1049.4000000000001</v>
      </c>
      <c r="I453" s="16">
        <v>-254.09</v>
      </c>
      <c r="J453" s="17">
        <v>-24.21</v>
      </c>
      <c r="K453" s="18">
        <f>15/30</f>
        <v>0.5</v>
      </c>
      <c r="L453" s="18">
        <f>1/3</f>
        <v>0.33333333333333331</v>
      </c>
      <c r="M453" s="19">
        <f t="shared" si="28"/>
        <v>7.75</v>
      </c>
      <c r="N453" s="44">
        <f t="shared" si="29"/>
        <v>15.5</v>
      </c>
      <c r="O453" s="44">
        <f t="shared" si="30"/>
        <v>46.5</v>
      </c>
      <c r="P453" s="22">
        <f t="shared" si="31"/>
        <v>54.25</v>
      </c>
    </row>
    <row r="454" spans="1:16" x14ac:dyDescent="0.3">
      <c r="A454" s="40">
        <v>453</v>
      </c>
      <c r="C454" s="21">
        <v>3944</v>
      </c>
      <c r="D454" s="15" t="s">
        <v>176</v>
      </c>
      <c r="E454" s="15">
        <v>4</v>
      </c>
      <c r="F454" s="35" t="s">
        <v>9</v>
      </c>
      <c r="G454" s="16">
        <v>794.29</v>
      </c>
      <c r="H454" s="16">
        <v>891.62</v>
      </c>
      <c r="I454" s="16">
        <v>-97.33</v>
      </c>
      <c r="J454" s="17">
        <v>-10.92</v>
      </c>
      <c r="K454" s="18">
        <v>1</v>
      </c>
      <c r="L454" s="18">
        <f>1/4</f>
        <v>0.25</v>
      </c>
      <c r="M454" s="19">
        <f t="shared" si="28"/>
        <v>0.33333333333333331</v>
      </c>
      <c r="N454" s="44">
        <f t="shared" si="29"/>
        <v>0.66666666666666663</v>
      </c>
      <c r="O454" s="44">
        <f t="shared" si="30"/>
        <v>1.3333333333333333</v>
      </c>
      <c r="P454" s="22">
        <f t="shared" si="31"/>
        <v>1.6666666666666665</v>
      </c>
    </row>
    <row r="455" spans="1:16" x14ac:dyDescent="0.3">
      <c r="A455" s="40">
        <v>454</v>
      </c>
      <c r="C455" s="47">
        <v>165</v>
      </c>
      <c r="D455" s="15" t="s">
        <v>329</v>
      </c>
      <c r="E455" s="15">
        <v>3</v>
      </c>
      <c r="F455" s="35" t="s">
        <v>9</v>
      </c>
      <c r="G455" s="16">
        <v>789.81</v>
      </c>
      <c r="H455" s="16">
        <v>0</v>
      </c>
      <c r="I455" s="16">
        <v>789.81</v>
      </c>
      <c r="J455" s="17">
        <v>100</v>
      </c>
      <c r="K455" s="18">
        <v>1</v>
      </c>
      <c r="L455" s="18">
        <f>1/12</f>
        <v>8.3333333333333329E-2</v>
      </c>
      <c r="M455" s="19">
        <f t="shared" si="28"/>
        <v>0.25</v>
      </c>
      <c r="N455" s="44">
        <f t="shared" si="29"/>
        <v>0.5</v>
      </c>
      <c r="O455" s="44">
        <f t="shared" si="30"/>
        <v>3</v>
      </c>
      <c r="P455" s="22">
        <f t="shared" si="31"/>
        <v>3.25</v>
      </c>
    </row>
    <row r="456" spans="1:16" x14ac:dyDescent="0.3">
      <c r="A456" s="40">
        <v>455</v>
      </c>
      <c r="C456" s="21">
        <v>1085</v>
      </c>
      <c r="D456" s="15" t="s">
        <v>692</v>
      </c>
      <c r="E456" s="15">
        <v>3291</v>
      </c>
      <c r="F456" s="35" t="s">
        <v>9</v>
      </c>
      <c r="G456" s="16">
        <v>781.68</v>
      </c>
      <c r="H456" s="16">
        <v>645.33000000000004</v>
      </c>
      <c r="I456" s="16">
        <v>136.35</v>
      </c>
      <c r="J456" s="17">
        <v>21.13</v>
      </c>
      <c r="K456" s="18">
        <v>1</v>
      </c>
      <c r="L456" s="18">
        <f>1/4</f>
        <v>0.25</v>
      </c>
      <c r="M456" s="19">
        <f t="shared" si="28"/>
        <v>274.25</v>
      </c>
      <c r="N456" s="44">
        <f t="shared" si="29"/>
        <v>548.5</v>
      </c>
      <c r="O456" s="44">
        <f t="shared" si="30"/>
        <v>1097</v>
      </c>
      <c r="P456" s="22">
        <f t="shared" si="31"/>
        <v>1371.25</v>
      </c>
    </row>
    <row r="457" spans="1:16" x14ac:dyDescent="0.3">
      <c r="A457" s="40">
        <v>456</v>
      </c>
      <c r="C457" s="21">
        <v>820</v>
      </c>
      <c r="D457" s="15" t="s">
        <v>693</v>
      </c>
      <c r="E457" s="17">
        <v>263.39999999999998</v>
      </c>
      <c r="F457" s="35" t="s">
        <v>12</v>
      </c>
      <c r="G457" s="16">
        <v>781.05</v>
      </c>
      <c r="H457" s="16">
        <v>657.13</v>
      </c>
      <c r="I457" s="16">
        <v>123.92</v>
      </c>
      <c r="J457" s="17">
        <v>18.86</v>
      </c>
      <c r="K457" s="18">
        <v>1</v>
      </c>
      <c r="L457" s="18">
        <f>1/6</f>
        <v>0.16666666666666666</v>
      </c>
      <c r="M457" s="19">
        <f t="shared" si="28"/>
        <v>21.95</v>
      </c>
      <c r="N457" s="44">
        <f t="shared" si="29"/>
        <v>43.9</v>
      </c>
      <c r="O457" s="44">
        <f t="shared" si="30"/>
        <v>131.70000000000002</v>
      </c>
      <c r="P457" s="22">
        <f t="shared" si="31"/>
        <v>153.65</v>
      </c>
    </row>
    <row r="458" spans="1:16" x14ac:dyDescent="0.3">
      <c r="A458" s="40">
        <v>457</v>
      </c>
      <c r="C458" s="21">
        <v>623</v>
      </c>
      <c r="D458" s="15" t="s">
        <v>694</v>
      </c>
      <c r="E458" s="15">
        <v>61</v>
      </c>
      <c r="F458" s="35" t="s">
        <v>9</v>
      </c>
      <c r="G458" s="16">
        <v>780.29</v>
      </c>
      <c r="H458" s="16">
        <v>915</v>
      </c>
      <c r="I458" s="16">
        <v>-134.71</v>
      </c>
      <c r="J458" s="17">
        <v>-14.72</v>
      </c>
      <c r="K458" s="18">
        <f>10/30</f>
        <v>0.33333333333333331</v>
      </c>
      <c r="L458" s="18">
        <f>1/3</f>
        <v>0.33333333333333331</v>
      </c>
      <c r="M458" s="19">
        <f t="shared" si="28"/>
        <v>1.6944444444444442</v>
      </c>
      <c r="N458" s="44">
        <f t="shared" si="29"/>
        <v>3.3888888888888884</v>
      </c>
      <c r="O458" s="44">
        <f t="shared" si="30"/>
        <v>15.25</v>
      </c>
      <c r="P458" s="22">
        <f t="shared" si="31"/>
        <v>16.944444444444443</v>
      </c>
    </row>
    <row r="459" spans="1:16" x14ac:dyDescent="0.3">
      <c r="A459" s="40">
        <v>458</v>
      </c>
      <c r="C459" s="21">
        <v>2343</v>
      </c>
      <c r="D459" s="15" t="s">
        <v>695</v>
      </c>
      <c r="E459" s="17">
        <v>51.6</v>
      </c>
      <c r="F459" s="35" t="s">
        <v>12</v>
      </c>
      <c r="G459" s="16">
        <v>779.77</v>
      </c>
      <c r="H459" s="16">
        <v>799.8</v>
      </c>
      <c r="I459" s="16">
        <v>-20.03</v>
      </c>
      <c r="J459" s="17">
        <v>-2.5</v>
      </c>
      <c r="K459" s="18">
        <f>15/30</f>
        <v>0.5</v>
      </c>
      <c r="L459" s="18">
        <f>1/6</f>
        <v>0.16666666666666666</v>
      </c>
      <c r="M459" s="19">
        <f t="shared" si="28"/>
        <v>2.15</v>
      </c>
      <c r="N459" s="44">
        <f t="shared" si="29"/>
        <v>4.3</v>
      </c>
      <c r="O459" s="44">
        <f t="shared" si="30"/>
        <v>25.8</v>
      </c>
      <c r="P459" s="22">
        <f t="shared" si="31"/>
        <v>27.95</v>
      </c>
    </row>
    <row r="460" spans="1:16" x14ac:dyDescent="0.3">
      <c r="A460" s="40">
        <v>459</v>
      </c>
      <c r="C460" s="47">
        <v>343</v>
      </c>
      <c r="D460" s="15" t="s">
        <v>123</v>
      </c>
      <c r="E460" s="15">
        <v>8</v>
      </c>
      <c r="F460" s="35" t="s">
        <v>9</v>
      </c>
      <c r="G460" s="16">
        <v>777.07</v>
      </c>
      <c r="H460" s="16">
        <v>0</v>
      </c>
      <c r="I460" s="16">
        <v>777.07</v>
      </c>
      <c r="J460" s="17">
        <v>100</v>
      </c>
      <c r="K460" s="18">
        <v>1</v>
      </c>
      <c r="L460" s="18">
        <f>1/6</f>
        <v>0.16666666666666666</v>
      </c>
      <c r="M460" s="19">
        <f t="shared" si="28"/>
        <v>0.66666666666666663</v>
      </c>
      <c r="N460" s="44">
        <f t="shared" si="29"/>
        <v>1.3333333333333333</v>
      </c>
      <c r="O460" s="44">
        <f t="shared" si="30"/>
        <v>4</v>
      </c>
      <c r="P460" s="22">
        <f t="shared" si="31"/>
        <v>4.666666666666667</v>
      </c>
    </row>
    <row r="461" spans="1:16" x14ac:dyDescent="0.3">
      <c r="A461" s="40">
        <v>460</v>
      </c>
      <c r="C461" s="21">
        <v>2089</v>
      </c>
      <c r="D461" s="15" t="s">
        <v>696</v>
      </c>
      <c r="E461" s="15">
        <v>47</v>
      </c>
      <c r="F461" s="35" t="s">
        <v>9</v>
      </c>
      <c r="G461" s="16">
        <v>776.21</v>
      </c>
      <c r="H461" s="16">
        <v>842.4</v>
      </c>
      <c r="I461" s="16">
        <v>-66.19</v>
      </c>
      <c r="J461" s="17">
        <v>-7.86</v>
      </c>
      <c r="K461" s="18">
        <f>15/30</f>
        <v>0.5</v>
      </c>
      <c r="L461" s="18">
        <f>1/4</f>
        <v>0.25</v>
      </c>
      <c r="M461" s="19">
        <f t="shared" si="28"/>
        <v>1.9583333333333333</v>
      </c>
      <c r="N461" s="44">
        <f t="shared" si="29"/>
        <v>3.9166666666666665</v>
      </c>
      <c r="O461" s="44">
        <f t="shared" si="30"/>
        <v>15.666666666666666</v>
      </c>
      <c r="P461" s="22">
        <f t="shared" si="31"/>
        <v>17.625</v>
      </c>
    </row>
    <row r="462" spans="1:16" x14ac:dyDescent="0.3">
      <c r="A462" s="40">
        <v>461</v>
      </c>
      <c r="C462" s="21">
        <v>4407</v>
      </c>
      <c r="D462" s="15" t="s">
        <v>697</v>
      </c>
      <c r="E462" s="15">
        <v>560</v>
      </c>
      <c r="F462" s="35" t="s">
        <v>22</v>
      </c>
      <c r="G462" s="16">
        <v>774.73</v>
      </c>
      <c r="H462" s="16">
        <v>616</v>
      </c>
      <c r="I462" s="16">
        <v>158.72999999999999</v>
      </c>
      <c r="J462" s="17">
        <v>25.77</v>
      </c>
      <c r="K462" s="18">
        <f>20/30</f>
        <v>0.66666666666666663</v>
      </c>
      <c r="L462" s="18">
        <f>1/6</f>
        <v>0.16666666666666666</v>
      </c>
      <c r="M462" s="19">
        <f t="shared" si="28"/>
        <v>31.111111111111107</v>
      </c>
      <c r="N462" s="44">
        <f t="shared" si="29"/>
        <v>62.222222222222214</v>
      </c>
      <c r="O462" s="44">
        <f t="shared" si="30"/>
        <v>280</v>
      </c>
      <c r="P462" s="22">
        <f t="shared" si="31"/>
        <v>311.11111111111109</v>
      </c>
    </row>
    <row r="463" spans="1:16" x14ac:dyDescent="0.3">
      <c r="A463" s="40">
        <v>462</v>
      </c>
      <c r="C463" s="21">
        <v>3779</v>
      </c>
      <c r="D463" s="15" t="s">
        <v>698</v>
      </c>
      <c r="E463" s="15">
        <v>490</v>
      </c>
      <c r="F463" s="35" t="s">
        <v>22</v>
      </c>
      <c r="G463" s="16">
        <v>773.28</v>
      </c>
      <c r="H463" s="16">
        <v>637</v>
      </c>
      <c r="I463" s="16">
        <v>136.28</v>
      </c>
      <c r="J463" s="17">
        <v>21.39</v>
      </c>
      <c r="K463" s="18">
        <f>20/30</f>
        <v>0.66666666666666663</v>
      </c>
      <c r="L463" s="18">
        <f>1/6</f>
        <v>0.16666666666666666</v>
      </c>
      <c r="M463" s="19">
        <f t="shared" si="28"/>
        <v>27.222222222222221</v>
      </c>
      <c r="N463" s="44">
        <f t="shared" si="29"/>
        <v>54.444444444444443</v>
      </c>
      <c r="O463" s="44">
        <f t="shared" si="30"/>
        <v>245.00000000000003</v>
      </c>
      <c r="P463" s="22">
        <f t="shared" si="31"/>
        <v>272.22222222222223</v>
      </c>
    </row>
    <row r="464" spans="1:16" x14ac:dyDescent="0.3">
      <c r="A464" s="40">
        <v>463</v>
      </c>
      <c r="C464" s="21">
        <v>3615</v>
      </c>
      <c r="D464" s="15" t="s">
        <v>699</v>
      </c>
      <c r="E464" s="15">
        <v>200</v>
      </c>
      <c r="F464" s="35" t="s">
        <v>12</v>
      </c>
      <c r="G464" s="16">
        <v>772.91</v>
      </c>
      <c r="H464" s="16">
        <v>780</v>
      </c>
      <c r="I464" s="16">
        <v>-7.09</v>
      </c>
      <c r="J464" s="17">
        <v>-0.91</v>
      </c>
      <c r="K464" s="18">
        <v>1</v>
      </c>
      <c r="L464" s="18">
        <f>1/4</f>
        <v>0.25</v>
      </c>
      <c r="M464" s="19">
        <f t="shared" si="28"/>
        <v>16.666666666666668</v>
      </c>
      <c r="N464" s="44">
        <f t="shared" si="29"/>
        <v>33.333333333333336</v>
      </c>
      <c r="O464" s="44">
        <f t="shared" si="30"/>
        <v>66.666666666666671</v>
      </c>
      <c r="P464" s="22">
        <f t="shared" si="31"/>
        <v>83.333333333333343</v>
      </c>
    </row>
    <row r="465" spans="1:16" x14ac:dyDescent="0.3">
      <c r="A465" s="40">
        <v>464</v>
      </c>
      <c r="C465" s="21">
        <v>4351</v>
      </c>
      <c r="D465" s="15" t="s">
        <v>700</v>
      </c>
      <c r="E465" s="15">
        <v>6</v>
      </c>
      <c r="F465" s="35" t="s">
        <v>9</v>
      </c>
      <c r="G465" s="16">
        <v>771.29</v>
      </c>
      <c r="H465" s="16">
        <v>449.88</v>
      </c>
      <c r="I465" s="16">
        <v>321.41000000000003</v>
      </c>
      <c r="J465" s="17">
        <v>71.44</v>
      </c>
      <c r="K465" s="18">
        <v>1</v>
      </c>
      <c r="L465" s="18">
        <f>1/2</f>
        <v>0.5</v>
      </c>
      <c r="M465" s="19">
        <f t="shared" si="28"/>
        <v>0.5</v>
      </c>
      <c r="N465" s="44">
        <f t="shared" si="29"/>
        <v>1</v>
      </c>
      <c r="O465" s="44">
        <f t="shared" si="30"/>
        <v>1</v>
      </c>
      <c r="P465" s="22">
        <f t="shared" si="31"/>
        <v>1.5</v>
      </c>
    </row>
    <row r="466" spans="1:16" x14ac:dyDescent="0.3">
      <c r="A466" s="40">
        <v>465</v>
      </c>
      <c r="C466" s="21">
        <v>630</v>
      </c>
      <c r="D466" s="15" t="s">
        <v>701</v>
      </c>
      <c r="E466" s="15">
        <v>76</v>
      </c>
      <c r="F466" s="35" t="s">
        <v>9</v>
      </c>
      <c r="G466" s="16">
        <v>767.74</v>
      </c>
      <c r="H466" s="16">
        <v>707.56</v>
      </c>
      <c r="I466" s="16">
        <v>60.18</v>
      </c>
      <c r="J466" s="17">
        <v>8.51</v>
      </c>
      <c r="K466" s="18">
        <v>1</v>
      </c>
      <c r="L466" s="18">
        <f>1/6</f>
        <v>0.16666666666666666</v>
      </c>
      <c r="M466" s="19">
        <f t="shared" si="28"/>
        <v>6.333333333333333</v>
      </c>
      <c r="N466" s="44">
        <f t="shared" si="29"/>
        <v>12.666666666666666</v>
      </c>
      <c r="O466" s="44">
        <f t="shared" si="30"/>
        <v>38</v>
      </c>
      <c r="P466" s="22">
        <f t="shared" si="31"/>
        <v>44.333333333333336</v>
      </c>
    </row>
    <row r="467" spans="1:16" x14ac:dyDescent="0.3">
      <c r="A467" s="40">
        <v>466</v>
      </c>
      <c r="C467" s="21">
        <v>1683</v>
      </c>
      <c r="D467" s="15" t="s">
        <v>702</v>
      </c>
      <c r="E467" s="15">
        <v>200</v>
      </c>
      <c r="F467" s="35" t="s">
        <v>9</v>
      </c>
      <c r="G467" s="16">
        <v>764.46</v>
      </c>
      <c r="H467" s="16">
        <v>740</v>
      </c>
      <c r="I467" s="16">
        <v>24.46</v>
      </c>
      <c r="J467" s="17">
        <v>3.31</v>
      </c>
      <c r="K467" s="18">
        <f>15/30</f>
        <v>0.5</v>
      </c>
      <c r="L467" s="18">
        <f>1/6</f>
        <v>0.16666666666666666</v>
      </c>
      <c r="M467" s="19">
        <f t="shared" si="28"/>
        <v>8.3333333333333339</v>
      </c>
      <c r="N467" s="44">
        <f t="shared" si="29"/>
        <v>16.666666666666668</v>
      </c>
      <c r="O467" s="44">
        <f t="shared" si="30"/>
        <v>100.00000000000001</v>
      </c>
      <c r="P467" s="22">
        <f t="shared" si="31"/>
        <v>108.33333333333334</v>
      </c>
    </row>
    <row r="468" spans="1:16" x14ac:dyDescent="0.3">
      <c r="A468" s="40">
        <v>467</v>
      </c>
      <c r="C468" s="21">
        <v>522</v>
      </c>
      <c r="D468" s="15" t="s">
        <v>703</v>
      </c>
      <c r="E468" s="17">
        <f>41.76+32.48</f>
        <v>74.239999999999995</v>
      </c>
      <c r="F468" s="35" t="s">
        <v>9</v>
      </c>
      <c r="G468" s="16">
        <v>764.2</v>
      </c>
      <c r="H468" s="16">
        <v>0</v>
      </c>
      <c r="I468" s="16">
        <v>764.2</v>
      </c>
      <c r="J468" s="17">
        <v>100</v>
      </c>
      <c r="K468" s="18">
        <v>1</v>
      </c>
      <c r="L468" s="18">
        <f>1/6</f>
        <v>0.16666666666666666</v>
      </c>
      <c r="M468" s="19">
        <f t="shared" si="28"/>
        <v>6.1866666666666665</v>
      </c>
      <c r="N468" s="44">
        <f t="shared" si="29"/>
        <v>12.373333333333333</v>
      </c>
      <c r="O468" s="44">
        <f t="shared" si="30"/>
        <v>37.120000000000005</v>
      </c>
      <c r="P468" s="22">
        <f t="shared" si="31"/>
        <v>43.306666666666672</v>
      </c>
    </row>
    <row r="469" spans="1:16" x14ac:dyDescent="0.3">
      <c r="A469" s="40">
        <v>468</v>
      </c>
      <c r="C469" s="21">
        <v>330</v>
      </c>
      <c r="D469" s="15" t="s">
        <v>704</v>
      </c>
      <c r="E469" s="15">
        <v>3</v>
      </c>
      <c r="F469" s="35" t="s">
        <v>9</v>
      </c>
      <c r="G469" s="16">
        <v>763</v>
      </c>
      <c r="H469" s="16">
        <v>0</v>
      </c>
      <c r="I469" s="16">
        <v>763</v>
      </c>
      <c r="J469" s="17">
        <v>100</v>
      </c>
      <c r="K469" s="18">
        <f>20/30</f>
        <v>0.66666666666666663</v>
      </c>
      <c r="L469" s="18">
        <f>1/4</f>
        <v>0.25</v>
      </c>
      <c r="M469" s="19">
        <f t="shared" si="28"/>
        <v>0.16666666666666666</v>
      </c>
      <c r="N469" s="44">
        <f t="shared" si="29"/>
        <v>0.33333333333333331</v>
      </c>
      <c r="O469" s="44">
        <f t="shared" si="30"/>
        <v>1</v>
      </c>
      <c r="P469" s="22">
        <f t="shared" si="31"/>
        <v>1.1666666666666667</v>
      </c>
    </row>
    <row r="470" spans="1:16" x14ac:dyDescent="0.3">
      <c r="A470" s="40">
        <v>469</v>
      </c>
      <c r="C470" s="21">
        <v>344</v>
      </c>
      <c r="D470" s="15" t="s">
        <v>705</v>
      </c>
      <c r="E470" s="17">
        <v>99.7</v>
      </c>
      <c r="F470" s="35" t="s">
        <v>12</v>
      </c>
      <c r="G470" s="16">
        <v>762.97</v>
      </c>
      <c r="H470" s="16">
        <v>697.22</v>
      </c>
      <c r="I470" s="16">
        <v>65.75</v>
      </c>
      <c r="J470" s="17">
        <v>9.43</v>
      </c>
      <c r="K470" s="18">
        <f>15/30</f>
        <v>0.5</v>
      </c>
      <c r="L470" s="18">
        <f>1/5</f>
        <v>0.2</v>
      </c>
      <c r="M470" s="19">
        <f t="shared" si="28"/>
        <v>4.1541666666666668</v>
      </c>
      <c r="N470" s="44">
        <f t="shared" si="29"/>
        <v>8.3083333333333336</v>
      </c>
      <c r="O470" s="44">
        <f t="shared" si="30"/>
        <v>41.541666666666664</v>
      </c>
      <c r="P470" s="22">
        <f t="shared" si="31"/>
        <v>45.695833333333333</v>
      </c>
    </row>
    <row r="471" spans="1:16" x14ac:dyDescent="0.3">
      <c r="A471" s="40">
        <v>470</v>
      </c>
      <c r="C471" s="47">
        <v>3266</v>
      </c>
      <c r="D471" s="49" t="s">
        <v>706</v>
      </c>
      <c r="E471" s="15">
        <v>6</v>
      </c>
      <c r="F471" s="35" t="s">
        <v>9</v>
      </c>
      <c r="G471" s="16">
        <v>760.81</v>
      </c>
      <c r="H471" s="16">
        <v>449.88</v>
      </c>
      <c r="I471" s="16">
        <v>310.93</v>
      </c>
      <c r="J471" s="17">
        <v>69.11</v>
      </c>
      <c r="K471" s="18">
        <v>1</v>
      </c>
      <c r="L471" s="18">
        <f>1/2</f>
        <v>0.5</v>
      </c>
      <c r="M471" s="19">
        <f t="shared" si="28"/>
        <v>0.5</v>
      </c>
      <c r="N471" s="44">
        <f t="shared" si="29"/>
        <v>1</v>
      </c>
      <c r="O471" s="44">
        <f t="shared" si="30"/>
        <v>1</v>
      </c>
      <c r="P471" s="22">
        <f t="shared" si="31"/>
        <v>1.5</v>
      </c>
    </row>
    <row r="472" spans="1:16" x14ac:dyDescent="0.3">
      <c r="A472" s="40">
        <v>471</v>
      </c>
      <c r="C472" s="21">
        <v>1037</v>
      </c>
      <c r="D472" s="15" t="s">
        <v>707</v>
      </c>
      <c r="E472" s="15">
        <v>5</v>
      </c>
      <c r="F472" s="35" t="s">
        <v>25</v>
      </c>
      <c r="G472" s="16">
        <v>760.72</v>
      </c>
      <c r="H472" s="16">
        <v>550</v>
      </c>
      <c r="I472" s="16">
        <v>210.72</v>
      </c>
      <c r="J472" s="17">
        <v>38.31</v>
      </c>
      <c r="K472" s="18">
        <f>10/30</f>
        <v>0.33333333333333331</v>
      </c>
      <c r="L472" s="18">
        <f>1/3</f>
        <v>0.33333333333333331</v>
      </c>
      <c r="M472" s="19">
        <f t="shared" si="28"/>
        <v>0.1388888888888889</v>
      </c>
      <c r="N472" s="44">
        <f t="shared" si="29"/>
        <v>0.27777777777777779</v>
      </c>
      <c r="O472" s="44">
        <f t="shared" si="30"/>
        <v>1.2500000000000002</v>
      </c>
      <c r="P472" s="22">
        <f t="shared" si="31"/>
        <v>1.3888888888888891</v>
      </c>
    </row>
    <row r="473" spans="1:16" x14ac:dyDescent="0.3">
      <c r="A473" s="40">
        <v>472</v>
      </c>
      <c r="C473" s="21">
        <v>698</v>
      </c>
      <c r="D473" s="15" t="s">
        <v>708</v>
      </c>
      <c r="E473" s="17">
        <v>117.81</v>
      </c>
      <c r="F473" s="35" t="s">
        <v>16</v>
      </c>
      <c r="G473" s="16">
        <v>758.91</v>
      </c>
      <c r="H473" s="16">
        <v>907.14</v>
      </c>
      <c r="I473" s="16">
        <v>-148.22999999999999</v>
      </c>
      <c r="J473" s="17">
        <v>-16.34</v>
      </c>
      <c r="K473" s="18">
        <v>1</v>
      </c>
      <c r="L473" s="18">
        <f>1/4</f>
        <v>0.25</v>
      </c>
      <c r="M473" s="19">
        <f t="shared" si="28"/>
        <v>9.8175000000000008</v>
      </c>
      <c r="N473" s="44">
        <f t="shared" si="29"/>
        <v>19.635000000000002</v>
      </c>
      <c r="O473" s="44">
        <f t="shared" si="30"/>
        <v>39.270000000000003</v>
      </c>
      <c r="P473" s="22">
        <f t="shared" si="31"/>
        <v>49.087500000000006</v>
      </c>
    </row>
    <row r="474" spans="1:16" x14ac:dyDescent="0.3">
      <c r="A474" s="40">
        <v>473</v>
      </c>
      <c r="C474" s="21">
        <v>1018</v>
      </c>
      <c r="D474" s="15" t="s">
        <v>167</v>
      </c>
      <c r="E474" s="15">
        <v>1177</v>
      </c>
      <c r="F474" s="35" t="s">
        <v>9</v>
      </c>
      <c r="G474" s="16">
        <v>758.09</v>
      </c>
      <c r="H474" s="16">
        <v>823.9</v>
      </c>
      <c r="I474" s="16">
        <v>-65.81</v>
      </c>
      <c r="J474" s="17">
        <v>-7.99</v>
      </c>
      <c r="K474" s="18">
        <v>1</v>
      </c>
      <c r="L474" s="18">
        <f>1/4</f>
        <v>0.25</v>
      </c>
      <c r="M474" s="19">
        <f t="shared" si="28"/>
        <v>98.083333333333329</v>
      </c>
      <c r="N474" s="44">
        <f t="shared" si="29"/>
        <v>196.16666666666666</v>
      </c>
      <c r="O474" s="44">
        <f t="shared" si="30"/>
        <v>392.33333333333331</v>
      </c>
      <c r="P474" s="22">
        <f t="shared" si="31"/>
        <v>490.41666666666663</v>
      </c>
    </row>
    <row r="475" spans="1:16" x14ac:dyDescent="0.3">
      <c r="A475" s="40">
        <v>474</v>
      </c>
      <c r="C475" s="21">
        <v>4293</v>
      </c>
      <c r="D475" s="15" t="s">
        <v>70</v>
      </c>
      <c r="E475" s="15">
        <v>21</v>
      </c>
      <c r="F475" s="35" t="s">
        <v>12</v>
      </c>
      <c r="G475" s="16">
        <v>757.63</v>
      </c>
      <c r="H475" s="16">
        <v>693</v>
      </c>
      <c r="I475" s="16">
        <v>64.63</v>
      </c>
      <c r="J475" s="17">
        <v>9.33</v>
      </c>
      <c r="K475" s="18">
        <f>25/30</f>
        <v>0.83333333333333337</v>
      </c>
      <c r="L475" s="18">
        <f>1/6</f>
        <v>0.16666666666666666</v>
      </c>
      <c r="M475" s="19">
        <f t="shared" si="28"/>
        <v>1.4583333333333335</v>
      </c>
      <c r="N475" s="44">
        <f t="shared" si="29"/>
        <v>2.916666666666667</v>
      </c>
      <c r="O475" s="44">
        <f t="shared" si="30"/>
        <v>10.5</v>
      </c>
      <c r="P475" s="22">
        <f t="shared" si="31"/>
        <v>11.958333333333334</v>
      </c>
    </row>
    <row r="476" spans="1:16" x14ac:dyDescent="0.3">
      <c r="A476" s="40">
        <v>475</v>
      </c>
      <c r="C476" s="21">
        <v>3273</v>
      </c>
      <c r="D476" s="15" t="s">
        <v>709</v>
      </c>
      <c r="E476" s="15">
        <v>2</v>
      </c>
      <c r="F476" s="35" t="s">
        <v>9</v>
      </c>
      <c r="G476" s="16">
        <v>756</v>
      </c>
      <c r="H476" s="16">
        <v>840</v>
      </c>
      <c r="I476" s="16">
        <v>-84</v>
      </c>
      <c r="J476" s="17">
        <v>-10</v>
      </c>
      <c r="K476" s="18">
        <v>1</v>
      </c>
      <c r="L476" s="18">
        <f>1/12</f>
        <v>8.3333333333333329E-2</v>
      </c>
      <c r="M476" s="19">
        <f t="shared" si="28"/>
        <v>0.16666666666666666</v>
      </c>
      <c r="N476" s="44">
        <f t="shared" si="29"/>
        <v>0.33333333333333331</v>
      </c>
      <c r="O476" s="44">
        <f t="shared" si="30"/>
        <v>2</v>
      </c>
      <c r="P476" s="22">
        <f t="shared" si="31"/>
        <v>2.1666666666666665</v>
      </c>
    </row>
    <row r="477" spans="1:16" x14ac:dyDescent="0.3">
      <c r="A477" s="40">
        <v>476</v>
      </c>
      <c r="C477" s="21">
        <v>4284</v>
      </c>
      <c r="D477" s="15" t="s">
        <v>352</v>
      </c>
      <c r="E477" s="15">
        <v>3</v>
      </c>
      <c r="F477" s="35" t="s">
        <v>9</v>
      </c>
      <c r="G477" s="16">
        <v>752.6</v>
      </c>
      <c r="H477" s="16">
        <v>675</v>
      </c>
      <c r="I477" s="16">
        <v>77.599999999999994</v>
      </c>
      <c r="J477" s="17">
        <v>11.5</v>
      </c>
      <c r="K477" s="18">
        <v>1</v>
      </c>
      <c r="L477" s="18">
        <f>1/12</f>
        <v>8.3333333333333329E-2</v>
      </c>
      <c r="M477" s="19">
        <f t="shared" si="28"/>
        <v>0.25</v>
      </c>
      <c r="N477" s="44">
        <f t="shared" si="29"/>
        <v>0.5</v>
      </c>
      <c r="O477" s="44">
        <f t="shared" si="30"/>
        <v>3</v>
      </c>
      <c r="P477" s="22">
        <f t="shared" si="31"/>
        <v>3.25</v>
      </c>
    </row>
    <row r="478" spans="1:16" x14ac:dyDescent="0.3">
      <c r="A478" s="40">
        <v>477</v>
      </c>
      <c r="C478" s="21">
        <v>852</v>
      </c>
      <c r="D478" s="15" t="s">
        <v>710</v>
      </c>
      <c r="E478" s="15">
        <v>935</v>
      </c>
      <c r="F478" s="35" t="s">
        <v>9</v>
      </c>
      <c r="G478" s="16">
        <v>751.33</v>
      </c>
      <c r="H478" s="16">
        <v>701.25</v>
      </c>
      <c r="I478" s="16">
        <v>50.08</v>
      </c>
      <c r="J478" s="17">
        <v>7.14</v>
      </c>
      <c r="K478" s="18">
        <v>1</v>
      </c>
      <c r="L478" s="18">
        <f>1/4</f>
        <v>0.25</v>
      </c>
      <c r="M478" s="19">
        <f t="shared" si="28"/>
        <v>77.916666666666671</v>
      </c>
      <c r="N478" s="44">
        <f t="shared" si="29"/>
        <v>155.83333333333334</v>
      </c>
      <c r="O478" s="44">
        <f t="shared" si="30"/>
        <v>311.66666666666669</v>
      </c>
      <c r="P478" s="22">
        <f t="shared" si="31"/>
        <v>389.58333333333337</v>
      </c>
    </row>
    <row r="479" spans="1:16" x14ac:dyDescent="0.3">
      <c r="A479" s="40">
        <v>478</v>
      </c>
      <c r="C479" s="21">
        <v>1566</v>
      </c>
      <c r="D479" s="15" t="s">
        <v>205</v>
      </c>
      <c r="E479" s="15">
        <v>4</v>
      </c>
      <c r="F479" s="35" t="s">
        <v>206</v>
      </c>
      <c r="G479" s="16">
        <v>749.82</v>
      </c>
      <c r="H479" s="16">
        <v>780</v>
      </c>
      <c r="I479" s="16">
        <v>-30.18</v>
      </c>
      <c r="J479" s="17">
        <v>-3.87</v>
      </c>
      <c r="K479" s="18">
        <v>1</v>
      </c>
      <c r="L479" s="18">
        <f>1/4</f>
        <v>0.25</v>
      </c>
      <c r="M479" s="19">
        <f t="shared" si="28"/>
        <v>0.33333333333333331</v>
      </c>
      <c r="N479" s="44">
        <f t="shared" si="29"/>
        <v>0.66666666666666663</v>
      </c>
      <c r="O479" s="44">
        <f t="shared" si="30"/>
        <v>1.3333333333333333</v>
      </c>
      <c r="P479" s="22">
        <f t="shared" si="31"/>
        <v>1.6666666666666665</v>
      </c>
    </row>
    <row r="480" spans="1:16" x14ac:dyDescent="0.3">
      <c r="A480" s="40">
        <v>479</v>
      </c>
      <c r="C480" s="21">
        <v>620</v>
      </c>
      <c r="D480" s="15" t="s">
        <v>711</v>
      </c>
      <c r="E480" s="15">
        <v>281</v>
      </c>
      <c r="F480" s="35" t="s">
        <v>9</v>
      </c>
      <c r="G480" s="16">
        <v>748.81</v>
      </c>
      <c r="H480" s="16">
        <v>717.08</v>
      </c>
      <c r="I480" s="16">
        <v>31.73</v>
      </c>
      <c r="J480" s="17">
        <v>4.42</v>
      </c>
      <c r="K480" s="18">
        <f>20/30</f>
        <v>0.66666666666666663</v>
      </c>
      <c r="L480" s="18">
        <f>1/3</f>
        <v>0.33333333333333331</v>
      </c>
      <c r="M480" s="19">
        <f t="shared" si="28"/>
        <v>15.611111111111111</v>
      </c>
      <c r="N480" s="44">
        <f t="shared" si="29"/>
        <v>31.222222222222221</v>
      </c>
      <c r="O480" s="44">
        <f t="shared" si="30"/>
        <v>70.250000000000014</v>
      </c>
      <c r="P480" s="22">
        <f t="shared" si="31"/>
        <v>85.861111111111128</v>
      </c>
    </row>
    <row r="481" spans="1:16" x14ac:dyDescent="0.3">
      <c r="A481" s="40">
        <v>480</v>
      </c>
      <c r="C481" s="21">
        <v>1416</v>
      </c>
      <c r="D481" s="15" t="s">
        <v>712</v>
      </c>
      <c r="E481" s="15">
        <v>13</v>
      </c>
      <c r="F481" s="35" t="s">
        <v>9</v>
      </c>
      <c r="G481" s="16">
        <v>748.67</v>
      </c>
      <c r="H481" s="16">
        <v>884</v>
      </c>
      <c r="I481" s="16">
        <v>-135.33000000000001</v>
      </c>
      <c r="J481" s="17">
        <v>-15.31</v>
      </c>
      <c r="K481" s="18">
        <f>25/30</f>
        <v>0.83333333333333337</v>
      </c>
      <c r="L481" s="18">
        <f>1/4</f>
        <v>0.25</v>
      </c>
      <c r="M481" s="19">
        <f t="shared" si="28"/>
        <v>0.90277777777777779</v>
      </c>
      <c r="N481" s="44">
        <f t="shared" si="29"/>
        <v>1.8055555555555556</v>
      </c>
      <c r="O481" s="44">
        <f t="shared" si="30"/>
        <v>4.333333333333333</v>
      </c>
      <c r="P481" s="22">
        <f t="shared" si="31"/>
        <v>5.2361111111111107</v>
      </c>
    </row>
    <row r="482" spans="1:16" x14ac:dyDescent="0.3">
      <c r="A482" s="40">
        <v>481</v>
      </c>
      <c r="C482" s="21">
        <v>4943</v>
      </c>
      <c r="D482" s="15" t="s">
        <v>713</v>
      </c>
      <c r="E482" s="15">
        <v>17</v>
      </c>
      <c r="F482" s="35" t="s">
        <v>9</v>
      </c>
      <c r="G482" s="16">
        <v>745.26</v>
      </c>
      <c r="H482" s="16">
        <v>799</v>
      </c>
      <c r="I482" s="16">
        <v>-53.74</v>
      </c>
      <c r="J482" s="17">
        <v>-6.73</v>
      </c>
      <c r="K482" s="18">
        <f>20/30</f>
        <v>0.66666666666666663</v>
      </c>
      <c r="L482" s="18">
        <f>1/12</f>
        <v>8.3333333333333329E-2</v>
      </c>
      <c r="M482" s="19">
        <f t="shared" si="28"/>
        <v>0.94444444444444442</v>
      </c>
      <c r="N482" s="44">
        <f t="shared" si="29"/>
        <v>1.8888888888888888</v>
      </c>
      <c r="O482" s="44">
        <f t="shared" si="30"/>
        <v>17.000000000000004</v>
      </c>
      <c r="P482" s="22">
        <f t="shared" si="31"/>
        <v>17.944444444444446</v>
      </c>
    </row>
    <row r="483" spans="1:16" x14ac:dyDescent="0.3">
      <c r="A483" s="40">
        <v>482</v>
      </c>
      <c r="C483" s="21">
        <v>2888</v>
      </c>
      <c r="D483" s="15" t="s">
        <v>714</v>
      </c>
      <c r="E483" s="17">
        <v>49.9</v>
      </c>
      <c r="F483" s="35" t="s">
        <v>16</v>
      </c>
      <c r="G483" s="16">
        <v>743.34</v>
      </c>
      <c r="H483" s="16">
        <v>450.18</v>
      </c>
      <c r="I483" s="16">
        <v>293.16000000000003</v>
      </c>
      <c r="J483" s="17">
        <v>65.12</v>
      </c>
      <c r="K483" s="18">
        <f>20/30</f>
        <v>0.66666666666666663</v>
      </c>
      <c r="L483" s="18">
        <f>1/6</f>
        <v>0.16666666666666666</v>
      </c>
      <c r="M483" s="19">
        <f t="shared" si="28"/>
        <v>2.7722222222222221</v>
      </c>
      <c r="N483" s="44">
        <f t="shared" si="29"/>
        <v>5.5444444444444443</v>
      </c>
      <c r="O483" s="44">
        <f t="shared" si="30"/>
        <v>24.95</v>
      </c>
      <c r="P483" s="22">
        <f t="shared" si="31"/>
        <v>27.722222222222221</v>
      </c>
    </row>
    <row r="484" spans="1:16" x14ac:dyDescent="0.3">
      <c r="A484" s="40">
        <v>483</v>
      </c>
      <c r="C484" s="21">
        <v>409</v>
      </c>
      <c r="D484" s="15" t="s">
        <v>715</v>
      </c>
      <c r="E484" s="15">
        <v>62</v>
      </c>
      <c r="F484" s="35" t="s">
        <v>9</v>
      </c>
      <c r="G484" s="16">
        <v>743</v>
      </c>
      <c r="H484" s="16">
        <v>743.4</v>
      </c>
      <c r="I484" s="16">
        <v>-0.4</v>
      </c>
      <c r="J484" s="17">
        <v>-0.05</v>
      </c>
      <c r="K484" s="18">
        <f>15/30</f>
        <v>0.5</v>
      </c>
      <c r="L484" s="18">
        <f>1/6</f>
        <v>0.16666666666666666</v>
      </c>
      <c r="M484" s="19">
        <f t="shared" si="28"/>
        <v>2.5833333333333335</v>
      </c>
      <c r="N484" s="44">
        <f t="shared" si="29"/>
        <v>5.166666666666667</v>
      </c>
      <c r="O484" s="44">
        <f t="shared" si="30"/>
        <v>31.000000000000004</v>
      </c>
      <c r="P484" s="22">
        <f t="shared" si="31"/>
        <v>33.583333333333336</v>
      </c>
    </row>
    <row r="485" spans="1:16" x14ac:dyDescent="0.3">
      <c r="A485" s="40">
        <v>484</v>
      </c>
      <c r="C485" s="21">
        <v>644</v>
      </c>
      <c r="D485" s="15" t="s">
        <v>716</v>
      </c>
      <c r="E485" s="15">
        <v>92</v>
      </c>
      <c r="F485" s="35" t="s">
        <v>9</v>
      </c>
      <c r="G485" s="16">
        <v>742.21</v>
      </c>
      <c r="H485" s="16">
        <v>417.68</v>
      </c>
      <c r="I485" s="16">
        <v>324.52999999999997</v>
      </c>
      <c r="J485" s="17">
        <v>77.7</v>
      </c>
      <c r="K485" s="18">
        <v>1</v>
      </c>
      <c r="L485" s="18">
        <f>1/6</f>
        <v>0.16666666666666666</v>
      </c>
      <c r="M485" s="19">
        <f t="shared" si="28"/>
        <v>7.666666666666667</v>
      </c>
      <c r="N485" s="44">
        <f t="shared" si="29"/>
        <v>15.333333333333334</v>
      </c>
      <c r="O485" s="44">
        <f t="shared" si="30"/>
        <v>46.000000000000007</v>
      </c>
      <c r="P485" s="22">
        <f t="shared" si="31"/>
        <v>53.666666666666671</v>
      </c>
    </row>
    <row r="486" spans="1:16" x14ac:dyDescent="0.3">
      <c r="A486" s="40">
        <v>485</v>
      </c>
      <c r="C486" s="21">
        <v>4588</v>
      </c>
      <c r="D486" s="15" t="s">
        <v>717</v>
      </c>
      <c r="E486" s="15">
        <v>4</v>
      </c>
      <c r="F486" s="35" t="s">
        <v>9</v>
      </c>
      <c r="G486" s="16">
        <v>740</v>
      </c>
      <c r="H486" s="16">
        <v>740</v>
      </c>
      <c r="I486" s="16">
        <v>0</v>
      </c>
      <c r="J486" s="17">
        <v>0</v>
      </c>
      <c r="K486" s="18">
        <f>20/30</f>
        <v>0.66666666666666663</v>
      </c>
      <c r="L486" s="18">
        <f>1/3</f>
        <v>0.33333333333333331</v>
      </c>
      <c r="M486" s="19">
        <f t="shared" si="28"/>
        <v>0.22222222222222221</v>
      </c>
      <c r="N486" s="44">
        <f t="shared" si="29"/>
        <v>0.44444444444444442</v>
      </c>
      <c r="O486" s="44">
        <f t="shared" si="30"/>
        <v>1</v>
      </c>
      <c r="P486" s="22">
        <f t="shared" si="31"/>
        <v>1.2222222222222223</v>
      </c>
    </row>
    <row r="487" spans="1:16" x14ac:dyDescent="0.3">
      <c r="A487" s="40">
        <v>486</v>
      </c>
      <c r="C487" s="21">
        <v>2545</v>
      </c>
      <c r="D487" s="15" t="s">
        <v>718</v>
      </c>
      <c r="E487" s="15">
        <v>2</v>
      </c>
      <c r="F487" s="35" t="s">
        <v>9</v>
      </c>
      <c r="G487" s="16">
        <v>736</v>
      </c>
      <c r="H487" s="16">
        <v>660</v>
      </c>
      <c r="I487" s="16">
        <v>76</v>
      </c>
      <c r="J487" s="17">
        <v>11.52</v>
      </c>
      <c r="K487" s="18">
        <f>20/30</f>
        <v>0.66666666666666663</v>
      </c>
      <c r="L487" s="18">
        <f>1/4</f>
        <v>0.25</v>
      </c>
      <c r="M487" s="19">
        <f t="shared" si="28"/>
        <v>0.1111111111111111</v>
      </c>
      <c r="N487" s="44">
        <f t="shared" si="29"/>
        <v>0.22222222222222221</v>
      </c>
      <c r="O487" s="44">
        <f t="shared" si="30"/>
        <v>0.66666666666666663</v>
      </c>
      <c r="P487" s="22">
        <f t="shared" si="31"/>
        <v>0.77777777777777768</v>
      </c>
    </row>
    <row r="488" spans="1:16" x14ac:dyDescent="0.3">
      <c r="A488" s="40">
        <v>487</v>
      </c>
      <c r="C488" s="21">
        <v>1560</v>
      </c>
      <c r="D488" s="15" t="s">
        <v>102</v>
      </c>
      <c r="E488" s="15">
        <v>16</v>
      </c>
      <c r="F488" s="35" t="s">
        <v>9</v>
      </c>
      <c r="G488" s="16">
        <v>735.04</v>
      </c>
      <c r="H488" s="16">
        <v>686.4</v>
      </c>
      <c r="I488" s="16">
        <v>48.64</v>
      </c>
      <c r="J488" s="17">
        <v>7.09</v>
      </c>
      <c r="K488" s="18">
        <v>1</v>
      </c>
      <c r="L488" s="18">
        <f>1/4</f>
        <v>0.25</v>
      </c>
      <c r="M488" s="19">
        <f t="shared" si="28"/>
        <v>1.3333333333333333</v>
      </c>
      <c r="N488" s="44">
        <f t="shared" si="29"/>
        <v>2.6666666666666665</v>
      </c>
      <c r="O488" s="44">
        <f t="shared" si="30"/>
        <v>5.333333333333333</v>
      </c>
      <c r="P488" s="22">
        <f t="shared" si="31"/>
        <v>6.6666666666666661</v>
      </c>
    </row>
    <row r="489" spans="1:16" x14ac:dyDescent="0.3">
      <c r="A489" s="40">
        <v>488</v>
      </c>
      <c r="C489" s="21">
        <v>876</v>
      </c>
      <c r="D489" s="15" t="s">
        <v>87</v>
      </c>
      <c r="E489" s="15">
        <v>19</v>
      </c>
      <c r="F489" s="35" t="s">
        <v>9</v>
      </c>
      <c r="G489" s="16">
        <v>734.52</v>
      </c>
      <c r="H489" s="16">
        <v>608</v>
      </c>
      <c r="I489" s="16">
        <v>126.52</v>
      </c>
      <c r="J489" s="17">
        <v>20.81</v>
      </c>
      <c r="K489" s="18">
        <v>1</v>
      </c>
      <c r="L489" s="18">
        <f>1/12</f>
        <v>8.3333333333333329E-2</v>
      </c>
      <c r="M489" s="19">
        <f t="shared" si="28"/>
        <v>1.5833333333333333</v>
      </c>
      <c r="N489" s="44">
        <f t="shared" si="29"/>
        <v>3.1666666666666665</v>
      </c>
      <c r="O489" s="44">
        <f t="shared" si="30"/>
        <v>19</v>
      </c>
      <c r="P489" s="22">
        <f t="shared" si="31"/>
        <v>20.583333333333332</v>
      </c>
    </row>
    <row r="490" spans="1:16" x14ac:dyDescent="0.3">
      <c r="A490" s="40">
        <v>489</v>
      </c>
      <c r="C490" s="21">
        <v>2502</v>
      </c>
      <c r="D490" s="15" t="s">
        <v>719</v>
      </c>
      <c r="E490" s="15">
        <v>3</v>
      </c>
      <c r="F490" s="35" t="s">
        <v>86</v>
      </c>
      <c r="G490" s="16">
        <v>731.18</v>
      </c>
      <c r="H490" s="16">
        <v>705</v>
      </c>
      <c r="I490" s="16">
        <v>26.18</v>
      </c>
      <c r="J490" s="17">
        <v>3.71</v>
      </c>
      <c r="K490" s="18">
        <v>1</v>
      </c>
      <c r="L490" s="18">
        <f>1/6</f>
        <v>0.16666666666666666</v>
      </c>
      <c r="M490" s="19">
        <f t="shared" si="28"/>
        <v>0.25</v>
      </c>
      <c r="N490" s="44">
        <f t="shared" si="29"/>
        <v>0.5</v>
      </c>
      <c r="O490" s="44">
        <f t="shared" si="30"/>
        <v>1.5</v>
      </c>
      <c r="P490" s="22">
        <f t="shared" si="31"/>
        <v>1.75</v>
      </c>
    </row>
    <row r="491" spans="1:16" x14ac:dyDescent="0.3">
      <c r="A491" s="40">
        <v>490</v>
      </c>
      <c r="C491" s="21">
        <v>3641</v>
      </c>
      <c r="D491" s="15" t="s">
        <v>720</v>
      </c>
      <c r="E491" s="15">
        <v>18</v>
      </c>
      <c r="F491" s="35" t="s">
        <v>22</v>
      </c>
      <c r="G491" s="16">
        <v>729.97</v>
      </c>
      <c r="H491" s="16">
        <v>612</v>
      </c>
      <c r="I491" s="16">
        <v>117.97</v>
      </c>
      <c r="J491" s="17">
        <v>19.28</v>
      </c>
      <c r="K491" s="18">
        <f>20/30</f>
        <v>0.66666666666666663</v>
      </c>
      <c r="L491" s="18">
        <f>1/6</f>
        <v>0.16666666666666666</v>
      </c>
      <c r="M491" s="19">
        <f t="shared" si="28"/>
        <v>1</v>
      </c>
      <c r="N491" s="44">
        <f t="shared" si="29"/>
        <v>2</v>
      </c>
      <c r="O491" s="44">
        <f t="shared" si="30"/>
        <v>9</v>
      </c>
      <c r="P491" s="22">
        <f t="shared" si="31"/>
        <v>10</v>
      </c>
    </row>
    <row r="492" spans="1:16" x14ac:dyDescent="0.3">
      <c r="A492" s="40">
        <v>491</v>
      </c>
      <c r="C492" s="21">
        <v>526</v>
      </c>
      <c r="D492" s="15" t="s">
        <v>721</v>
      </c>
      <c r="E492" s="15">
        <v>6</v>
      </c>
      <c r="F492" s="35" t="s">
        <v>9</v>
      </c>
      <c r="G492" s="16">
        <v>729.55</v>
      </c>
      <c r="H492" s="16">
        <v>936</v>
      </c>
      <c r="I492" s="16">
        <v>-206.45</v>
      </c>
      <c r="J492" s="17">
        <v>-22.06</v>
      </c>
      <c r="K492" s="18">
        <f>15/30</f>
        <v>0.5</v>
      </c>
      <c r="L492" s="18">
        <f>1/12</f>
        <v>8.3333333333333329E-2</v>
      </c>
      <c r="M492" s="19">
        <f t="shared" si="28"/>
        <v>0.25</v>
      </c>
      <c r="N492" s="44">
        <f t="shared" si="29"/>
        <v>0.5</v>
      </c>
      <c r="O492" s="44">
        <f t="shared" si="30"/>
        <v>6</v>
      </c>
      <c r="P492" s="22">
        <f t="shared" si="31"/>
        <v>6.25</v>
      </c>
    </row>
    <row r="493" spans="1:16" x14ac:dyDescent="0.3">
      <c r="A493" s="40">
        <v>492</v>
      </c>
      <c r="C493" s="21">
        <v>777</v>
      </c>
      <c r="D493" s="15" t="s">
        <v>722</v>
      </c>
      <c r="E493" s="17">
        <v>143.6</v>
      </c>
      <c r="F493" s="35" t="s">
        <v>12</v>
      </c>
      <c r="G493" s="16">
        <v>727.93</v>
      </c>
      <c r="H493" s="16">
        <v>623.54</v>
      </c>
      <c r="I493" s="16">
        <v>104.39</v>
      </c>
      <c r="J493" s="17">
        <v>16.739999999999998</v>
      </c>
      <c r="K493" s="18">
        <v>1</v>
      </c>
      <c r="L493" s="18">
        <f>1/4</f>
        <v>0.25</v>
      </c>
      <c r="M493" s="19">
        <f t="shared" si="28"/>
        <v>11.966666666666667</v>
      </c>
      <c r="N493" s="44">
        <f t="shared" si="29"/>
        <v>23.933333333333334</v>
      </c>
      <c r="O493" s="44">
        <f t="shared" si="30"/>
        <v>47.866666666666667</v>
      </c>
      <c r="P493" s="22">
        <f t="shared" si="31"/>
        <v>59.833333333333336</v>
      </c>
    </row>
    <row r="494" spans="1:16" x14ac:dyDescent="0.3">
      <c r="A494" s="40">
        <v>493</v>
      </c>
      <c r="C494" s="21">
        <v>1949</v>
      </c>
      <c r="D494" s="15" t="s">
        <v>723</v>
      </c>
      <c r="E494" s="15">
        <v>121</v>
      </c>
      <c r="F494" s="35" t="s">
        <v>9</v>
      </c>
      <c r="G494" s="16">
        <v>727.37</v>
      </c>
      <c r="H494" s="16">
        <v>592.79999999999995</v>
      </c>
      <c r="I494" s="16">
        <v>134.57</v>
      </c>
      <c r="J494" s="17">
        <v>22.7</v>
      </c>
      <c r="K494" s="18">
        <f>15/30</f>
        <v>0.5</v>
      </c>
      <c r="L494" s="18">
        <f>1/4</f>
        <v>0.25</v>
      </c>
      <c r="M494" s="19">
        <f t="shared" si="28"/>
        <v>5.041666666666667</v>
      </c>
      <c r="N494" s="44">
        <f t="shared" si="29"/>
        <v>10.083333333333334</v>
      </c>
      <c r="O494" s="44">
        <f t="shared" si="30"/>
        <v>40.333333333333336</v>
      </c>
      <c r="P494" s="22">
        <f t="shared" si="31"/>
        <v>45.375</v>
      </c>
    </row>
    <row r="495" spans="1:16" x14ac:dyDescent="0.3">
      <c r="A495" s="40">
        <v>494</v>
      </c>
      <c r="C495" s="21">
        <v>3661</v>
      </c>
      <c r="D495" s="15" t="s">
        <v>724</v>
      </c>
      <c r="E495" s="15">
        <v>1080</v>
      </c>
      <c r="F495" s="35" t="s">
        <v>12</v>
      </c>
      <c r="G495" s="16">
        <v>726.34</v>
      </c>
      <c r="H495" s="16">
        <v>810</v>
      </c>
      <c r="I495" s="16">
        <v>-83.66</v>
      </c>
      <c r="J495" s="17">
        <v>-10.33</v>
      </c>
      <c r="K495" s="18">
        <v>1</v>
      </c>
      <c r="L495" s="18">
        <f>1/4</f>
        <v>0.25</v>
      </c>
      <c r="M495" s="19">
        <f t="shared" si="28"/>
        <v>90</v>
      </c>
      <c r="N495" s="44">
        <f t="shared" si="29"/>
        <v>180</v>
      </c>
      <c r="O495" s="44">
        <f t="shared" si="30"/>
        <v>360</v>
      </c>
      <c r="P495" s="22">
        <f t="shared" si="31"/>
        <v>450</v>
      </c>
    </row>
    <row r="496" spans="1:16" x14ac:dyDescent="0.3">
      <c r="A496" s="40">
        <v>495</v>
      </c>
      <c r="C496" s="21">
        <v>164</v>
      </c>
      <c r="D496" s="15" t="s">
        <v>725</v>
      </c>
      <c r="E496" s="15">
        <v>194</v>
      </c>
      <c r="F496" s="35" t="s">
        <v>12</v>
      </c>
      <c r="G496" s="16">
        <v>726.17</v>
      </c>
      <c r="H496" s="16">
        <v>572.29999999999995</v>
      </c>
      <c r="I496" s="16">
        <v>153.87</v>
      </c>
      <c r="J496" s="17">
        <v>26.89</v>
      </c>
      <c r="K496" s="18">
        <f>25/30</f>
        <v>0.83333333333333337</v>
      </c>
      <c r="L496" s="18">
        <f>1/6</f>
        <v>0.16666666666666666</v>
      </c>
      <c r="M496" s="19">
        <f t="shared" si="28"/>
        <v>13.472222222222223</v>
      </c>
      <c r="N496" s="44">
        <f t="shared" si="29"/>
        <v>26.944444444444446</v>
      </c>
      <c r="O496" s="44">
        <f t="shared" si="30"/>
        <v>97.000000000000014</v>
      </c>
      <c r="P496" s="22">
        <f t="shared" si="31"/>
        <v>110.47222222222224</v>
      </c>
    </row>
    <row r="497" spans="1:16" x14ac:dyDescent="0.3">
      <c r="A497" s="40">
        <v>496</v>
      </c>
      <c r="C497" s="21">
        <v>1685</v>
      </c>
      <c r="D497" s="15" t="s">
        <v>726</v>
      </c>
      <c r="E497" s="15">
        <v>64</v>
      </c>
      <c r="F497" s="35" t="s">
        <v>16</v>
      </c>
      <c r="G497" s="16">
        <v>725.76</v>
      </c>
      <c r="H497" s="16">
        <v>540.61</v>
      </c>
      <c r="I497" s="16">
        <v>185.15</v>
      </c>
      <c r="J497" s="17">
        <v>34.25</v>
      </c>
      <c r="K497" s="18">
        <f>15/30</f>
        <v>0.5</v>
      </c>
      <c r="L497" s="18">
        <f>1/4</f>
        <v>0.25</v>
      </c>
      <c r="M497" s="19">
        <f t="shared" si="28"/>
        <v>2.6666666666666665</v>
      </c>
      <c r="N497" s="44">
        <f t="shared" si="29"/>
        <v>5.333333333333333</v>
      </c>
      <c r="O497" s="44">
        <f t="shared" si="30"/>
        <v>21.333333333333332</v>
      </c>
      <c r="P497" s="22">
        <f t="shared" si="31"/>
        <v>24</v>
      </c>
    </row>
    <row r="498" spans="1:16" x14ac:dyDescent="0.3">
      <c r="A498" s="40">
        <v>497</v>
      </c>
      <c r="C498" s="21">
        <v>5105</v>
      </c>
      <c r="D498" s="15" t="s">
        <v>727</v>
      </c>
      <c r="E498" s="15">
        <v>48</v>
      </c>
      <c r="F498" s="35" t="s">
        <v>9</v>
      </c>
      <c r="G498" s="16">
        <v>725.33</v>
      </c>
      <c r="H498" s="16">
        <v>888</v>
      </c>
      <c r="I498" s="16">
        <v>-162.66999999999999</v>
      </c>
      <c r="J498" s="17">
        <v>-18.32</v>
      </c>
      <c r="K498" s="18">
        <f>20/30</f>
        <v>0.66666666666666663</v>
      </c>
      <c r="L498" s="18">
        <f>1/6</f>
        <v>0.16666666666666666</v>
      </c>
      <c r="M498" s="19">
        <f t="shared" si="28"/>
        <v>2.6666666666666665</v>
      </c>
      <c r="N498" s="44">
        <f t="shared" si="29"/>
        <v>5.333333333333333</v>
      </c>
      <c r="O498" s="44">
        <f t="shared" si="30"/>
        <v>24</v>
      </c>
      <c r="P498" s="22">
        <f t="shared" si="31"/>
        <v>26.666666666666668</v>
      </c>
    </row>
    <row r="499" spans="1:16" x14ac:dyDescent="0.3">
      <c r="A499" s="40">
        <v>498</v>
      </c>
      <c r="C499" s="48">
        <v>4593</v>
      </c>
      <c r="D499" s="49" t="s">
        <v>315</v>
      </c>
      <c r="E499" s="15">
        <f>42+102</f>
        <v>144</v>
      </c>
      <c r="F499" s="35" t="s">
        <v>9</v>
      </c>
      <c r="G499" s="16">
        <v>724.42</v>
      </c>
      <c r="H499" s="16">
        <v>497.4</v>
      </c>
      <c r="I499" s="16">
        <v>227.02</v>
      </c>
      <c r="J499" s="17">
        <v>45.64</v>
      </c>
      <c r="K499" s="18">
        <v>1</v>
      </c>
      <c r="L499" s="18">
        <f>1/4</f>
        <v>0.25</v>
      </c>
      <c r="M499" s="19">
        <f t="shared" si="28"/>
        <v>12</v>
      </c>
      <c r="N499" s="44">
        <f t="shared" si="29"/>
        <v>24</v>
      </c>
      <c r="O499" s="44">
        <f t="shared" si="30"/>
        <v>48</v>
      </c>
      <c r="P499" s="22">
        <f t="shared" si="31"/>
        <v>60</v>
      </c>
    </row>
    <row r="500" spans="1:16" x14ac:dyDescent="0.3">
      <c r="A500" s="40">
        <v>499</v>
      </c>
      <c r="C500" s="21">
        <v>168</v>
      </c>
      <c r="D500" s="15" t="s">
        <v>728</v>
      </c>
      <c r="E500" s="15">
        <v>265</v>
      </c>
      <c r="F500" s="35" t="s">
        <v>9</v>
      </c>
      <c r="G500" s="16">
        <v>721.76</v>
      </c>
      <c r="H500" s="16">
        <v>561.79999999999995</v>
      </c>
      <c r="I500" s="16">
        <v>159.96</v>
      </c>
      <c r="J500" s="17">
        <v>28.47</v>
      </c>
      <c r="K500" s="18">
        <f>10/30</f>
        <v>0.33333333333333331</v>
      </c>
      <c r="L500" s="18">
        <f>30/40</f>
        <v>0.75</v>
      </c>
      <c r="M500" s="19">
        <f t="shared" si="28"/>
        <v>7.3611111111111107</v>
      </c>
      <c r="N500" s="44">
        <f t="shared" si="29"/>
        <v>14.722222222222221</v>
      </c>
      <c r="O500" s="44">
        <f t="shared" si="30"/>
        <v>29.444444444444443</v>
      </c>
      <c r="P500" s="22">
        <f t="shared" si="31"/>
        <v>36.805555555555557</v>
      </c>
    </row>
    <row r="501" spans="1:16" x14ac:dyDescent="0.3">
      <c r="A501" s="40">
        <v>500</v>
      </c>
      <c r="C501" s="21">
        <v>3980</v>
      </c>
      <c r="D501" s="15" t="s">
        <v>729</v>
      </c>
      <c r="E501" s="15">
        <v>6</v>
      </c>
      <c r="F501" s="35" t="s">
        <v>9</v>
      </c>
      <c r="G501" s="16">
        <v>720.99</v>
      </c>
      <c r="H501" s="16">
        <v>638.96</v>
      </c>
      <c r="I501" s="16">
        <v>82.03</v>
      </c>
      <c r="J501" s="17">
        <v>12.84</v>
      </c>
      <c r="K501" s="18">
        <v>1</v>
      </c>
      <c r="L501" s="18">
        <f>1/12</f>
        <v>8.3333333333333329E-2</v>
      </c>
      <c r="M501" s="19">
        <f t="shared" si="28"/>
        <v>0.5</v>
      </c>
      <c r="N501" s="44">
        <f t="shared" si="29"/>
        <v>1</v>
      </c>
      <c r="O501" s="44">
        <f t="shared" si="30"/>
        <v>6</v>
      </c>
      <c r="P501" s="22">
        <f t="shared" si="31"/>
        <v>6.5</v>
      </c>
    </row>
    <row r="502" spans="1:16" x14ac:dyDescent="0.3">
      <c r="A502" s="40">
        <v>501</v>
      </c>
      <c r="C502" s="21">
        <v>1866</v>
      </c>
      <c r="D502" s="15" t="s">
        <v>730</v>
      </c>
      <c r="E502" s="15">
        <v>10</v>
      </c>
      <c r="F502" s="35" t="s">
        <v>9</v>
      </c>
      <c r="G502" s="16">
        <v>720.42</v>
      </c>
      <c r="H502" s="16">
        <v>582.25</v>
      </c>
      <c r="I502" s="16">
        <v>138.16999999999999</v>
      </c>
      <c r="J502" s="17">
        <v>23.73</v>
      </c>
      <c r="K502" s="18">
        <v>1</v>
      </c>
      <c r="L502" s="18">
        <f>1/6</f>
        <v>0.16666666666666666</v>
      </c>
      <c r="M502" s="19">
        <f t="shared" si="28"/>
        <v>0.83333333333333337</v>
      </c>
      <c r="N502" s="44">
        <f t="shared" si="29"/>
        <v>1.6666666666666667</v>
      </c>
      <c r="O502" s="44">
        <f t="shared" si="30"/>
        <v>5.0000000000000009</v>
      </c>
      <c r="P502" s="22">
        <f t="shared" si="31"/>
        <v>5.8333333333333339</v>
      </c>
    </row>
    <row r="503" spans="1:16" x14ac:dyDescent="0.3">
      <c r="A503" s="40">
        <v>502</v>
      </c>
      <c r="C503" s="21">
        <v>5068</v>
      </c>
      <c r="D503" s="15" t="s">
        <v>731</v>
      </c>
      <c r="E503" s="15">
        <v>4</v>
      </c>
      <c r="F503" s="35" t="s">
        <v>9</v>
      </c>
      <c r="G503" s="16">
        <v>719.99</v>
      </c>
      <c r="H503" s="16">
        <v>600</v>
      </c>
      <c r="I503" s="16">
        <v>119.99</v>
      </c>
      <c r="J503" s="17">
        <v>20</v>
      </c>
      <c r="K503" s="18">
        <f>20/30</f>
        <v>0.66666666666666663</v>
      </c>
      <c r="L503" s="18">
        <f>1/4</f>
        <v>0.25</v>
      </c>
      <c r="M503" s="19">
        <f t="shared" si="28"/>
        <v>0.22222222222222221</v>
      </c>
      <c r="N503" s="44">
        <f t="shared" si="29"/>
        <v>0.44444444444444442</v>
      </c>
      <c r="O503" s="44">
        <f t="shared" si="30"/>
        <v>1.3333333333333333</v>
      </c>
      <c r="P503" s="22">
        <f t="shared" si="31"/>
        <v>1.5555555555555554</v>
      </c>
    </row>
    <row r="504" spans="1:16" x14ac:dyDescent="0.3">
      <c r="A504" s="40">
        <v>503</v>
      </c>
      <c r="C504" s="21">
        <v>5035</v>
      </c>
      <c r="D504" s="15" t="s">
        <v>732</v>
      </c>
      <c r="E504" s="15">
        <f>6+5</f>
        <v>11</v>
      </c>
      <c r="F504" s="35" t="s">
        <v>9</v>
      </c>
      <c r="G504" s="16">
        <v>715.76</v>
      </c>
      <c r="H504" s="16">
        <v>762</v>
      </c>
      <c r="I504" s="16">
        <v>-46.24</v>
      </c>
      <c r="J504" s="17">
        <v>-6.07</v>
      </c>
      <c r="K504" s="18">
        <v>1</v>
      </c>
      <c r="L504" s="18">
        <f>1/6</f>
        <v>0.16666666666666666</v>
      </c>
      <c r="M504" s="19">
        <f t="shared" si="28"/>
        <v>0.91666666666666663</v>
      </c>
      <c r="N504" s="44">
        <f t="shared" si="29"/>
        <v>1.8333333333333333</v>
      </c>
      <c r="O504" s="44">
        <f t="shared" si="30"/>
        <v>5.5</v>
      </c>
      <c r="P504" s="22">
        <f t="shared" si="31"/>
        <v>6.416666666666667</v>
      </c>
    </row>
    <row r="505" spans="1:16" x14ac:dyDescent="0.3">
      <c r="A505" s="40">
        <v>504</v>
      </c>
      <c r="C505" s="21">
        <v>692</v>
      </c>
      <c r="D505" s="15" t="s">
        <v>347</v>
      </c>
      <c r="E505" s="17">
        <f>107.05+103.57</f>
        <v>210.62</v>
      </c>
      <c r="F505" s="35" t="s">
        <v>16</v>
      </c>
      <c r="G505" s="16">
        <v>714.88</v>
      </c>
      <c r="H505" s="16">
        <v>813.58</v>
      </c>
      <c r="I505" s="16">
        <v>-98.7</v>
      </c>
      <c r="J505" s="17">
        <v>-12.13</v>
      </c>
      <c r="K505" s="18">
        <v>1</v>
      </c>
      <c r="L505" s="18">
        <f>1/4</f>
        <v>0.25</v>
      </c>
      <c r="M505" s="19">
        <f t="shared" si="28"/>
        <v>17.551666666666666</v>
      </c>
      <c r="N505" s="44">
        <f t="shared" si="29"/>
        <v>35.103333333333332</v>
      </c>
      <c r="O505" s="44">
        <f t="shared" si="30"/>
        <v>70.206666666666663</v>
      </c>
      <c r="P505" s="22">
        <f t="shared" si="31"/>
        <v>87.758333333333326</v>
      </c>
    </row>
    <row r="506" spans="1:16" x14ac:dyDescent="0.3">
      <c r="A506" s="40">
        <v>505</v>
      </c>
      <c r="C506" s="21">
        <v>1836</v>
      </c>
      <c r="D506" s="15" t="s">
        <v>733</v>
      </c>
      <c r="E506" s="15">
        <v>20</v>
      </c>
      <c r="F506" s="35" t="s">
        <v>9</v>
      </c>
      <c r="G506" s="16">
        <v>714.68</v>
      </c>
      <c r="H506" s="16">
        <v>758</v>
      </c>
      <c r="I506" s="16">
        <v>-43.32</v>
      </c>
      <c r="J506" s="17">
        <v>-5.72</v>
      </c>
      <c r="K506" s="18">
        <v>1</v>
      </c>
      <c r="L506" s="18">
        <f>1/6</f>
        <v>0.16666666666666666</v>
      </c>
      <c r="M506" s="19">
        <f t="shared" si="28"/>
        <v>1.6666666666666667</v>
      </c>
      <c r="N506" s="44">
        <f t="shared" si="29"/>
        <v>3.3333333333333335</v>
      </c>
      <c r="O506" s="44">
        <f t="shared" si="30"/>
        <v>10.000000000000002</v>
      </c>
      <c r="P506" s="22">
        <f t="shared" si="31"/>
        <v>11.666666666666668</v>
      </c>
    </row>
    <row r="507" spans="1:16" x14ac:dyDescent="0.3">
      <c r="A507" s="40">
        <v>506</v>
      </c>
      <c r="C507" s="21">
        <v>1080</v>
      </c>
      <c r="D507" s="15" t="s">
        <v>734</v>
      </c>
      <c r="E507" s="15">
        <v>987</v>
      </c>
      <c r="F507" s="35" t="s">
        <v>9</v>
      </c>
      <c r="G507" s="16">
        <v>712.71</v>
      </c>
      <c r="H507" s="16">
        <v>471.8</v>
      </c>
      <c r="I507" s="16">
        <v>240.91</v>
      </c>
      <c r="J507" s="17">
        <v>51.06</v>
      </c>
      <c r="K507" s="18">
        <v>1</v>
      </c>
      <c r="L507" s="18">
        <f>1/4</f>
        <v>0.25</v>
      </c>
      <c r="M507" s="19">
        <f t="shared" si="28"/>
        <v>82.25</v>
      </c>
      <c r="N507" s="44">
        <f t="shared" si="29"/>
        <v>164.5</v>
      </c>
      <c r="O507" s="44">
        <f t="shared" si="30"/>
        <v>329</v>
      </c>
      <c r="P507" s="22">
        <f t="shared" si="31"/>
        <v>411.25</v>
      </c>
    </row>
    <row r="508" spans="1:16" x14ac:dyDescent="0.3">
      <c r="A508" s="40">
        <v>507</v>
      </c>
      <c r="C508" s="21">
        <v>853</v>
      </c>
      <c r="D508" s="15" t="s">
        <v>735</v>
      </c>
      <c r="E508" s="15">
        <v>797</v>
      </c>
      <c r="F508" s="35" t="s">
        <v>9</v>
      </c>
      <c r="G508" s="16">
        <v>711.62</v>
      </c>
      <c r="H508" s="16">
        <v>711.73</v>
      </c>
      <c r="I508" s="16">
        <v>-0.11</v>
      </c>
      <c r="J508" s="17">
        <v>-0.02</v>
      </c>
      <c r="K508" s="18">
        <v>1</v>
      </c>
      <c r="L508" s="18">
        <f>1/4</f>
        <v>0.25</v>
      </c>
      <c r="M508" s="19">
        <f t="shared" si="28"/>
        <v>66.416666666666671</v>
      </c>
      <c r="N508" s="44">
        <f t="shared" si="29"/>
        <v>132.83333333333334</v>
      </c>
      <c r="O508" s="44">
        <f t="shared" si="30"/>
        <v>265.66666666666669</v>
      </c>
      <c r="P508" s="22">
        <f t="shared" si="31"/>
        <v>332.08333333333337</v>
      </c>
    </row>
    <row r="509" spans="1:16" x14ac:dyDescent="0.3">
      <c r="A509" s="40">
        <v>508</v>
      </c>
      <c r="C509" s="21">
        <v>31</v>
      </c>
      <c r="D509" s="15" t="s">
        <v>736</v>
      </c>
      <c r="E509" s="15">
        <v>7</v>
      </c>
      <c r="F509" s="35" t="s">
        <v>9</v>
      </c>
      <c r="G509" s="16">
        <v>711.01</v>
      </c>
      <c r="H509" s="16">
        <v>525</v>
      </c>
      <c r="I509" s="16">
        <v>186.01</v>
      </c>
      <c r="J509" s="17">
        <v>35.43</v>
      </c>
      <c r="K509" s="18">
        <f>10/30</f>
        <v>0.33333333333333331</v>
      </c>
      <c r="L509" s="18">
        <f>1/3</f>
        <v>0.33333333333333331</v>
      </c>
      <c r="M509" s="19">
        <f t="shared" si="28"/>
        <v>0.19444444444444445</v>
      </c>
      <c r="N509" s="44">
        <f t="shared" si="29"/>
        <v>0.3888888888888889</v>
      </c>
      <c r="O509" s="44">
        <f t="shared" si="30"/>
        <v>1.7500000000000002</v>
      </c>
      <c r="P509" s="22">
        <f t="shared" si="31"/>
        <v>1.9444444444444446</v>
      </c>
    </row>
    <row r="510" spans="1:16" x14ac:dyDescent="0.3">
      <c r="A510" s="40">
        <v>509</v>
      </c>
      <c r="C510" s="21">
        <v>4342</v>
      </c>
      <c r="D510" s="15" t="s">
        <v>737</v>
      </c>
      <c r="E510" s="15">
        <v>11</v>
      </c>
      <c r="F510" s="35" t="s">
        <v>9</v>
      </c>
      <c r="G510" s="16">
        <v>709.14</v>
      </c>
      <c r="H510" s="16">
        <v>735.9</v>
      </c>
      <c r="I510" s="16">
        <v>-26.76</v>
      </c>
      <c r="J510" s="17">
        <v>-3.64</v>
      </c>
      <c r="K510" s="18">
        <v>1</v>
      </c>
      <c r="L510" s="18">
        <f>1/6</f>
        <v>0.16666666666666666</v>
      </c>
      <c r="M510" s="19">
        <f t="shared" si="28"/>
        <v>0.91666666666666663</v>
      </c>
      <c r="N510" s="44">
        <f t="shared" si="29"/>
        <v>1.8333333333333333</v>
      </c>
      <c r="O510" s="44">
        <f t="shared" si="30"/>
        <v>5.5</v>
      </c>
      <c r="P510" s="22">
        <f t="shared" si="31"/>
        <v>6.416666666666667</v>
      </c>
    </row>
    <row r="511" spans="1:16" x14ac:dyDescent="0.3">
      <c r="A511" s="40">
        <v>510</v>
      </c>
      <c r="C511" s="21">
        <v>4405</v>
      </c>
      <c r="D511" s="15" t="s">
        <v>738</v>
      </c>
      <c r="E511" s="15">
        <v>13</v>
      </c>
      <c r="F511" s="35" t="s">
        <v>34</v>
      </c>
      <c r="G511" s="16">
        <v>706.76</v>
      </c>
      <c r="H511" s="16">
        <v>722.28</v>
      </c>
      <c r="I511" s="16">
        <v>-15.52</v>
      </c>
      <c r="J511" s="17">
        <v>-2.15</v>
      </c>
      <c r="K511" s="18">
        <f>10/30</f>
        <v>0.33333333333333331</v>
      </c>
      <c r="L511" s="18">
        <f>1/3</f>
        <v>0.33333333333333331</v>
      </c>
      <c r="M511" s="19">
        <f t="shared" si="28"/>
        <v>0.36111111111111105</v>
      </c>
      <c r="N511" s="44">
        <f t="shared" si="29"/>
        <v>0.7222222222222221</v>
      </c>
      <c r="O511" s="44">
        <f t="shared" si="30"/>
        <v>3.25</v>
      </c>
      <c r="P511" s="22">
        <f t="shared" si="31"/>
        <v>3.6111111111111112</v>
      </c>
    </row>
    <row r="512" spans="1:16" x14ac:dyDescent="0.3">
      <c r="A512" s="40">
        <v>511</v>
      </c>
      <c r="C512" s="21">
        <v>4817</v>
      </c>
      <c r="D512" s="15" t="s">
        <v>739</v>
      </c>
      <c r="E512" s="15">
        <v>5</v>
      </c>
      <c r="F512" s="35" t="s">
        <v>25</v>
      </c>
      <c r="G512" s="16">
        <v>706.56</v>
      </c>
      <c r="H512" s="16">
        <v>675</v>
      </c>
      <c r="I512" s="16">
        <v>31.56</v>
      </c>
      <c r="J512" s="17">
        <v>4.68</v>
      </c>
      <c r="K512" s="18">
        <f>10/30</f>
        <v>0.33333333333333331</v>
      </c>
      <c r="L512" s="18">
        <f>1/3</f>
        <v>0.33333333333333331</v>
      </c>
      <c r="M512" s="19">
        <f t="shared" si="28"/>
        <v>0.1388888888888889</v>
      </c>
      <c r="N512" s="44">
        <f t="shared" si="29"/>
        <v>0.27777777777777779</v>
      </c>
      <c r="O512" s="44">
        <f t="shared" si="30"/>
        <v>1.2500000000000002</v>
      </c>
      <c r="P512" s="22">
        <f t="shared" si="31"/>
        <v>1.3888888888888891</v>
      </c>
    </row>
    <row r="513" spans="1:16" x14ac:dyDescent="0.3">
      <c r="A513" s="40">
        <v>512</v>
      </c>
      <c r="C513" s="21">
        <v>264</v>
      </c>
      <c r="D513" s="15" t="s">
        <v>740</v>
      </c>
      <c r="E513" s="15">
        <v>107</v>
      </c>
      <c r="F513" s="35" t="s">
        <v>9</v>
      </c>
      <c r="G513" s="16">
        <v>704.91</v>
      </c>
      <c r="H513" s="16">
        <v>430.21</v>
      </c>
      <c r="I513" s="16">
        <v>274.7</v>
      </c>
      <c r="J513" s="17">
        <v>63.85</v>
      </c>
      <c r="K513" s="18">
        <f>15/30</f>
        <v>0.5</v>
      </c>
      <c r="L513" s="18">
        <f>1/3</f>
        <v>0.33333333333333331</v>
      </c>
      <c r="M513" s="19">
        <f t="shared" si="28"/>
        <v>4.458333333333333</v>
      </c>
      <c r="N513" s="44">
        <f t="shared" si="29"/>
        <v>8.9166666666666661</v>
      </c>
      <c r="O513" s="44">
        <f t="shared" si="30"/>
        <v>26.75</v>
      </c>
      <c r="P513" s="22">
        <f t="shared" si="31"/>
        <v>31.208333333333332</v>
      </c>
    </row>
    <row r="514" spans="1:16" x14ac:dyDescent="0.3">
      <c r="A514" s="40">
        <v>513</v>
      </c>
      <c r="C514" s="47">
        <v>541</v>
      </c>
      <c r="D514" s="15" t="s">
        <v>741</v>
      </c>
      <c r="E514" s="15">
        <v>52</v>
      </c>
      <c r="F514" s="35" t="s">
        <v>9</v>
      </c>
      <c r="G514" s="16">
        <v>702.77</v>
      </c>
      <c r="H514" s="16">
        <v>0</v>
      </c>
      <c r="I514" s="16">
        <v>702.77</v>
      </c>
      <c r="J514" s="17">
        <v>100</v>
      </c>
      <c r="K514" s="18">
        <f>20/30</f>
        <v>0.66666666666666663</v>
      </c>
      <c r="L514" s="18">
        <f>1/6</f>
        <v>0.16666666666666666</v>
      </c>
      <c r="M514" s="19">
        <f t="shared" ref="M514:M582" si="32">(E514/12)*K514</f>
        <v>2.8888888888888884</v>
      </c>
      <c r="N514" s="44">
        <f t="shared" ref="N514:N577" si="33">((E514/12)*K514)+M514</f>
        <v>5.7777777777777768</v>
      </c>
      <c r="O514" s="44">
        <f t="shared" ref="O514:O582" si="34">(E514/12)/L514</f>
        <v>26</v>
      </c>
      <c r="P514" s="22">
        <f t="shared" ref="P514:P577" si="35">O514+M514</f>
        <v>28.888888888888889</v>
      </c>
    </row>
    <row r="515" spans="1:16" x14ac:dyDescent="0.3">
      <c r="A515" s="40">
        <v>514</v>
      </c>
      <c r="C515" s="21">
        <v>4347</v>
      </c>
      <c r="D515" s="15" t="s">
        <v>742</v>
      </c>
      <c r="E515" s="17">
        <v>84.5</v>
      </c>
      <c r="F515" s="35" t="s">
        <v>9</v>
      </c>
      <c r="G515" s="16">
        <v>702.64</v>
      </c>
      <c r="H515" s="16">
        <v>794.3</v>
      </c>
      <c r="I515" s="16">
        <v>-91.66</v>
      </c>
      <c r="J515" s="17">
        <v>-11.54</v>
      </c>
      <c r="K515" s="18">
        <v>1</v>
      </c>
      <c r="L515" s="18">
        <f>1/4</f>
        <v>0.25</v>
      </c>
      <c r="M515" s="19">
        <f t="shared" si="32"/>
        <v>7.041666666666667</v>
      </c>
      <c r="N515" s="44">
        <f t="shared" si="33"/>
        <v>14.083333333333334</v>
      </c>
      <c r="O515" s="44">
        <f t="shared" si="34"/>
        <v>28.166666666666668</v>
      </c>
      <c r="P515" s="22">
        <f t="shared" si="35"/>
        <v>35.208333333333336</v>
      </c>
    </row>
    <row r="516" spans="1:16" x14ac:dyDescent="0.3">
      <c r="A516" s="40">
        <v>515</v>
      </c>
      <c r="C516" s="21">
        <v>684</v>
      </c>
      <c r="D516" s="15" t="s">
        <v>743</v>
      </c>
      <c r="E516" s="15">
        <v>29</v>
      </c>
      <c r="F516" s="35" t="s">
        <v>9</v>
      </c>
      <c r="G516" s="16">
        <v>702.26</v>
      </c>
      <c r="H516" s="16">
        <v>603.61</v>
      </c>
      <c r="I516" s="16">
        <v>98.65</v>
      </c>
      <c r="J516" s="17">
        <v>16.34</v>
      </c>
      <c r="K516" s="18">
        <v>1</v>
      </c>
      <c r="L516" s="18">
        <f>1/6</f>
        <v>0.16666666666666666</v>
      </c>
      <c r="M516" s="19">
        <f t="shared" si="32"/>
        <v>2.4166666666666665</v>
      </c>
      <c r="N516" s="44">
        <f t="shared" si="33"/>
        <v>4.833333333333333</v>
      </c>
      <c r="O516" s="44">
        <f t="shared" si="34"/>
        <v>14.5</v>
      </c>
      <c r="P516" s="22">
        <f t="shared" si="35"/>
        <v>16.916666666666668</v>
      </c>
    </row>
    <row r="517" spans="1:16" x14ac:dyDescent="0.3">
      <c r="A517" s="40">
        <v>516</v>
      </c>
      <c r="C517" s="21">
        <v>4951</v>
      </c>
      <c r="D517" s="15" t="s">
        <v>172</v>
      </c>
      <c r="E517" s="15">
        <v>3</v>
      </c>
      <c r="F517" s="35" t="s">
        <v>9</v>
      </c>
      <c r="G517" s="16">
        <v>701.93</v>
      </c>
      <c r="H517" s="16">
        <v>597</v>
      </c>
      <c r="I517" s="16">
        <v>104.93</v>
      </c>
      <c r="J517" s="17">
        <v>17.579999999999998</v>
      </c>
      <c r="K517" s="18">
        <f>20/30</f>
        <v>0.66666666666666663</v>
      </c>
      <c r="L517" s="18">
        <f>1/6</f>
        <v>0.16666666666666666</v>
      </c>
      <c r="M517" s="19">
        <f t="shared" si="32"/>
        <v>0.16666666666666666</v>
      </c>
      <c r="N517" s="44">
        <f t="shared" si="33"/>
        <v>0.33333333333333331</v>
      </c>
      <c r="O517" s="44">
        <f t="shared" si="34"/>
        <v>1.5</v>
      </c>
      <c r="P517" s="22">
        <f t="shared" si="35"/>
        <v>1.6666666666666667</v>
      </c>
    </row>
    <row r="518" spans="1:16" x14ac:dyDescent="0.3">
      <c r="A518" s="40">
        <v>517</v>
      </c>
      <c r="C518" s="47">
        <v>3</v>
      </c>
      <c r="D518" s="15" t="s">
        <v>744</v>
      </c>
      <c r="E518" s="15">
        <v>224</v>
      </c>
      <c r="F518" s="35" t="s">
        <v>9</v>
      </c>
      <c r="G518" s="16">
        <v>701.56</v>
      </c>
      <c r="H518" s="16">
        <v>554.03</v>
      </c>
      <c r="I518" s="16">
        <v>147.53</v>
      </c>
      <c r="J518" s="17">
        <v>26.63</v>
      </c>
      <c r="K518" s="18">
        <f>15/30</f>
        <v>0.5</v>
      </c>
      <c r="L518" s="18">
        <f>1/2</f>
        <v>0.5</v>
      </c>
      <c r="M518" s="19">
        <f t="shared" si="32"/>
        <v>9.3333333333333339</v>
      </c>
      <c r="N518" s="44">
        <f t="shared" si="33"/>
        <v>18.666666666666668</v>
      </c>
      <c r="O518" s="44">
        <f t="shared" si="34"/>
        <v>37.333333333333336</v>
      </c>
      <c r="P518" s="22">
        <f t="shared" si="35"/>
        <v>46.666666666666671</v>
      </c>
    </row>
    <row r="519" spans="1:16" x14ac:dyDescent="0.3">
      <c r="A519" s="40">
        <v>518</v>
      </c>
      <c r="C519" s="21">
        <v>5156</v>
      </c>
      <c r="D519" s="15" t="s">
        <v>745</v>
      </c>
      <c r="E519" s="17">
        <v>56.93</v>
      </c>
      <c r="F519" s="35" t="s">
        <v>12</v>
      </c>
      <c r="G519" s="16">
        <v>700.56</v>
      </c>
      <c r="H519" s="16">
        <v>711.63</v>
      </c>
      <c r="I519" s="16">
        <v>-11.07</v>
      </c>
      <c r="J519" s="17">
        <v>-1.55</v>
      </c>
      <c r="K519" s="18">
        <f>15/30</f>
        <v>0.5</v>
      </c>
      <c r="L519" s="18">
        <f>1/12</f>
        <v>8.3333333333333329E-2</v>
      </c>
      <c r="M519" s="19">
        <f t="shared" si="32"/>
        <v>2.3720833333333333</v>
      </c>
      <c r="N519" s="44">
        <f t="shared" si="33"/>
        <v>4.7441666666666666</v>
      </c>
      <c r="O519" s="44">
        <f t="shared" si="34"/>
        <v>56.93</v>
      </c>
      <c r="P519" s="22">
        <f t="shared" si="35"/>
        <v>59.302083333333336</v>
      </c>
    </row>
    <row r="520" spans="1:16" x14ac:dyDescent="0.3">
      <c r="A520" s="40">
        <v>519</v>
      </c>
      <c r="C520" s="21">
        <v>4856</v>
      </c>
      <c r="D520" s="15" t="s">
        <v>746</v>
      </c>
      <c r="E520" s="15">
        <v>1326</v>
      </c>
      <c r="F520" s="35" t="s">
        <v>9</v>
      </c>
      <c r="G520" s="16">
        <v>699.01</v>
      </c>
      <c r="H520" s="16">
        <v>493.06</v>
      </c>
      <c r="I520" s="16">
        <v>205.95</v>
      </c>
      <c r="J520" s="17">
        <v>41.77</v>
      </c>
      <c r="K520" s="18">
        <v>1</v>
      </c>
      <c r="L520" s="18">
        <f>1/4</f>
        <v>0.25</v>
      </c>
      <c r="M520" s="19">
        <f t="shared" si="32"/>
        <v>110.5</v>
      </c>
      <c r="N520" s="44">
        <f t="shared" si="33"/>
        <v>221</v>
      </c>
      <c r="O520" s="44">
        <f t="shared" si="34"/>
        <v>442</v>
      </c>
      <c r="P520" s="22">
        <f t="shared" si="35"/>
        <v>552.5</v>
      </c>
    </row>
    <row r="521" spans="1:16" x14ac:dyDescent="0.3">
      <c r="A521" s="40">
        <v>520</v>
      </c>
      <c r="C521" s="21">
        <v>3557</v>
      </c>
      <c r="D521" s="15" t="s">
        <v>747</v>
      </c>
      <c r="E521" s="15">
        <v>21</v>
      </c>
      <c r="F521" s="35" t="s">
        <v>9</v>
      </c>
      <c r="G521" s="16">
        <v>698.54</v>
      </c>
      <c r="H521" s="16">
        <v>1650.13</v>
      </c>
      <c r="I521" s="16">
        <v>-951.59</v>
      </c>
      <c r="J521" s="17">
        <v>-57.67</v>
      </c>
      <c r="K521" s="18">
        <v>1</v>
      </c>
      <c r="L521" s="18">
        <f>1/4</f>
        <v>0.25</v>
      </c>
      <c r="M521" s="19">
        <f t="shared" si="32"/>
        <v>1.75</v>
      </c>
      <c r="N521" s="44">
        <f t="shared" si="33"/>
        <v>3.5</v>
      </c>
      <c r="O521" s="44">
        <f t="shared" si="34"/>
        <v>7</v>
      </c>
      <c r="P521" s="22">
        <f t="shared" si="35"/>
        <v>8.75</v>
      </c>
    </row>
    <row r="522" spans="1:16" x14ac:dyDescent="0.3">
      <c r="A522" s="40">
        <v>521</v>
      </c>
      <c r="C522" s="21">
        <v>202</v>
      </c>
      <c r="D522" s="15" t="s">
        <v>748</v>
      </c>
      <c r="E522" s="15">
        <v>4</v>
      </c>
      <c r="F522" s="35" t="s">
        <v>9</v>
      </c>
      <c r="G522" s="16">
        <v>695.38</v>
      </c>
      <c r="H522" s="16">
        <v>399.2</v>
      </c>
      <c r="I522" s="16">
        <v>296.18</v>
      </c>
      <c r="J522" s="17">
        <v>74.19</v>
      </c>
      <c r="K522" s="18">
        <v>1</v>
      </c>
      <c r="L522" s="18">
        <f>1/2</f>
        <v>0.5</v>
      </c>
      <c r="M522" s="19">
        <f t="shared" si="32"/>
        <v>0.33333333333333331</v>
      </c>
      <c r="N522" s="44">
        <f t="shared" si="33"/>
        <v>0.66666666666666663</v>
      </c>
      <c r="O522" s="44">
        <f t="shared" si="34"/>
        <v>0.66666666666666663</v>
      </c>
      <c r="P522" s="22">
        <f t="shared" si="35"/>
        <v>1</v>
      </c>
    </row>
    <row r="523" spans="1:16" x14ac:dyDescent="0.3">
      <c r="A523" s="40">
        <v>522</v>
      </c>
      <c r="C523" s="21">
        <v>5080</v>
      </c>
      <c r="D523" s="15" t="s">
        <v>749</v>
      </c>
      <c r="E523" s="15">
        <v>14</v>
      </c>
      <c r="F523" s="35" t="s">
        <v>9</v>
      </c>
      <c r="G523" s="16">
        <v>693.23</v>
      </c>
      <c r="H523" s="16">
        <v>548.79999999999995</v>
      </c>
      <c r="I523" s="16">
        <v>144.43</v>
      </c>
      <c r="J523" s="17">
        <v>26.32</v>
      </c>
      <c r="K523" s="18">
        <v>1</v>
      </c>
      <c r="L523" s="18">
        <f>1/6</f>
        <v>0.16666666666666666</v>
      </c>
      <c r="M523" s="19">
        <f t="shared" si="32"/>
        <v>1.1666666666666667</v>
      </c>
      <c r="N523" s="44">
        <f t="shared" si="33"/>
        <v>2.3333333333333335</v>
      </c>
      <c r="O523" s="44">
        <f t="shared" si="34"/>
        <v>7.0000000000000009</v>
      </c>
      <c r="P523" s="22">
        <f t="shared" si="35"/>
        <v>8.1666666666666679</v>
      </c>
    </row>
    <row r="524" spans="1:16" x14ac:dyDescent="0.3">
      <c r="A524" s="40">
        <v>523</v>
      </c>
      <c r="C524" s="21">
        <v>1421</v>
      </c>
      <c r="D524" s="15" t="s">
        <v>750</v>
      </c>
      <c r="E524" s="15">
        <v>17</v>
      </c>
      <c r="F524" s="35" t="s">
        <v>9</v>
      </c>
      <c r="G524" s="16">
        <v>690.43</v>
      </c>
      <c r="H524" s="16">
        <v>765</v>
      </c>
      <c r="I524" s="16">
        <v>-74.569999999999993</v>
      </c>
      <c r="J524" s="17">
        <v>-9.75</v>
      </c>
      <c r="K524" s="18">
        <f>20/30</f>
        <v>0.66666666666666663</v>
      </c>
      <c r="L524" s="18">
        <f>1/6</f>
        <v>0.16666666666666666</v>
      </c>
      <c r="M524" s="19">
        <f t="shared" si="32"/>
        <v>0.94444444444444442</v>
      </c>
      <c r="N524" s="44">
        <f t="shared" si="33"/>
        <v>1.8888888888888888</v>
      </c>
      <c r="O524" s="44">
        <f t="shared" si="34"/>
        <v>8.5000000000000018</v>
      </c>
      <c r="P524" s="22">
        <f t="shared" si="35"/>
        <v>9.4444444444444464</v>
      </c>
    </row>
    <row r="525" spans="1:16" x14ac:dyDescent="0.3">
      <c r="A525" s="40">
        <v>524</v>
      </c>
      <c r="C525" s="21">
        <v>3059</v>
      </c>
      <c r="D525" s="15" t="s">
        <v>751</v>
      </c>
      <c r="E525" s="15">
        <v>244</v>
      </c>
      <c r="F525" s="35" t="s">
        <v>9</v>
      </c>
      <c r="G525" s="16">
        <v>690.24</v>
      </c>
      <c r="H525" s="16">
        <v>612.32000000000005</v>
      </c>
      <c r="I525" s="16">
        <v>77.92</v>
      </c>
      <c r="J525" s="17">
        <v>12.73</v>
      </c>
      <c r="K525" s="18">
        <f>15/30</f>
        <v>0.5</v>
      </c>
      <c r="L525" s="18">
        <f>1/4</f>
        <v>0.25</v>
      </c>
      <c r="M525" s="19">
        <f t="shared" si="32"/>
        <v>10.166666666666666</v>
      </c>
      <c r="N525" s="44">
        <f t="shared" si="33"/>
        <v>20.333333333333332</v>
      </c>
      <c r="O525" s="44">
        <f t="shared" si="34"/>
        <v>81.333333333333329</v>
      </c>
      <c r="P525" s="22">
        <f t="shared" si="35"/>
        <v>91.5</v>
      </c>
    </row>
    <row r="526" spans="1:16" x14ac:dyDescent="0.3">
      <c r="A526" s="40">
        <v>525</v>
      </c>
      <c r="C526" s="21">
        <v>5159</v>
      </c>
      <c r="D526" s="15" t="s">
        <v>752</v>
      </c>
      <c r="E526" s="15">
        <v>5</v>
      </c>
      <c r="F526" s="35" t="s">
        <v>9</v>
      </c>
      <c r="G526" s="16">
        <v>689.12</v>
      </c>
      <c r="H526" s="16">
        <v>693</v>
      </c>
      <c r="I526" s="16">
        <v>-3.88</v>
      </c>
      <c r="J526" s="17">
        <v>-0.56000000000000005</v>
      </c>
      <c r="K526" s="18">
        <f>20/30</f>
        <v>0.66666666666666663</v>
      </c>
      <c r="L526" s="18">
        <f>1/4</f>
        <v>0.25</v>
      </c>
      <c r="M526" s="19">
        <f t="shared" si="32"/>
        <v>0.27777777777777779</v>
      </c>
      <c r="N526" s="44">
        <f t="shared" si="33"/>
        <v>0.55555555555555558</v>
      </c>
      <c r="O526" s="44">
        <f t="shared" si="34"/>
        <v>1.6666666666666667</v>
      </c>
      <c r="P526" s="22">
        <f t="shared" si="35"/>
        <v>1.9444444444444446</v>
      </c>
    </row>
    <row r="527" spans="1:16" x14ac:dyDescent="0.3">
      <c r="A527" s="40">
        <v>526</v>
      </c>
      <c r="C527" s="21">
        <v>1524</v>
      </c>
      <c r="D527" s="15" t="s">
        <v>753</v>
      </c>
      <c r="E527" s="17">
        <v>36.4</v>
      </c>
      <c r="F527" s="35" t="s">
        <v>12</v>
      </c>
      <c r="G527" s="16">
        <v>688.72</v>
      </c>
      <c r="H527" s="16">
        <v>709.8</v>
      </c>
      <c r="I527" s="16">
        <v>-21.08</v>
      </c>
      <c r="J527" s="17">
        <v>-2.97</v>
      </c>
      <c r="K527" s="18">
        <v>1</v>
      </c>
      <c r="L527" s="18">
        <f>1/12</f>
        <v>8.3333333333333329E-2</v>
      </c>
      <c r="M527" s="19">
        <f t="shared" si="32"/>
        <v>3.0333333333333332</v>
      </c>
      <c r="N527" s="44">
        <f t="shared" si="33"/>
        <v>6.0666666666666664</v>
      </c>
      <c r="O527" s="44">
        <f t="shared" si="34"/>
        <v>36.4</v>
      </c>
      <c r="P527" s="22">
        <f t="shared" si="35"/>
        <v>39.43333333333333</v>
      </c>
    </row>
    <row r="528" spans="1:16" x14ac:dyDescent="0.3">
      <c r="A528" s="40">
        <v>527</v>
      </c>
      <c r="C528" s="21">
        <v>2221</v>
      </c>
      <c r="D528" s="15" t="s">
        <v>754</v>
      </c>
      <c r="E528" s="15">
        <v>18</v>
      </c>
      <c r="F528" s="35" t="s">
        <v>9</v>
      </c>
      <c r="G528" s="16">
        <v>688.44</v>
      </c>
      <c r="H528" s="16">
        <v>496.74</v>
      </c>
      <c r="I528" s="16">
        <v>191.7</v>
      </c>
      <c r="J528" s="17">
        <v>38.590000000000003</v>
      </c>
      <c r="K528" s="18">
        <f>15/30</f>
        <v>0.5</v>
      </c>
      <c r="L528" s="18">
        <f>1/6</f>
        <v>0.16666666666666666</v>
      </c>
      <c r="M528" s="19">
        <f t="shared" si="32"/>
        <v>0.75</v>
      </c>
      <c r="N528" s="44">
        <f t="shared" si="33"/>
        <v>1.5</v>
      </c>
      <c r="O528" s="44">
        <f t="shared" si="34"/>
        <v>9</v>
      </c>
      <c r="P528" s="22">
        <f t="shared" si="35"/>
        <v>9.75</v>
      </c>
    </row>
    <row r="529" spans="1:16" x14ac:dyDescent="0.3">
      <c r="A529" s="40">
        <v>528</v>
      </c>
      <c r="C529" s="21">
        <v>927</v>
      </c>
      <c r="D529" s="15" t="s">
        <v>755</v>
      </c>
      <c r="E529" s="15">
        <v>70</v>
      </c>
      <c r="F529" s="35" t="s">
        <v>9</v>
      </c>
      <c r="G529" s="16">
        <v>684.42</v>
      </c>
      <c r="H529" s="16">
        <v>665</v>
      </c>
      <c r="I529" s="16">
        <v>19.420000000000002</v>
      </c>
      <c r="J529" s="17">
        <v>2.92</v>
      </c>
      <c r="K529" s="18">
        <f>10/30</f>
        <v>0.33333333333333331</v>
      </c>
      <c r="L529" s="18">
        <f>1/3</f>
        <v>0.33333333333333331</v>
      </c>
      <c r="M529" s="19">
        <f t="shared" si="32"/>
        <v>1.9444444444444442</v>
      </c>
      <c r="N529" s="44">
        <f t="shared" si="33"/>
        <v>3.8888888888888884</v>
      </c>
      <c r="O529" s="44">
        <f t="shared" si="34"/>
        <v>17.5</v>
      </c>
      <c r="P529" s="22">
        <f t="shared" si="35"/>
        <v>19.444444444444443</v>
      </c>
    </row>
    <row r="530" spans="1:16" x14ac:dyDescent="0.3">
      <c r="A530" s="40">
        <v>529</v>
      </c>
      <c r="C530" s="21">
        <v>4059</v>
      </c>
      <c r="D530" s="15" t="s">
        <v>756</v>
      </c>
      <c r="E530" s="15">
        <v>115</v>
      </c>
      <c r="F530" s="35" t="s">
        <v>9</v>
      </c>
      <c r="G530" s="16">
        <v>684.08</v>
      </c>
      <c r="H530" s="16">
        <v>661.25</v>
      </c>
      <c r="I530" s="16">
        <v>22.83</v>
      </c>
      <c r="J530" s="17">
        <v>3.45</v>
      </c>
      <c r="K530" s="18">
        <v>1</v>
      </c>
      <c r="L530" s="18">
        <f>1/4</f>
        <v>0.25</v>
      </c>
      <c r="M530" s="19">
        <f t="shared" si="32"/>
        <v>9.5833333333333339</v>
      </c>
      <c r="N530" s="44">
        <f t="shared" si="33"/>
        <v>19.166666666666668</v>
      </c>
      <c r="O530" s="44">
        <f t="shared" si="34"/>
        <v>38.333333333333336</v>
      </c>
      <c r="P530" s="22">
        <f t="shared" si="35"/>
        <v>47.916666666666671</v>
      </c>
    </row>
    <row r="531" spans="1:16" x14ac:dyDescent="0.3">
      <c r="A531" s="40">
        <v>530</v>
      </c>
      <c r="C531" s="47">
        <v>631</v>
      </c>
      <c r="D531" s="15" t="s">
        <v>757</v>
      </c>
      <c r="E531" s="15">
        <v>81</v>
      </c>
      <c r="F531" s="35" t="s">
        <v>9</v>
      </c>
      <c r="G531" s="16">
        <v>683.31</v>
      </c>
      <c r="H531" s="16">
        <v>557.12</v>
      </c>
      <c r="I531" s="16">
        <v>126.19</v>
      </c>
      <c r="J531" s="17">
        <v>22.65</v>
      </c>
      <c r="K531" s="18">
        <v>1</v>
      </c>
      <c r="L531" s="18">
        <f>1/6</f>
        <v>0.16666666666666666</v>
      </c>
      <c r="M531" s="19">
        <f t="shared" si="32"/>
        <v>6.75</v>
      </c>
      <c r="N531" s="44">
        <f t="shared" si="33"/>
        <v>13.5</v>
      </c>
      <c r="O531" s="44">
        <f t="shared" si="34"/>
        <v>40.5</v>
      </c>
      <c r="P531" s="22">
        <f t="shared" si="35"/>
        <v>47.25</v>
      </c>
    </row>
    <row r="532" spans="1:16" x14ac:dyDescent="0.3">
      <c r="A532" s="40">
        <v>531</v>
      </c>
      <c r="C532" s="21">
        <v>530</v>
      </c>
      <c r="D532" s="15" t="s">
        <v>758</v>
      </c>
      <c r="E532" s="17">
        <v>196.5</v>
      </c>
      <c r="F532" s="35" t="s">
        <v>22</v>
      </c>
      <c r="G532" s="16">
        <v>683.1</v>
      </c>
      <c r="H532" s="16">
        <v>556.16</v>
      </c>
      <c r="I532" s="16">
        <v>126.95</v>
      </c>
      <c r="J532" s="17">
        <v>22.83</v>
      </c>
      <c r="K532" s="18">
        <f>20/30</f>
        <v>0.66666666666666663</v>
      </c>
      <c r="L532" s="18">
        <f>1/6</f>
        <v>0.16666666666666666</v>
      </c>
      <c r="M532" s="19">
        <f t="shared" si="32"/>
        <v>10.916666666666666</v>
      </c>
      <c r="N532" s="44">
        <f t="shared" si="33"/>
        <v>21.833333333333332</v>
      </c>
      <c r="O532" s="44">
        <f t="shared" si="34"/>
        <v>98.25</v>
      </c>
      <c r="P532" s="22">
        <f t="shared" si="35"/>
        <v>109.16666666666667</v>
      </c>
    </row>
    <row r="533" spans="1:16" x14ac:dyDescent="0.3">
      <c r="A533" s="40">
        <v>532</v>
      </c>
      <c r="C533" s="48">
        <v>4610</v>
      </c>
      <c r="D533" s="49" t="s">
        <v>759</v>
      </c>
      <c r="E533" s="15">
        <v>52</v>
      </c>
      <c r="F533" s="35" t="s">
        <v>9</v>
      </c>
      <c r="G533" s="16">
        <v>681.86</v>
      </c>
      <c r="H533" s="16">
        <v>622.70000000000005</v>
      </c>
      <c r="I533" s="16">
        <v>59.16</v>
      </c>
      <c r="J533" s="17">
        <v>9.5</v>
      </c>
      <c r="K533" s="18">
        <f>10/30</f>
        <v>0.33333333333333331</v>
      </c>
      <c r="L533" s="18">
        <f>1/3</f>
        <v>0.33333333333333331</v>
      </c>
      <c r="M533" s="19">
        <f t="shared" si="32"/>
        <v>1.4444444444444442</v>
      </c>
      <c r="N533" s="44">
        <f t="shared" si="33"/>
        <v>2.8888888888888884</v>
      </c>
      <c r="O533" s="44">
        <f t="shared" si="34"/>
        <v>13</v>
      </c>
      <c r="P533" s="22">
        <f t="shared" si="35"/>
        <v>14.444444444444445</v>
      </c>
    </row>
    <row r="534" spans="1:16" x14ac:dyDescent="0.3">
      <c r="A534" s="40">
        <v>533</v>
      </c>
      <c r="C534" s="21">
        <v>3734</v>
      </c>
      <c r="D534" s="15" t="s">
        <v>169</v>
      </c>
      <c r="E534" s="15">
        <v>10</v>
      </c>
      <c r="F534" s="35" t="s">
        <v>9</v>
      </c>
      <c r="G534" s="16">
        <v>681.1</v>
      </c>
      <c r="H534" s="16">
        <v>627</v>
      </c>
      <c r="I534" s="16">
        <v>54.1</v>
      </c>
      <c r="J534" s="17">
        <v>8.6300000000000008</v>
      </c>
      <c r="K534" s="18">
        <f>15/30</f>
        <v>0.5</v>
      </c>
      <c r="L534" s="18">
        <f>1/6</f>
        <v>0.16666666666666666</v>
      </c>
      <c r="M534" s="19">
        <f t="shared" si="32"/>
        <v>0.41666666666666669</v>
      </c>
      <c r="N534" s="44">
        <f t="shared" si="33"/>
        <v>0.83333333333333337</v>
      </c>
      <c r="O534" s="44">
        <f t="shared" si="34"/>
        <v>5.0000000000000009</v>
      </c>
      <c r="P534" s="22">
        <f t="shared" si="35"/>
        <v>5.4166666666666679</v>
      </c>
    </row>
    <row r="535" spans="1:16" x14ac:dyDescent="0.3">
      <c r="A535" s="40">
        <v>534</v>
      </c>
      <c r="C535" s="21">
        <v>1204</v>
      </c>
      <c r="D535" s="15" t="s">
        <v>760</v>
      </c>
      <c r="E535" s="15">
        <v>6</v>
      </c>
      <c r="F535" s="35" t="s">
        <v>9</v>
      </c>
      <c r="G535" s="16">
        <v>679.89</v>
      </c>
      <c r="H535" s="16">
        <v>678</v>
      </c>
      <c r="I535" s="16">
        <v>1.89</v>
      </c>
      <c r="J535" s="17">
        <v>0.28000000000000003</v>
      </c>
      <c r="K535" s="18">
        <v>1</v>
      </c>
      <c r="L535" s="18">
        <f>1/6</f>
        <v>0.16666666666666666</v>
      </c>
      <c r="M535" s="19">
        <f t="shared" si="32"/>
        <v>0.5</v>
      </c>
      <c r="N535" s="44">
        <f t="shared" si="33"/>
        <v>1</v>
      </c>
      <c r="O535" s="44">
        <f t="shared" si="34"/>
        <v>3</v>
      </c>
      <c r="P535" s="22">
        <f t="shared" si="35"/>
        <v>3.5</v>
      </c>
    </row>
    <row r="536" spans="1:16" x14ac:dyDescent="0.3">
      <c r="A536" s="40">
        <v>535</v>
      </c>
      <c r="C536" s="21">
        <v>4899</v>
      </c>
      <c r="D536" s="15" t="s">
        <v>761</v>
      </c>
      <c r="E536" s="15">
        <v>56</v>
      </c>
      <c r="F536" s="35" t="s">
        <v>9</v>
      </c>
      <c r="G536" s="16">
        <v>678.39</v>
      </c>
      <c r="H536" s="16">
        <v>525.73</v>
      </c>
      <c r="I536" s="16">
        <v>152.66</v>
      </c>
      <c r="J536" s="17">
        <v>29.04</v>
      </c>
      <c r="K536" s="18">
        <v>1</v>
      </c>
      <c r="L536" s="18">
        <f>1/3</f>
        <v>0.33333333333333331</v>
      </c>
      <c r="M536" s="19">
        <f t="shared" si="32"/>
        <v>4.666666666666667</v>
      </c>
      <c r="N536" s="44">
        <f t="shared" si="33"/>
        <v>9.3333333333333339</v>
      </c>
      <c r="O536" s="44">
        <f t="shared" si="34"/>
        <v>14.000000000000002</v>
      </c>
      <c r="P536" s="22">
        <f t="shared" si="35"/>
        <v>18.666666666666668</v>
      </c>
    </row>
    <row r="537" spans="1:16" x14ac:dyDescent="0.3">
      <c r="A537" s="40">
        <v>536</v>
      </c>
      <c r="C537" s="21">
        <v>2244</v>
      </c>
      <c r="D537" s="15" t="s">
        <v>762</v>
      </c>
      <c r="E537" s="15">
        <v>91</v>
      </c>
      <c r="F537" s="35" t="s">
        <v>9</v>
      </c>
      <c r="G537" s="16">
        <v>677.64</v>
      </c>
      <c r="H537" s="16">
        <v>600.6</v>
      </c>
      <c r="I537" s="16">
        <v>77.040000000000006</v>
      </c>
      <c r="J537" s="17">
        <v>12.83</v>
      </c>
      <c r="K537" s="18">
        <f>15/30</f>
        <v>0.5</v>
      </c>
      <c r="L537" s="18">
        <f>1/4</f>
        <v>0.25</v>
      </c>
      <c r="M537" s="19">
        <f t="shared" si="32"/>
        <v>3.7916666666666665</v>
      </c>
      <c r="N537" s="44">
        <f t="shared" si="33"/>
        <v>7.583333333333333</v>
      </c>
      <c r="O537" s="44">
        <f t="shared" si="34"/>
        <v>30.333333333333332</v>
      </c>
      <c r="P537" s="22">
        <f t="shared" si="35"/>
        <v>34.125</v>
      </c>
    </row>
    <row r="538" spans="1:16" x14ac:dyDescent="0.3">
      <c r="A538" s="40">
        <v>537</v>
      </c>
      <c r="C538" s="21">
        <v>1523</v>
      </c>
      <c r="D538" s="15" t="s">
        <v>763</v>
      </c>
      <c r="E538" s="17">
        <v>54.5</v>
      </c>
      <c r="F538" s="35" t="s">
        <v>12</v>
      </c>
      <c r="G538" s="16">
        <v>676.97</v>
      </c>
      <c r="H538" s="16">
        <v>686.7</v>
      </c>
      <c r="I538" s="16">
        <v>-9.73</v>
      </c>
      <c r="J538" s="17">
        <v>-1.42</v>
      </c>
      <c r="K538" s="18">
        <v>1</v>
      </c>
      <c r="L538" s="18">
        <f>1/12</f>
        <v>8.3333333333333329E-2</v>
      </c>
      <c r="M538" s="19">
        <f t="shared" si="32"/>
        <v>4.541666666666667</v>
      </c>
      <c r="N538" s="44">
        <f t="shared" si="33"/>
        <v>9.0833333333333339</v>
      </c>
      <c r="O538" s="44">
        <f t="shared" si="34"/>
        <v>54.500000000000007</v>
      </c>
      <c r="P538" s="22">
        <f t="shared" si="35"/>
        <v>59.041666666666671</v>
      </c>
    </row>
    <row r="539" spans="1:16" x14ac:dyDescent="0.3">
      <c r="A539" s="40">
        <v>538</v>
      </c>
      <c r="C539" s="21">
        <v>3535</v>
      </c>
      <c r="D539" s="15" t="s">
        <v>764</v>
      </c>
      <c r="E539" s="15">
        <v>3</v>
      </c>
      <c r="F539" s="35" t="s">
        <v>86</v>
      </c>
      <c r="G539" s="16">
        <v>672.56</v>
      </c>
      <c r="H539" s="16">
        <v>500.67</v>
      </c>
      <c r="I539" s="16">
        <v>171.89</v>
      </c>
      <c r="J539" s="17">
        <v>34.33</v>
      </c>
      <c r="K539" s="18">
        <v>1</v>
      </c>
      <c r="L539" s="18">
        <f>1/6</f>
        <v>0.16666666666666666</v>
      </c>
      <c r="M539" s="19">
        <f t="shared" si="32"/>
        <v>0.25</v>
      </c>
      <c r="N539" s="44">
        <f t="shared" si="33"/>
        <v>0.5</v>
      </c>
      <c r="O539" s="44">
        <f t="shared" si="34"/>
        <v>1.5</v>
      </c>
      <c r="P539" s="22">
        <f t="shared" si="35"/>
        <v>1.75</v>
      </c>
    </row>
    <row r="540" spans="1:16" x14ac:dyDescent="0.3">
      <c r="A540" s="40">
        <v>539</v>
      </c>
      <c r="C540" s="47">
        <v>699</v>
      </c>
      <c r="D540" s="15" t="s">
        <v>765</v>
      </c>
      <c r="E540" s="15">
        <v>21</v>
      </c>
      <c r="F540" s="35" t="s">
        <v>34</v>
      </c>
      <c r="G540" s="16">
        <v>666.67</v>
      </c>
      <c r="H540" s="16">
        <v>0</v>
      </c>
      <c r="I540" s="16">
        <v>666.67</v>
      </c>
      <c r="J540" s="17">
        <v>100</v>
      </c>
      <c r="K540" s="18">
        <f>10/30</f>
        <v>0.33333333333333331</v>
      </c>
      <c r="L540" s="18">
        <f>1/3</f>
        <v>0.33333333333333331</v>
      </c>
      <c r="M540" s="19">
        <f t="shared" si="32"/>
        <v>0.58333333333333326</v>
      </c>
      <c r="N540" s="44">
        <f t="shared" si="33"/>
        <v>1.1666666666666665</v>
      </c>
      <c r="O540" s="44">
        <f t="shared" si="34"/>
        <v>5.25</v>
      </c>
      <c r="P540" s="22">
        <f t="shared" si="35"/>
        <v>5.833333333333333</v>
      </c>
    </row>
    <row r="541" spans="1:16" x14ac:dyDescent="0.3">
      <c r="A541" s="40">
        <v>540</v>
      </c>
      <c r="C541" s="21">
        <v>685</v>
      </c>
      <c r="D541" s="15" t="s">
        <v>766</v>
      </c>
      <c r="E541" s="15">
        <v>56</v>
      </c>
      <c r="F541" s="35" t="s">
        <v>9</v>
      </c>
      <c r="G541" s="16">
        <v>666.54</v>
      </c>
      <c r="H541" s="16">
        <v>1288</v>
      </c>
      <c r="I541" s="16">
        <v>-621.46</v>
      </c>
      <c r="J541" s="17">
        <v>-48.25</v>
      </c>
      <c r="K541" s="18">
        <f>25/30</f>
        <v>0.83333333333333337</v>
      </c>
      <c r="L541" s="18">
        <f>1/4</f>
        <v>0.25</v>
      </c>
      <c r="M541" s="19">
        <f t="shared" si="32"/>
        <v>3.8888888888888893</v>
      </c>
      <c r="N541" s="44">
        <f t="shared" si="33"/>
        <v>7.7777777777777786</v>
      </c>
      <c r="O541" s="44">
        <f t="shared" si="34"/>
        <v>18.666666666666668</v>
      </c>
      <c r="P541" s="22">
        <f t="shared" si="35"/>
        <v>22.555555555555557</v>
      </c>
    </row>
    <row r="542" spans="1:16" x14ac:dyDescent="0.3">
      <c r="A542" s="40">
        <v>541</v>
      </c>
      <c r="C542" s="47">
        <v>402</v>
      </c>
      <c r="D542" s="15" t="s">
        <v>767</v>
      </c>
      <c r="E542" s="20">
        <f>31695/1000</f>
        <v>31.695</v>
      </c>
      <c r="F542" s="35" t="s">
        <v>16</v>
      </c>
      <c r="G542" s="16">
        <v>661.51</v>
      </c>
      <c r="H542" s="16">
        <v>569</v>
      </c>
      <c r="I542" s="16">
        <v>92.51</v>
      </c>
      <c r="J542" s="17">
        <v>16.260000000000002</v>
      </c>
      <c r="K542" s="18">
        <f>10/30</f>
        <v>0.33333333333333331</v>
      </c>
      <c r="L542" s="18">
        <f>1/5</f>
        <v>0.2</v>
      </c>
      <c r="M542" s="19">
        <f t="shared" si="32"/>
        <v>0.88041666666666663</v>
      </c>
      <c r="N542" s="44">
        <f t="shared" si="33"/>
        <v>1.7608333333333333</v>
      </c>
      <c r="O542" s="44">
        <f t="shared" si="34"/>
        <v>13.206249999999999</v>
      </c>
      <c r="P542" s="22">
        <f t="shared" si="35"/>
        <v>14.086666666666666</v>
      </c>
    </row>
    <row r="543" spans="1:16" x14ac:dyDescent="0.3">
      <c r="A543" s="40">
        <v>542</v>
      </c>
      <c r="C543" s="21">
        <v>2204</v>
      </c>
      <c r="D543" s="15" t="s">
        <v>768</v>
      </c>
      <c r="E543" s="15">
        <v>45</v>
      </c>
      <c r="F543" s="35" t="s">
        <v>9</v>
      </c>
      <c r="G543" s="16">
        <v>659.38</v>
      </c>
      <c r="H543" s="16">
        <v>557.70000000000005</v>
      </c>
      <c r="I543" s="16">
        <v>101.68</v>
      </c>
      <c r="J543" s="17">
        <v>18.23</v>
      </c>
      <c r="K543" s="18">
        <v>1</v>
      </c>
      <c r="L543" s="18">
        <f>1/3</f>
        <v>0.33333333333333331</v>
      </c>
      <c r="M543" s="19">
        <f t="shared" si="32"/>
        <v>3.75</v>
      </c>
      <c r="N543" s="44">
        <f t="shared" si="33"/>
        <v>7.5</v>
      </c>
      <c r="O543" s="44">
        <f t="shared" si="34"/>
        <v>11.25</v>
      </c>
      <c r="P543" s="22">
        <f t="shared" si="35"/>
        <v>15</v>
      </c>
    </row>
    <row r="544" spans="1:16" x14ac:dyDescent="0.3">
      <c r="A544" s="40">
        <v>543</v>
      </c>
      <c r="C544" s="21">
        <v>2016</v>
      </c>
      <c r="D544" s="15" t="s">
        <v>769</v>
      </c>
      <c r="E544" s="15">
        <v>15</v>
      </c>
      <c r="F544" s="35" t="s">
        <v>9</v>
      </c>
      <c r="G544" s="16">
        <v>654.84</v>
      </c>
      <c r="H544" s="16">
        <v>487.5</v>
      </c>
      <c r="I544" s="16">
        <v>167.34</v>
      </c>
      <c r="J544" s="17">
        <v>34.33</v>
      </c>
      <c r="K544" s="18">
        <f>25/30</f>
        <v>0.83333333333333337</v>
      </c>
      <c r="L544" s="18">
        <f>1/4</f>
        <v>0.25</v>
      </c>
      <c r="M544" s="19">
        <f t="shared" si="32"/>
        <v>1.0416666666666667</v>
      </c>
      <c r="N544" s="44">
        <f t="shared" si="33"/>
        <v>2.0833333333333335</v>
      </c>
      <c r="O544" s="44">
        <f t="shared" si="34"/>
        <v>5</v>
      </c>
      <c r="P544" s="22">
        <f t="shared" si="35"/>
        <v>6.041666666666667</v>
      </c>
    </row>
    <row r="545" spans="1:16" x14ac:dyDescent="0.3">
      <c r="A545" s="40">
        <v>544</v>
      </c>
      <c r="C545" s="21">
        <v>1837</v>
      </c>
      <c r="D545" s="15" t="s">
        <v>770</v>
      </c>
      <c r="E545" s="15">
        <v>18</v>
      </c>
      <c r="F545" s="35" t="s">
        <v>9</v>
      </c>
      <c r="G545" s="16">
        <v>653.98</v>
      </c>
      <c r="H545" s="16">
        <v>693</v>
      </c>
      <c r="I545" s="16">
        <v>-39.020000000000003</v>
      </c>
      <c r="J545" s="17">
        <v>-5.63</v>
      </c>
      <c r="K545" s="18">
        <v>1</v>
      </c>
      <c r="L545" s="18">
        <f>1/6</f>
        <v>0.16666666666666666</v>
      </c>
      <c r="M545" s="19">
        <f t="shared" si="32"/>
        <v>1.5</v>
      </c>
      <c r="N545" s="44">
        <f t="shared" si="33"/>
        <v>3</v>
      </c>
      <c r="O545" s="44">
        <f t="shared" si="34"/>
        <v>9</v>
      </c>
      <c r="P545" s="22">
        <f t="shared" si="35"/>
        <v>10.5</v>
      </c>
    </row>
    <row r="546" spans="1:16" x14ac:dyDescent="0.3">
      <c r="A546" s="40">
        <v>545</v>
      </c>
      <c r="C546" s="21">
        <v>2555</v>
      </c>
      <c r="D546" s="15" t="s">
        <v>771</v>
      </c>
      <c r="E546" s="15">
        <v>681</v>
      </c>
      <c r="F546" s="35" t="s">
        <v>9</v>
      </c>
      <c r="G546" s="16">
        <v>652.82000000000005</v>
      </c>
      <c r="H546" s="16">
        <v>749.1</v>
      </c>
      <c r="I546" s="16">
        <v>-96.28</v>
      </c>
      <c r="J546" s="17">
        <v>-12.85</v>
      </c>
      <c r="K546" s="18">
        <f>15/30</f>
        <v>0.5</v>
      </c>
      <c r="L546" s="18">
        <f>1/12</f>
        <v>8.3333333333333329E-2</v>
      </c>
      <c r="M546" s="19">
        <f t="shared" si="32"/>
        <v>28.375</v>
      </c>
      <c r="N546" s="44">
        <f t="shared" si="33"/>
        <v>56.75</v>
      </c>
      <c r="O546" s="44">
        <f t="shared" si="34"/>
        <v>681</v>
      </c>
      <c r="P546" s="22">
        <f t="shared" si="35"/>
        <v>709.375</v>
      </c>
    </row>
    <row r="547" spans="1:16" x14ac:dyDescent="0.3">
      <c r="A547" s="40">
        <v>546</v>
      </c>
      <c r="C547" s="21">
        <v>4180</v>
      </c>
      <c r="D547" s="15" t="s">
        <v>772</v>
      </c>
      <c r="E547" s="15">
        <v>4</v>
      </c>
      <c r="F547" s="35" t="s">
        <v>9</v>
      </c>
      <c r="G547" s="16">
        <v>652.53</v>
      </c>
      <c r="H547" s="16">
        <v>712</v>
      </c>
      <c r="I547" s="16">
        <v>-59.47</v>
      </c>
      <c r="J547" s="17">
        <v>-8.35</v>
      </c>
      <c r="K547" s="18">
        <v>1</v>
      </c>
      <c r="L547" s="18">
        <f>1/6</f>
        <v>0.16666666666666666</v>
      </c>
      <c r="M547" s="19">
        <f t="shared" si="32"/>
        <v>0.33333333333333331</v>
      </c>
      <c r="N547" s="44">
        <f t="shared" si="33"/>
        <v>0.66666666666666663</v>
      </c>
      <c r="O547" s="44">
        <f t="shared" si="34"/>
        <v>2</v>
      </c>
      <c r="P547" s="22">
        <f t="shared" si="35"/>
        <v>2.3333333333333335</v>
      </c>
    </row>
    <row r="548" spans="1:16" x14ac:dyDescent="0.3">
      <c r="A548" s="40">
        <v>547</v>
      </c>
      <c r="C548" s="21">
        <v>796</v>
      </c>
      <c r="D548" s="15" t="s">
        <v>773</v>
      </c>
      <c r="E548" s="15">
        <v>7</v>
      </c>
      <c r="F548" s="35" t="s">
        <v>9</v>
      </c>
      <c r="G548" s="16">
        <v>652.13</v>
      </c>
      <c r="H548" s="16">
        <v>0</v>
      </c>
      <c r="I548" s="16">
        <v>652.13</v>
      </c>
      <c r="J548" s="17">
        <v>100</v>
      </c>
      <c r="K548" s="18">
        <f>10/30</f>
        <v>0.33333333333333331</v>
      </c>
      <c r="L548" s="18">
        <f>1/3</f>
        <v>0.33333333333333331</v>
      </c>
      <c r="M548" s="19">
        <f t="shared" si="32"/>
        <v>0.19444444444444445</v>
      </c>
      <c r="N548" s="44">
        <f t="shared" si="33"/>
        <v>0.3888888888888889</v>
      </c>
      <c r="O548" s="44">
        <f t="shared" si="34"/>
        <v>1.7500000000000002</v>
      </c>
      <c r="P548" s="22">
        <f t="shared" si="35"/>
        <v>1.9444444444444446</v>
      </c>
    </row>
    <row r="549" spans="1:16" x14ac:dyDescent="0.3">
      <c r="A549" s="40">
        <v>548</v>
      </c>
      <c r="C549" s="21">
        <v>3576</v>
      </c>
      <c r="D549" s="15" t="s">
        <v>774</v>
      </c>
      <c r="E549" s="15">
        <v>14</v>
      </c>
      <c r="F549" s="35" t="s">
        <v>22</v>
      </c>
      <c r="G549" s="16">
        <v>651.73</v>
      </c>
      <c r="H549" s="16">
        <v>554.4</v>
      </c>
      <c r="I549" s="16">
        <v>97.33</v>
      </c>
      <c r="J549" s="17">
        <v>17.559999999999999</v>
      </c>
      <c r="K549" s="18">
        <f>15/30</f>
        <v>0.5</v>
      </c>
      <c r="L549" s="18">
        <f>1/2</f>
        <v>0.5</v>
      </c>
      <c r="M549" s="19">
        <f t="shared" si="32"/>
        <v>0.58333333333333337</v>
      </c>
      <c r="N549" s="44">
        <f t="shared" si="33"/>
        <v>1.1666666666666667</v>
      </c>
      <c r="O549" s="44">
        <f t="shared" si="34"/>
        <v>2.3333333333333335</v>
      </c>
      <c r="P549" s="22">
        <f t="shared" si="35"/>
        <v>2.916666666666667</v>
      </c>
    </row>
    <row r="550" spans="1:16" x14ac:dyDescent="0.3">
      <c r="A550" s="40">
        <v>549</v>
      </c>
      <c r="C550" s="21">
        <v>860</v>
      </c>
      <c r="D550" s="15" t="s">
        <v>775</v>
      </c>
      <c r="E550" s="15">
        <v>198</v>
      </c>
      <c r="F550" s="35" t="s">
        <v>9</v>
      </c>
      <c r="G550" s="16">
        <v>651.64</v>
      </c>
      <c r="H550" s="16">
        <v>572.08000000000004</v>
      </c>
      <c r="I550" s="16">
        <v>79.56</v>
      </c>
      <c r="J550" s="17">
        <v>13.91</v>
      </c>
      <c r="K550" s="18">
        <v>1</v>
      </c>
      <c r="L550" s="18">
        <f>1/4</f>
        <v>0.25</v>
      </c>
      <c r="M550" s="19">
        <f t="shared" si="32"/>
        <v>16.5</v>
      </c>
      <c r="N550" s="44">
        <f t="shared" si="33"/>
        <v>33</v>
      </c>
      <c r="O550" s="44">
        <f t="shared" si="34"/>
        <v>66</v>
      </c>
      <c r="P550" s="22">
        <f t="shared" si="35"/>
        <v>82.5</v>
      </c>
    </row>
    <row r="551" spans="1:16" x14ac:dyDescent="0.3">
      <c r="A551" s="40">
        <v>550</v>
      </c>
      <c r="C551" s="21">
        <v>518</v>
      </c>
      <c r="D551" s="15" t="s">
        <v>776</v>
      </c>
      <c r="E551" s="15">
        <v>2</v>
      </c>
      <c r="F551" s="35" t="s">
        <v>9</v>
      </c>
      <c r="G551" s="16">
        <v>648.29999999999995</v>
      </c>
      <c r="H551" s="16">
        <v>585.20000000000005</v>
      </c>
      <c r="I551" s="16">
        <v>63.1</v>
      </c>
      <c r="J551" s="17">
        <v>10.78</v>
      </c>
      <c r="K551" s="18">
        <f>15/30</f>
        <v>0.5</v>
      </c>
      <c r="L551" s="18">
        <f>1/12</f>
        <v>8.3333333333333329E-2</v>
      </c>
      <c r="M551" s="19">
        <f t="shared" si="32"/>
        <v>8.3333333333333329E-2</v>
      </c>
      <c r="N551" s="44">
        <f t="shared" si="33"/>
        <v>0.16666666666666666</v>
      </c>
      <c r="O551" s="44">
        <f t="shared" si="34"/>
        <v>2</v>
      </c>
      <c r="P551" s="22">
        <f t="shared" si="35"/>
        <v>2.0833333333333335</v>
      </c>
    </row>
    <row r="552" spans="1:16" x14ac:dyDescent="0.3">
      <c r="A552" s="40">
        <v>551</v>
      </c>
      <c r="C552" s="21">
        <v>3755</v>
      </c>
      <c r="D552" s="15" t="s">
        <v>777</v>
      </c>
      <c r="E552" s="15">
        <v>29</v>
      </c>
      <c r="F552" s="35" t="s">
        <v>9</v>
      </c>
      <c r="G552" s="16">
        <v>647.87</v>
      </c>
      <c r="H552" s="16">
        <v>605</v>
      </c>
      <c r="I552" s="16">
        <v>42.87</v>
      </c>
      <c r="J552" s="17">
        <v>7.09</v>
      </c>
      <c r="K552" s="18">
        <f>10/30</f>
        <v>0.33333333333333331</v>
      </c>
      <c r="L552" s="18">
        <f>1/3</f>
        <v>0.33333333333333331</v>
      </c>
      <c r="M552" s="19">
        <f t="shared" si="32"/>
        <v>0.80555555555555547</v>
      </c>
      <c r="N552" s="44">
        <f t="shared" si="33"/>
        <v>1.6111111111111109</v>
      </c>
      <c r="O552" s="44">
        <f t="shared" si="34"/>
        <v>7.25</v>
      </c>
      <c r="P552" s="22">
        <f t="shared" si="35"/>
        <v>8.0555555555555554</v>
      </c>
    </row>
    <row r="553" spans="1:16" x14ac:dyDescent="0.3">
      <c r="A553" s="40">
        <v>552</v>
      </c>
      <c r="C553" s="21">
        <v>1474</v>
      </c>
      <c r="D553" s="15" t="s">
        <v>778</v>
      </c>
      <c r="E553" s="15">
        <v>27</v>
      </c>
      <c r="F553" s="35" t="s">
        <v>9</v>
      </c>
      <c r="G553" s="16">
        <v>644.4</v>
      </c>
      <c r="H553" s="16">
        <v>648</v>
      </c>
      <c r="I553" s="16">
        <v>-3.6</v>
      </c>
      <c r="J553" s="17">
        <v>-0.56000000000000005</v>
      </c>
      <c r="K553" s="18">
        <v>1</v>
      </c>
      <c r="L553" s="18">
        <f>1/4</f>
        <v>0.25</v>
      </c>
      <c r="M553" s="19">
        <f t="shared" si="32"/>
        <v>2.25</v>
      </c>
      <c r="N553" s="44">
        <f t="shared" si="33"/>
        <v>4.5</v>
      </c>
      <c r="O553" s="44">
        <f t="shared" si="34"/>
        <v>9</v>
      </c>
      <c r="P553" s="22">
        <f t="shared" si="35"/>
        <v>11.25</v>
      </c>
    </row>
    <row r="554" spans="1:16" x14ac:dyDescent="0.3">
      <c r="A554" s="40">
        <v>553</v>
      </c>
      <c r="C554" s="21">
        <v>4507</v>
      </c>
      <c r="D554" s="15" t="s">
        <v>779</v>
      </c>
      <c r="E554" s="15">
        <v>188</v>
      </c>
      <c r="F554" s="35" t="s">
        <v>9</v>
      </c>
      <c r="G554" s="16">
        <v>643.30999999999995</v>
      </c>
      <c r="H554" s="16">
        <v>557.04999999999995</v>
      </c>
      <c r="I554" s="16">
        <v>86.26</v>
      </c>
      <c r="J554" s="17">
        <v>15.49</v>
      </c>
      <c r="K554" s="18">
        <f>15/30</f>
        <v>0.5</v>
      </c>
      <c r="L554" s="18">
        <f>1/3</f>
        <v>0.33333333333333331</v>
      </c>
      <c r="M554" s="19">
        <f t="shared" si="32"/>
        <v>7.833333333333333</v>
      </c>
      <c r="N554" s="44">
        <f t="shared" si="33"/>
        <v>15.666666666666666</v>
      </c>
      <c r="O554" s="44">
        <f t="shared" si="34"/>
        <v>47</v>
      </c>
      <c r="P554" s="22">
        <f t="shared" si="35"/>
        <v>54.833333333333336</v>
      </c>
    </row>
    <row r="555" spans="1:16" x14ac:dyDescent="0.3">
      <c r="A555" s="40">
        <v>554</v>
      </c>
      <c r="C555" s="21">
        <v>701</v>
      </c>
      <c r="D555" s="15" t="s">
        <v>780</v>
      </c>
      <c r="E555" s="17">
        <v>77.099999999999994</v>
      </c>
      <c r="F555" s="35" t="s">
        <v>16</v>
      </c>
      <c r="G555" s="16">
        <v>642.67999999999995</v>
      </c>
      <c r="H555" s="16">
        <v>886.65</v>
      </c>
      <c r="I555" s="16">
        <v>-243.97</v>
      </c>
      <c r="J555" s="17">
        <v>-27.52</v>
      </c>
      <c r="K555" s="18">
        <v>1</v>
      </c>
      <c r="L555" s="18">
        <f>1/4</f>
        <v>0.25</v>
      </c>
      <c r="M555" s="19">
        <f t="shared" si="32"/>
        <v>6.4249999999999998</v>
      </c>
      <c r="N555" s="44">
        <f t="shared" si="33"/>
        <v>12.85</v>
      </c>
      <c r="O555" s="44">
        <f t="shared" si="34"/>
        <v>25.7</v>
      </c>
      <c r="P555" s="22">
        <f t="shared" si="35"/>
        <v>32.125</v>
      </c>
    </row>
    <row r="556" spans="1:16" x14ac:dyDescent="0.3">
      <c r="A556" s="40">
        <v>555</v>
      </c>
      <c r="C556" s="21">
        <v>1920</v>
      </c>
      <c r="D556" s="15" t="s">
        <v>781</v>
      </c>
      <c r="E556" s="15">
        <v>15</v>
      </c>
      <c r="F556" s="35" t="s">
        <v>9</v>
      </c>
      <c r="G556" s="16">
        <v>639.35</v>
      </c>
      <c r="H556" s="16">
        <v>567</v>
      </c>
      <c r="I556" s="16">
        <v>72.349999999999994</v>
      </c>
      <c r="J556" s="17">
        <v>12.76</v>
      </c>
      <c r="K556" s="18">
        <v>1</v>
      </c>
      <c r="L556" s="18">
        <f>1/4</f>
        <v>0.25</v>
      </c>
      <c r="M556" s="19">
        <f t="shared" si="32"/>
        <v>1.25</v>
      </c>
      <c r="N556" s="44">
        <f t="shared" si="33"/>
        <v>2.5</v>
      </c>
      <c r="O556" s="44">
        <f t="shared" si="34"/>
        <v>5</v>
      </c>
      <c r="P556" s="22">
        <f t="shared" si="35"/>
        <v>6.25</v>
      </c>
    </row>
    <row r="557" spans="1:16" x14ac:dyDescent="0.3">
      <c r="A557" s="40">
        <v>556</v>
      </c>
      <c r="C557" s="21">
        <v>4831</v>
      </c>
      <c r="D557" s="15" t="s">
        <v>782</v>
      </c>
      <c r="E557" s="15">
        <v>4</v>
      </c>
      <c r="F557" s="35" t="s">
        <v>25</v>
      </c>
      <c r="G557" s="16">
        <v>639.11</v>
      </c>
      <c r="H557" s="16">
        <v>528</v>
      </c>
      <c r="I557" s="16">
        <v>111.11</v>
      </c>
      <c r="J557" s="17">
        <v>21.04</v>
      </c>
      <c r="K557" s="18">
        <f>10/30</f>
        <v>0.33333333333333331</v>
      </c>
      <c r="L557" s="18">
        <f>1/3</f>
        <v>0.33333333333333331</v>
      </c>
      <c r="M557" s="19">
        <f t="shared" si="32"/>
        <v>0.1111111111111111</v>
      </c>
      <c r="N557" s="44">
        <f t="shared" si="33"/>
        <v>0.22222222222222221</v>
      </c>
      <c r="O557" s="44">
        <f t="shared" si="34"/>
        <v>1</v>
      </c>
      <c r="P557" s="22">
        <f t="shared" si="35"/>
        <v>1.1111111111111112</v>
      </c>
    </row>
    <row r="558" spans="1:16" x14ac:dyDescent="0.3">
      <c r="A558" s="40">
        <v>557</v>
      </c>
      <c r="C558" s="21">
        <v>5109</v>
      </c>
      <c r="D558" s="15" t="s">
        <v>783</v>
      </c>
      <c r="E558" s="15">
        <v>32</v>
      </c>
      <c r="F558" s="35" t="s">
        <v>9</v>
      </c>
      <c r="G558" s="16">
        <v>636.69000000000005</v>
      </c>
      <c r="H558" s="16">
        <v>464</v>
      </c>
      <c r="I558" s="16">
        <v>172.69</v>
      </c>
      <c r="J558" s="17">
        <v>37.22</v>
      </c>
      <c r="K558" s="18">
        <f>10/30</f>
        <v>0.33333333333333331</v>
      </c>
      <c r="L558" s="18">
        <f>1/3</f>
        <v>0.33333333333333331</v>
      </c>
      <c r="M558" s="19">
        <f t="shared" si="32"/>
        <v>0.88888888888888884</v>
      </c>
      <c r="N558" s="44">
        <f t="shared" si="33"/>
        <v>1.7777777777777777</v>
      </c>
      <c r="O558" s="44">
        <f t="shared" si="34"/>
        <v>8</v>
      </c>
      <c r="P558" s="22">
        <f t="shared" si="35"/>
        <v>8.8888888888888893</v>
      </c>
    </row>
    <row r="559" spans="1:16" x14ac:dyDescent="0.3">
      <c r="A559" s="40">
        <v>558</v>
      </c>
      <c r="C559" s="21">
        <v>4707</v>
      </c>
      <c r="D559" s="15" t="s">
        <v>784</v>
      </c>
      <c r="E559" s="15">
        <v>9730</v>
      </c>
      <c r="F559" s="35" t="s">
        <v>9</v>
      </c>
      <c r="G559" s="16">
        <v>636.5</v>
      </c>
      <c r="H559" s="16">
        <v>686.09</v>
      </c>
      <c r="I559" s="16">
        <v>-49.59</v>
      </c>
      <c r="J559" s="17">
        <v>-7.23</v>
      </c>
      <c r="K559" s="18">
        <v>1</v>
      </c>
      <c r="L559" s="18">
        <f>1/4</f>
        <v>0.25</v>
      </c>
      <c r="M559" s="19">
        <f t="shared" si="32"/>
        <v>810.83333333333337</v>
      </c>
      <c r="N559" s="44">
        <f t="shared" si="33"/>
        <v>1621.6666666666667</v>
      </c>
      <c r="O559" s="44">
        <f t="shared" si="34"/>
        <v>3243.3333333333335</v>
      </c>
      <c r="P559" s="22">
        <f t="shared" si="35"/>
        <v>4054.166666666667</v>
      </c>
    </row>
    <row r="560" spans="1:16" x14ac:dyDescent="0.3">
      <c r="A560" s="40">
        <v>559</v>
      </c>
      <c r="C560" s="21">
        <v>4720</v>
      </c>
      <c r="D560" s="15" t="s">
        <v>785</v>
      </c>
      <c r="E560" s="15">
        <v>146</v>
      </c>
      <c r="F560" s="35" t="s">
        <v>9</v>
      </c>
      <c r="G560" s="16">
        <v>635.6</v>
      </c>
      <c r="H560" s="16">
        <v>686.2</v>
      </c>
      <c r="I560" s="16">
        <v>-50.6</v>
      </c>
      <c r="J560" s="17">
        <v>-7.37</v>
      </c>
      <c r="K560" s="18">
        <v>1</v>
      </c>
      <c r="L560" s="18">
        <f>1/3</f>
        <v>0.33333333333333331</v>
      </c>
      <c r="M560" s="19">
        <f t="shared" si="32"/>
        <v>12.166666666666666</v>
      </c>
      <c r="N560" s="44">
        <f t="shared" si="33"/>
        <v>24.333333333333332</v>
      </c>
      <c r="O560" s="44">
        <f t="shared" si="34"/>
        <v>36.5</v>
      </c>
      <c r="P560" s="22">
        <f t="shared" si="35"/>
        <v>48.666666666666664</v>
      </c>
    </row>
    <row r="561" spans="1:16" x14ac:dyDescent="0.3">
      <c r="A561" s="40">
        <v>560</v>
      </c>
      <c r="C561" s="47">
        <v>341</v>
      </c>
      <c r="D561" s="15" t="s">
        <v>786</v>
      </c>
      <c r="E561" s="15">
        <v>10</v>
      </c>
      <c r="F561" s="35" t="s">
        <v>9</v>
      </c>
      <c r="G561" s="16">
        <v>633.94000000000005</v>
      </c>
      <c r="H561" s="16">
        <v>650</v>
      </c>
      <c r="I561" s="16">
        <v>-16.059999999999999</v>
      </c>
      <c r="J561" s="17">
        <v>-2.4700000000000002</v>
      </c>
      <c r="K561" s="18">
        <f>20/30</f>
        <v>0.66666666666666663</v>
      </c>
      <c r="L561" s="18">
        <f>1/8</f>
        <v>0.125</v>
      </c>
      <c r="M561" s="19">
        <f t="shared" si="32"/>
        <v>0.55555555555555558</v>
      </c>
      <c r="N561" s="44">
        <f t="shared" si="33"/>
        <v>1.1111111111111112</v>
      </c>
      <c r="O561" s="44">
        <f t="shared" si="34"/>
        <v>6.666666666666667</v>
      </c>
      <c r="P561" s="22">
        <f t="shared" si="35"/>
        <v>7.2222222222222223</v>
      </c>
    </row>
    <row r="562" spans="1:16" x14ac:dyDescent="0.3">
      <c r="A562" s="40">
        <v>561</v>
      </c>
      <c r="C562" s="21">
        <v>651</v>
      </c>
      <c r="D562" s="15" t="s">
        <v>787</v>
      </c>
      <c r="E562" s="15">
        <v>119</v>
      </c>
      <c r="F562" s="35" t="s">
        <v>9</v>
      </c>
      <c r="G562" s="16">
        <v>633.47</v>
      </c>
      <c r="H562" s="16">
        <v>402.22</v>
      </c>
      <c r="I562" s="16">
        <v>231.25</v>
      </c>
      <c r="J562" s="17">
        <v>57.49</v>
      </c>
      <c r="K562" s="18">
        <f>20/30</f>
        <v>0.66666666666666663</v>
      </c>
      <c r="L562" s="18">
        <f>1/6</f>
        <v>0.16666666666666666</v>
      </c>
      <c r="M562" s="19">
        <f t="shared" si="32"/>
        <v>6.6111111111111107</v>
      </c>
      <c r="N562" s="44">
        <f t="shared" si="33"/>
        <v>13.222222222222221</v>
      </c>
      <c r="O562" s="44">
        <f t="shared" si="34"/>
        <v>59.5</v>
      </c>
      <c r="P562" s="22">
        <f t="shared" si="35"/>
        <v>66.111111111111114</v>
      </c>
    </row>
    <row r="563" spans="1:16" x14ac:dyDescent="0.3">
      <c r="A563" s="40">
        <v>562</v>
      </c>
      <c r="C563" s="47">
        <v>167</v>
      </c>
      <c r="D563" s="15" t="s">
        <v>788</v>
      </c>
      <c r="E563" s="17">
        <v>715.25</v>
      </c>
      <c r="F563" s="35" t="s">
        <v>12</v>
      </c>
      <c r="G563" s="16">
        <v>632.84</v>
      </c>
      <c r="H563" s="16">
        <v>643.73</v>
      </c>
      <c r="I563" s="16">
        <v>-10.89</v>
      </c>
      <c r="J563" s="17">
        <v>-1.69</v>
      </c>
      <c r="K563" s="18">
        <f>25/30</f>
        <v>0.83333333333333337</v>
      </c>
      <c r="L563" s="18">
        <f>1/6</f>
        <v>0.16666666666666666</v>
      </c>
      <c r="M563" s="19">
        <f t="shared" si="32"/>
        <v>49.670138888888886</v>
      </c>
      <c r="N563" s="44">
        <f t="shared" si="33"/>
        <v>99.340277777777771</v>
      </c>
      <c r="O563" s="44">
        <f t="shared" si="34"/>
        <v>357.625</v>
      </c>
      <c r="P563" s="22">
        <f t="shared" si="35"/>
        <v>407.29513888888891</v>
      </c>
    </row>
    <row r="564" spans="1:16" x14ac:dyDescent="0.3">
      <c r="A564" s="40">
        <v>563</v>
      </c>
      <c r="C564" s="21">
        <v>3962</v>
      </c>
      <c r="D564" s="15" t="s">
        <v>789</v>
      </c>
      <c r="E564" s="15">
        <v>29</v>
      </c>
      <c r="F564" s="35" t="s">
        <v>22</v>
      </c>
      <c r="G564" s="16">
        <v>629.92999999999995</v>
      </c>
      <c r="H564" s="16">
        <v>684</v>
      </c>
      <c r="I564" s="16">
        <v>-54.07</v>
      </c>
      <c r="J564" s="17">
        <v>-7.9</v>
      </c>
      <c r="K564" s="18">
        <f>20/30</f>
        <v>0.66666666666666663</v>
      </c>
      <c r="L564" s="18">
        <f>1/6</f>
        <v>0.16666666666666666</v>
      </c>
      <c r="M564" s="19">
        <f t="shared" si="32"/>
        <v>1.6111111111111109</v>
      </c>
      <c r="N564" s="44">
        <f t="shared" si="33"/>
        <v>3.2222222222222219</v>
      </c>
      <c r="O564" s="44">
        <f t="shared" si="34"/>
        <v>14.5</v>
      </c>
      <c r="P564" s="22">
        <f t="shared" si="35"/>
        <v>16.111111111111111</v>
      </c>
    </row>
    <row r="565" spans="1:16" x14ac:dyDescent="0.3">
      <c r="A565" s="40">
        <v>564</v>
      </c>
      <c r="C565" s="21">
        <v>4578</v>
      </c>
      <c r="D565" s="15" t="s">
        <v>389</v>
      </c>
      <c r="E565" s="15">
        <v>26</v>
      </c>
      <c r="F565" s="35" t="s">
        <v>9</v>
      </c>
      <c r="G565" s="16">
        <v>628.24</v>
      </c>
      <c r="H565" s="16">
        <v>298.95</v>
      </c>
      <c r="I565" s="16">
        <v>329.29</v>
      </c>
      <c r="J565" s="17">
        <v>110.15</v>
      </c>
      <c r="K565" s="18">
        <f>20/30</f>
        <v>0.66666666666666663</v>
      </c>
      <c r="L565" s="18">
        <f>1/3</f>
        <v>0.33333333333333331</v>
      </c>
      <c r="M565" s="19">
        <f t="shared" si="32"/>
        <v>1.4444444444444442</v>
      </c>
      <c r="N565" s="44">
        <f t="shared" si="33"/>
        <v>2.8888888888888884</v>
      </c>
      <c r="O565" s="44">
        <f t="shared" si="34"/>
        <v>6.5</v>
      </c>
      <c r="P565" s="22">
        <f t="shared" si="35"/>
        <v>7.9444444444444446</v>
      </c>
    </row>
    <row r="566" spans="1:16" x14ac:dyDescent="0.3">
      <c r="A566" s="40">
        <v>565</v>
      </c>
      <c r="C566" s="21">
        <v>3071</v>
      </c>
      <c r="D566" s="15" t="s">
        <v>790</v>
      </c>
      <c r="E566" s="15">
        <v>270</v>
      </c>
      <c r="F566" s="35" t="s">
        <v>9</v>
      </c>
      <c r="G566" s="16">
        <v>626.79</v>
      </c>
      <c r="H566" s="16">
        <v>435.81</v>
      </c>
      <c r="I566" s="16">
        <v>190.98</v>
      </c>
      <c r="J566" s="17">
        <v>43.82</v>
      </c>
      <c r="K566" s="18">
        <f>15/30</f>
        <v>0.5</v>
      </c>
      <c r="L566" s="18">
        <f>1/2</f>
        <v>0.5</v>
      </c>
      <c r="M566" s="19">
        <f t="shared" si="32"/>
        <v>11.25</v>
      </c>
      <c r="N566" s="44">
        <f t="shared" si="33"/>
        <v>22.5</v>
      </c>
      <c r="O566" s="44">
        <f t="shared" si="34"/>
        <v>45</v>
      </c>
      <c r="P566" s="22">
        <f t="shared" si="35"/>
        <v>56.25</v>
      </c>
    </row>
    <row r="567" spans="1:16" x14ac:dyDescent="0.3">
      <c r="A567" s="40">
        <v>566</v>
      </c>
      <c r="C567" s="21">
        <v>279</v>
      </c>
      <c r="D567" s="15" t="s">
        <v>791</v>
      </c>
      <c r="E567" s="15">
        <v>18</v>
      </c>
      <c r="F567" s="35" t="s">
        <v>9</v>
      </c>
      <c r="G567" s="16">
        <v>625.44000000000005</v>
      </c>
      <c r="H567" s="16">
        <v>666</v>
      </c>
      <c r="I567" s="16">
        <v>-40.56</v>
      </c>
      <c r="J567" s="17">
        <v>-6.09</v>
      </c>
      <c r="K567" s="18">
        <f>15/30</f>
        <v>0.5</v>
      </c>
      <c r="L567" s="18">
        <f>1/12</f>
        <v>8.3333333333333329E-2</v>
      </c>
      <c r="M567" s="19">
        <f t="shared" si="32"/>
        <v>0.75</v>
      </c>
      <c r="N567" s="44">
        <f t="shared" si="33"/>
        <v>1.5</v>
      </c>
      <c r="O567" s="44">
        <f t="shared" si="34"/>
        <v>18</v>
      </c>
      <c r="P567" s="22">
        <f t="shared" si="35"/>
        <v>18.75</v>
      </c>
    </row>
    <row r="568" spans="1:16" x14ac:dyDescent="0.3">
      <c r="A568" s="40">
        <v>567</v>
      </c>
      <c r="C568" s="47">
        <v>629</v>
      </c>
      <c r="D568" s="15" t="s">
        <v>328</v>
      </c>
      <c r="E568" s="15">
        <v>10</v>
      </c>
      <c r="F568" s="35" t="s">
        <v>9</v>
      </c>
      <c r="G568" s="16">
        <v>623.70000000000005</v>
      </c>
      <c r="H568" s="16">
        <v>360.9</v>
      </c>
      <c r="I568" s="16">
        <v>262.8</v>
      </c>
      <c r="J568" s="17">
        <v>72.819999999999993</v>
      </c>
      <c r="K568" s="18">
        <f>25/30</f>
        <v>0.83333333333333337</v>
      </c>
      <c r="L568" s="18">
        <f>1/4</f>
        <v>0.25</v>
      </c>
      <c r="M568" s="19">
        <f t="shared" si="32"/>
        <v>0.69444444444444453</v>
      </c>
      <c r="N568" s="44">
        <f t="shared" si="33"/>
        <v>1.3888888888888891</v>
      </c>
      <c r="O568" s="44">
        <f t="shared" si="34"/>
        <v>3.3333333333333335</v>
      </c>
      <c r="P568" s="22">
        <f t="shared" si="35"/>
        <v>4.0277777777777777</v>
      </c>
    </row>
    <row r="569" spans="1:16" x14ac:dyDescent="0.3">
      <c r="A569" s="40">
        <v>568</v>
      </c>
      <c r="C569" s="21">
        <v>460</v>
      </c>
      <c r="D569" s="15" t="s">
        <v>336</v>
      </c>
      <c r="E569" s="15">
        <v>5</v>
      </c>
      <c r="F569" s="35" t="s">
        <v>9</v>
      </c>
      <c r="G569" s="16">
        <v>622.79</v>
      </c>
      <c r="H569" s="16">
        <v>0</v>
      </c>
      <c r="I569" s="16">
        <v>622.79</v>
      </c>
      <c r="J569" s="17">
        <v>100</v>
      </c>
      <c r="K569" s="18">
        <f>15/30</f>
        <v>0.5</v>
      </c>
      <c r="L569" s="18">
        <f>1/6</f>
        <v>0.16666666666666666</v>
      </c>
      <c r="M569" s="19">
        <f t="shared" si="32"/>
        <v>0.20833333333333334</v>
      </c>
      <c r="N569" s="44">
        <f t="shared" si="33"/>
        <v>0.41666666666666669</v>
      </c>
      <c r="O569" s="44">
        <f t="shared" si="34"/>
        <v>2.5000000000000004</v>
      </c>
      <c r="P569" s="22">
        <f t="shared" si="35"/>
        <v>2.7083333333333339</v>
      </c>
    </row>
    <row r="570" spans="1:16" x14ac:dyDescent="0.3">
      <c r="A570" s="40">
        <v>569</v>
      </c>
      <c r="C570" s="21">
        <v>2952</v>
      </c>
      <c r="D570" s="15" t="s">
        <v>792</v>
      </c>
      <c r="E570" s="15">
        <v>2740</v>
      </c>
      <c r="F570" s="35" t="s">
        <v>9</v>
      </c>
      <c r="G570" s="16">
        <v>622.66999999999996</v>
      </c>
      <c r="H570" s="16">
        <v>366.4</v>
      </c>
      <c r="I570" s="16">
        <v>256.27</v>
      </c>
      <c r="J570" s="17">
        <v>69.94</v>
      </c>
      <c r="K570" s="18">
        <v>1</v>
      </c>
      <c r="L570" s="18">
        <f>1/4</f>
        <v>0.25</v>
      </c>
      <c r="M570" s="19">
        <f t="shared" si="32"/>
        <v>228.33333333333334</v>
      </c>
      <c r="N570" s="44">
        <f t="shared" si="33"/>
        <v>456.66666666666669</v>
      </c>
      <c r="O570" s="44">
        <f t="shared" si="34"/>
        <v>913.33333333333337</v>
      </c>
      <c r="P570" s="22">
        <f t="shared" si="35"/>
        <v>1141.6666666666667</v>
      </c>
    </row>
    <row r="571" spans="1:16" x14ac:dyDescent="0.3">
      <c r="A571" s="40">
        <v>570</v>
      </c>
      <c r="C571" s="21">
        <v>3181</v>
      </c>
      <c r="D571" s="15" t="s">
        <v>793</v>
      </c>
      <c r="E571" s="15">
        <v>30</v>
      </c>
      <c r="F571" s="35" t="s">
        <v>9</v>
      </c>
      <c r="G571" s="16">
        <v>622.45000000000005</v>
      </c>
      <c r="H571" s="16">
        <v>473.64</v>
      </c>
      <c r="I571" s="16">
        <v>148.81</v>
      </c>
      <c r="J571" s="17">
        <v>31.42</v>
      </c>
      <c r="K571" s="18">
        <f>20/30</f>
        <v>0.66666666666666663</v>
      </c>
      <c r="L571" s="18">
        <f>1/6</f>
        <v>0.16666666666666666</v>
      </c>
      <c r="M571" s="19">
        <f t="shared" si="32"/>
        <v>1.6666666666666665</v>
      </c>
      <c r="N571" s="44">
        <f t="shared" si="33"/>
        <v>3.333333333333333</v>
      </c>
      <c r="O571" s="44">
        <f t="shared" si="34"/>
        <v>15</v>
      </c>
      <c r="P571" s="22">
        <f t="shared" si="35"/>
        <v>16.666666666666668</v>
      </c>
    </row>
    <row r="572" spans="1:16" x14ac:dyDescent="0.3">
      <c r="A572" s="40">
        <v>571</v>
      </c>
      <c r="C572" s="47">
        <v>153</v>
      </c>
      <c r="D572" s="15" t="s">
        <v>207</v>
      </c>
      <c r="E572" s="17">
        <v>62.13</v>
      </c>
      <c r="F572" s="35" t="s">
        <v>12</v>
      </c>
      <c r="G572" s="16">
        <v>621.46</v>
      </c>
      <c r="H572" s="16">
        <v>618.19000000000005</v>
      </c>
      <c r="I572" s="16">
        <v>3.27</v>
      </c>
      <c r="J572" s="17">
        <v>0.53</v>
      </c>
      <c r="K572" s="18">
        <f>25/30</f>
        <v>0.83333333333333337</v>
      </c>
      <c r="L572" s="18">
        <f>1/6</f>
        <v>0.16666666666666666</v>
      </c>
      <c r="M572" s="19">
        <f t="shared" si="32"/>
        <v>4.3145833333333341</v>
      </c>
      <c r="N572" s="44">
        <f t="shared" si="33"/>
        <v>8.6291666666666682</v>
      </c>
      <c r="O572" s="44">
        <f t="shared" si="34"/>
        <v>31.065000000000001</v>
      </c>
      <c r="P572" s="22">
        <f t="shared" si="35"/>
        <v>35.379583333333336</v>
      </c>
    </row>
    <row r="573" spans="1:16" x14ac:dyDescent="0.3">
      <c r="A573" s="40">
        <v>572</v>
      </c>
      <c r="C573" s="21">
        <v>3937</v>
      </c>
      <c r="D573" s="15" t="s">
        <v>794</v>
      </c>
      <c r="E573" s="15">
        <v>4</v>
      </c>
      <c r="F573" s="35" t="s">
        <v>25</v>
      </c>
      <c r="G573" s="16">
        <v>621.22</v>
      </c>
      <c r="H573" s="16">
        <v>540</v>
      </c>
      <c r="I573" s="16">
        <v>81.22</v>
      </c>
      <c r="J573" s="17">
        <v>15.04</v>
      </c>
      <c r="K573" s="18">
        <f>10/30</f>
        <v>0.33333333333333331</v>
      </c>
      <c r="L573" s="18">
        <f>1/3</f>
        <v>0.33333333333333331</v>
      </c>
      <c r="M573" s="19">
        <f t="shared" si="32"/>
        <v>0.1111111111111111</v>
      </c>
      <c r="N573" s="44">
        <f t="shared" si="33"/>
        <v>0.22222222222222221</v>
      </c>
      <c r="O573" s="44">
        <f t="shared" si="34"/>
        <v>1</v>
      </c>
      <c r="P573" s="22">
        <f t="shared" si="35"/>
        <v>1.1111111111111112</v>
      </c>
    </row>
    <row r="574" spans="1:16" x14ac:dyDescent="0.3">
      <c r="A574" s="40">
        <v>573</v>
      </c>
      <c r="C574" s="21">
        <v>360</v>
      </c>
      <c r="D574" s="15" t="s">
        <v>350</v>
      </c>
      <c r="E574" s="15">
        <v>17</v>
      </c>
      <c r="F574" s="35" t="s">
        <v>9</v>
      </c>
      <c r="G574" s="16">
        <v>619.25</v>
      </c>
      <c r="H574" s="16">
        <v>466.41</v>
      </c>
      <c r="I574" s="16">
        <v>152.84</v>
      </c>
      <c r="J574" s="17">
        <v>32.770000000000003</v>
      </c>
      <c r="K574" s="18">
        <f>10/30</f>
        <v>0.33333333333333331</v>
      </c>
      <c r="L574" s="18">
        <f>1/3</f>
        <v>0.33333333333333331</v>
      </c>
      <c r="M574" s="19">
        <f t="shared" si="32"/>
        <v>0.47222222222222221</v>
      </c>
      <c r="N574" s="44">
        <f t="shared" si="33"/>
        <v>0.94444444444444442</v>
      </c>
      <c r="O574" s="44">
        <f t="shared" si="34"/>
        <v>4.2500000000000009</v>
      </c>
      <c r="P574" s="22">
        <f t="shared" si="35"/>
        <v>4.7222222222222232</v>
      </c>
    </row>
    <row r="575" spans="1:16" x14ac:dyDescent="0.3">
      <c r="A575" s="40">
        <v>574</v>
      </c>
      <c r="C575" s="21">
        <v>4766</v>
      </c>
      <c r="D575" s="15" t="s">
        <v>795</v>
      </c>
      <c r="E575" s="15">
        <v>4</v>
      </c>
      <c r="F575" s="35" t="s">
        <v>25</v>
      </c>
      <c r="G575" s="16">
        <v>619.07000000000005</v>
      </c>
      <c r="H575" s="16">
        <v>540</v>
      </c>
      <c r="I575" s="16">
        <v>79.069999999999993</v>
      </c>
      <c r="J575" s="17">
        <v>14.64</v>
      </c>
      <c r="K575" s="18">
        <f>10/30</f>
        <v>0.33333333333333331</v>
      </c>
      <c r="L575" s="18">
        <f>1/3</f>
        <v>0.33333333333333331</v>
      </c>
      <c r="M575" s="19">
        <f t="shared" si="32"/>
        <v>0.1111111111111111</v>
      </c>
      <c r="N575" s="44">
        <f t="shared" si="33"/>
        <v>0.22222222222222221</v>
      </c>
      <c r="O575" s="44">
        <f t="shared" si="34"/>
        <v>1</v>
      </c>
      <c r="P575" s="22">
        <f t="shared" si="35"/>
        <v>1.1111111111111112</v>
      </c>
    </row>
    <row r="576" spans="1:16" x14ac:dyDescent="0.3">
      <c r="A576" s="40">
        <v>575</v>
      </c>
      <c r="C576" s="21">
        <v>836</v>
      </c>
      <c r="D576" s="15" t="s">
        <v>796</v>
      </c>
      <c r="E576" s="15">
        <v>1</v>
      </c>
      <c r="F576" s="35" t="s">
        <v>9</v>
      </c>
      <c r="G576" s="16">
        <v>618</v>
      </c>
      <c r="H576" s="16">
        <v>0</v>
      </c>
      <c r="I576" s="16">
        <v>618</v>
      </c>
      <c r="J576" s="17">
        <v>100</v>
      </c>
      <c r="K576" s="18">
        <f>20/30</f>
        <v>0.66666666666666663</v>
      </c>
      <c r="L576" s="18">
        <f>1/4</f>
        <v>0.25</v>
      </c>
      <c r="M576" s="19">
        <f t="shared" si="32"/>
        <v>5.5555555555555552E-2</v>
      </c>
      <c r="N576" s="44">
        <f t="shared" si="33"/>
        <v>0.1111111111111111</v>
      </c>
      <c r="O576" s="44">
        <f t="shared" si="34"/>
        <v>0.33333333333333331</v>
      </c>
      <c r="P576" s="22">
        <f t="shared" si="35"/>
        <v>0.38888888888888884</v>
      </c>
    </row>
    <row r="577" spans="1:16" x14ac:dyDescent="0.3">
      <c r="A577" s="40">
        <v>576</v>
      </c>
      <c r="C577" s="21">
        <v>814</v>
      </c>
      <c r="D577" s="15" t="s">
        <v>797</v>
      </c>
      <c r="E577" s="15">
        <v>5</v>
      </c>
      <c r="F577" s="35" t="s">
        <v>9</v>
      </c>
      <c r="G577" s="16">
        <v>617.95000000000005</v>
      </c>
      <c r="H577" s="16">
        <v>343.5</v>
      </c>
      <c r="I577" s="16">
        <v>274.45</v>
      </c>
      <c r="J577" s="17">
        <v>79.900000000000006</v>
      </c>
      <c r="K577" s="18">
        <v>1</v>
      </c>
      <c r="L577" s="18">
        <f>1/6</f>
        <v>0.16666666666666666</v>
      </c>
      <c r="M577" s="19">
        <f t="shared" si="32"/>
        <v>0.41666666666666669</v>
      </c>
      <c r="N577" s="44">
        <f t="shared" si="33"/>
        <v>0.83333333333333337</v>
      </c>
      <c r="O577" s="44">
        <f t="shared" si="34"/>
        <v>2.5000000000000004</v>
      </c>
      <c r="P577" s="22">
        <f t="shared" si="35"/>
        <v>2.916666666666667</v>
      </c>
    </row>
    <row r="578" spans="1:16" x14ac:dyDescent="0.3">
      <c r="A578" s="40">
        <v>577</v>
      </c>
      <c r="C578" s="21">
        <v>3523</v>
      </c>
      <c r="D578" s="15" t="s">
        <v>798</v>
      </c>
      <c r="E578" s="15">
        <v>8</v>
      </c>
      <c r="F578" s="35" t="s">
        <v>9</v>
      </c>
      <c r="G578" s="16">
        <v>616</v>
      </c>
      <c r="H578" s="16">
        <v>616</v>
      </c>
      <c r="I578" s="16">
        <v>0</v>
      </c>
      <c r="J578" s="17">
        <v>0</v>
      </c>
      <c r="K578" s="18">
        <v>1</v>
      </c>
      <c r="L578" s="18">
        <f>1/6</f>
        <v>0.16666666666666666</v>
      </c>
      <c r="M578" s="19">
        <f t="shared" si="32"/>
        <v>0.66666666666666663</v>
      </c>
      <c r="N578" s="44">
        <f t="shared" ref="N578:N641" si="36">((E578/12)*K578)+M578</f>
        <v>1.3333333333333333</v>
      </c>
      <c r="O578" s="44">
        <f t="shared" si="34"/>
        <v>4</v>
      </c>
      <c r="P578" s="22">
        <f t="shared" ref="P578:P641" si="37">O578+M578</f>
        <v>4.666666666666667</v>
      </c>
    </row>
    <row r="579" spans="1:16" x14ac:dyDescent="0.3">
      <c r="A579" s="40">
        <v>578</v>
      </c>
      <c r="C579" s="21">
        <v>1409</v>
      </c>
      <c r="D579" s="15" t="s">
        <v>799</v>
      </c>
      <c r="E579" s="15">
        <v>2</v>
      </c>
      <c r="F579" s="35" t="s">
        <v>9</v>
      </c>
      <c r="G579" s="16">
        <v>615.6</v>
      </c>
      <c r="H579" s="16">
        <v>559.6</v>
      </c>
      <c r="I579" s="16">
        <v>56</v>
      </c>
      <c r="J579" s="17">
        <v>10.01</v>
      </c>
      <c r="K579" s="18">
        <f>15/30</f>
        <v>0.5</v>
      </c>
      <c r="L579" s="18">
        <f>1/12</f>
        <v>8.3333333333333329E-2</v>
      </c>
      <c r="M579" s="19">
        <f t="shared" si="32"/>
        <v>8.3333333333333329E-2</v>
      </c>
      <c r="N579" s="44">
        <f t="shared" si="36"/>
        <v>0.16666666666666666</v>
      </c>
      <c r="O579" s="44">
        <f t="shared" si="34"/>
        <v>2</v>
      </c>
      <c r="P579" s="22">
        <f t="shared" si="37"/>
        <v>2.0833333333333335</v>
      </c>
    </row>
    <row r="580" spans="1:16" x14ac:dyDescent="0.3">
      <c r="A580" s="40">
        <v>579</v>
      </c>
      <c r="C580" s="21">
        <v>1374</v>
      </c>
      <c r="D580" s="15" t="s">
        <v>800</v>
      </c>
      <c r="E580" s="15">
        <v>7</v>
      </c>
      <c r="F580" s="35" t="s">
        <v>9</v>
      </c>
      <c r="G580" s="16">
        <v>614.4</v>
      </c>
      <c r="H580" s="16">
        <v>100.1</v>
      </c>
      <c r="I580" s="16">
        <v>514.29999999999995</v>
      </c>
      <c r="J580" s="17">
        <v>513.79</v>
      </c>
      <c r="K580" s="18">
        <v>1</v>
      </c>
      <c r="L580" s="18">
        <f>1/4</f>
        <v>0.25</v>
      </c>
      <c r="M580" s="19">
        <f t="shared" si="32"/>
        <v>0.58333333333333337</v>
      </c>
      <c r="N580" s="44">
        <f t="shared" si="36"/>
        <v>1.1666666666666667</v>
      </c>
      <c r="O580" s="44">
        <f t="shared" si="34"/>
        <v>2.3333333333333335</v>
      </c>
      <c r="P580" s="22">
        <f t="shared" si="37"/>
        <v>2.916666666666667</v>
      </c>
    </row>
    <row r="581" spans="1:16" x14ac:dyDescent="0.3">
      <c r="A581" s="40">
        <v>580</v>
      </c>
      <c r="C581" s="21">
        <v>2233</v>
      </c>
      <c r="D581" s="15" t="s">
        <v>801</v>
      </c>
      <c r="E581" s="15">
        <v>60</v>
      </c>
      <c r="F581" s="35" t="s">
        <v>9</v>
      </c>
      <c r="G581" s="16">
        <v>613.79</v>
      </c>
      <c r="H581" s="16">
        <v>510.86</v>
      </c>
      <c r="I581" s="16">
        <v>102.93</v>
      </c>
      <c r="J581" s="17">
        <v>20.149999999999999</v>
      </c>
      <c r="K581" s="18">
        <f>20/30</f>
        <v>0.66666666666666663</v>
      </c>
      <c r="L581" s="18">
        <f>1/4</f>
        <v>0.25</v>
      </c>
      <c r="M581" s="19">
        <f t="shared" si="32"/>
        <v>3.333333333333333</v>
      </c>
      <c r="N581" s="44">
        <f t="shared" si="36"/>
        <v>6.6666666666666661</v>
      </c>
      <c r="O581" s="44">
        <f t="shared" si="34"/>
        <v>20</v>
      </c>
      <c r="P581" s="22">
        <f t="shared" si="37"/>
        <v>23.333333333333332</v>
      </c>
    </row>
    <row r="582" spans="1:16" ht="15" thickBot="1" x14ac:dyDescent="0.35">
      <c r="A582" s="50">
        <v>581</v>
      </c>
      <c r="C582" s="23">
        <v>783</v>
      </c>
      <c r="D582" s="24" t="s">
        <v>802</v>
      </c>
      <c r="E582" s="24">
        <v>130</v>
      </c>
      <c r="F582" s="36" t="s">
        <v>9</v>
      </c>
      <c r="G582" s="25">
        <v>613.29999999999995</v>
      </c>
      <c r="H582" s="25">
        <v>504.96</v>
      </c>
      <c r="I582" s="25">
        <v>108.34</v>
      </c>
      <c r="J582" s="26">
        <v>21.46</v>
      </c>
      <c r="K582" s="27">
        <f>15/30</f>
        <v>0.5</v>
      </c>
      <c r="L582" s="27">
        <f>1/3</f>
        <v>0.33333333333333331</v>
      </c>
      <c r="M582" s="28">
        <f t="shared" si="32"/>
        <v>5.416666666666667</v>
      </c>
      <c r="N582" s="45">
        <f t="shared" si="36"/>
        <v>10.833333333333334</v>
      </c>
      <c r="O582" s="45">
        <f t="shared" si="34"/>
        <v>32.500000000000007</v>
      </c>
      <c r="P582" s="29">
        <f t="shared" si="37"/>
        <v>37.916666666666671</v>
      </c>
    </row>
  </sheetData>
  <sortState ref="C2:P582">
    <sortCondition descending="1" ref="G2"/>
  </sortState>
  <pageMargins left="0.11811023622047245" right="0.11811023622047245" top="0.39370078740157483" bottom="0.19685039370078741" header="0.31496062992125984" footer="0.31496062992125984"/>
  <pageSetup paperSize="9" scale="8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JAN_2016</vt:lpstr>
      <vt:lpstr>JAN_2017</vt:lpstr>
      <vt:lpstr>EM_PR_LC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</dc:creator>
  <cp:lastModifiedBy>Matheus e Lucas</cp:lastModifiedBy>
  <cp:lastPrinted>2017-05-11T00:00:05Z</cp:lastPrinted>
  <dcterms:created xsi:type="dcterms:W3CDTF">2017-05-09T11:43:49Z</dcterms:created>
  <dcterms:modified xsi:type="dcterms:W3CDTF">2018-05-13T03:19:03Z</dcterms:modified>
</cp:coreProperties>
</file>