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<sst xmlns="http://schemas.openxmlformats.org/spreadsheetml/2006/main" count="87" uniqueCount="37">
  <si>
    <t>Lucca Nascimento Dalleprane</t>
  </si>
  <si>
    <t>1)</t>
  </si>
  <si>
    <t>Saldo Devedor</t>
  </si>
  <si>
    <t>3)</t>
  </si>
  <si>
    <t>Nº de parcelas</t>
  </si>
  <si>
    <t>N</t>
  </si>
  <si>
    <t>Periodo (a.m)</t>
  </si>
  <si>
    <t xml:space="preserve"> Juros </t>
  </si>
  <si>
    <t>Amortização</t>
  </si>
  <si>
    <t>PMT</t>
  </si>
  <si>
    <t>I</t>
  </si>
  <si>
    <t>-</t>
  </si>
  <si>
    <t>Juros (%)</t>
  </si>
  <si>
    <t>Entrada</t>
  </si>
  <si>
    <t>A alternativa (A) é a mais próxima do valor de PMT</t>
  </si>
  <si>
    <t>Saldo Inicial</t>
  </si>
  <si>
    <t>2)</t>
  </si>
  <si>
    <t>A alternativa (D) é a única que segue as normas ensinadas em sala de aula</t>
  </si>
  <si>
    <t>4)</t>
  </si>
  <si>
    <t>Juros</t>
  </si>
  <si>
    <t>Amortz.</t>
  </si>
  <si>
    <t>Taxa</t>
  </si>
  <si>
    <t>Letra (A) está correta pois a soma dos PMT dá 9000</t>
  </si>
  <si>
    <t>5)</t>
  </si>
  <si>
    <t>Taxa a.s</t>
  </si>
  <si>
    <t>Resposta da 5: A letra (E) é a correta pois é a mais próxima da resposta.</t>
  </si>
  <si>
    <t>6)</t>
  </si>
  <si>
    <t>Resposta da (6) = Letra C</t>
  </si>
  <si>
    <t>8)</t>
  </si>
  <si>
    <t>Amortiz.</t>
  </si>
  <si>
    <t>Número da Prestação</t>
  </si>
  <si>
    <t>Alternativa (A) pois a taxa foi inferior a 1,8%</t>
  </si>
  <si>
    <t>9)</t>
  </si>
  <si>
    <t>taxa</t>
  </si>
  <si>
    <t>Alternativa (B) é a correta de acordo com os dados obtidos com a tabela</t>
  </si>
  <si>
    <t>10)</t>
  </si>
  <si>
    <t>Alternativa (E) pois o valor da segunda prestação (32500) fica entre 32000 e 33000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</si>
</sst>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R$ -416]#,##0.00"/>
  </numFmts>
  <fonts count="12">
    <font>
      <sz val="10.0"/>
      <color rgb="FF000000"/>
      <name val="Arial"/>
      <scheme val="minor"/>
    </font>
    <font>
      <b/>
      <sz val="14.0"/>
      <color theme="1"/>
      <name val="Arial"/>
      <scheme val="minor"/>
    </font>
    <font>
      <color theme="1"/>
      <name val="Arial"/>
      <scheme val="minor"/>
    </font>
    <font>
      <color theme="1"/>
      <name val="Arial"/>
    </font>
    <font>
      <color rgb="FF000000"/>
      <name val="Arial"/>
    </font>
    <font>
      <b/>
      <color rgb="FF000000"/>
      <name val="Arial"/>
    </font>
    <font>
      <sz val="14.0"/>
      <color theme="1"/>
      <name val="Arial"/>
    </font>
    <font>
      <sz val="13.0"/>
      <color theme="1"/>
      <name val="Arial"/>
      <scheme val="minor"/>
    </font>
    <font>
      <sz val="15.0"/>
      <color theme="1"/>
      <name val="Arial"/>
      <scheme val="minor"/>
    </font>
    <font>
      <sz val="13.0"/>
      <color theme="1"/>
      <name val="Arial"/>
    </font>
    <font>
      <sz val="17.0"/>
      <color rgb="FF000000"/>
      <name val="Arial"/>
    </font>
    <font>
      <sz val="12.0"/>
      <color rgb="FF374151"/>
      <name val="Söhne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7F7F8"/>
        <bgColor rgb="FFF7F7F8"/>
      </patternFill>
    </fill>
  </fills>
  <borders count="1">
    <border/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0" fillId="0" fontId="3" numFmtId="0" xfId="0" applyAlignment="1" applyFont="1">
      <alignment horizontal="center" vertical="bottom"/>
    </xf>
    <xf borderId="0" fillId="2" fontId="4" numFmtId="0" xfId="0" applyAlignment="1" applyFill="1" applyFont="1">
      <alignment horizontal="center" vertical="bottom"/>
    </xf>
    <xf borderId="0" fillId="2" fontId="5" numFmtId="0" xfId="0" applyAlignment="1" applyFont="1">
      <alignment horizontal="left" readingOrder="0" vertical="bottom"/>
    </xf>
    <xf borderId="0" fillId="2" fontId="5" numFmtId="0" xfId="0" applyAlignment="1" applyFont="1">
      <alignment horizontal="center" vertical="bottom"/>
    </xf>
    <xf borderId="0" fillId="0" fontId="3" numFmtId="3" xfId="0" applyAlignment="1" applyFont="1" applyNumberFormat="1">
      <alignment horizontal="center" vertical="bottom"/>
    </xf>
    <xf borderId="0" fillId="2" fontId="4" numFmtId="0" xfId="0" applyAlignment="1" applyFont="1">
      <alignment horizontal="center" readingOrder="0" vertical="bottom"/>
    </xf>
    <xf borderId="0" fillId="0" fontId="3" numFmtId="9" xfId="0" applyAlignment="1" applyFont="1" applyNumberFormat="1">
      <alignment horizontal="center" vertical="bottom"/>
    </xf>
    <xf borderId="0" fillId="2" fontId="4" numFmtId="164" xfId="0" applyAlignment="1" applyFont="1" applyNumberFormat="1">
      <alignment horizontal="center" vertical="bottom"/>
    </xf>
    <xf borderId="0" fillId="0" fontId="3" numFmtId="164" xfId="0" applyAlignment="1" applyFont="1" applyNumberFormat="1">
      <alignment horizontal="center" vertical="bottom"/>
    </xf>
    <xf borderId="0" fillId="0" fontId="2" numFmtId="164" xfId="0" applyAlignment="1" applyFont="1" applyNumberFormat="1">
      <alignment horizontal="center"/>
    </xf>
    <xf borderId="0" fillId="2" fontId="4" numFmtId="9" xfId="0" applyAlignment="1" applyFont="1" applyNumberFormat="1">
      <alignment horizontal="center" vertical="bottom"/>
    </xf>
    <xf borderId="0" fillId="0" fontId="6" numFmtId="0" xfId="0" applyAlignment="1" applyFont="1">
      <alignment horizontal="center" vertical="bottom"/>
    </xf>
    <xf borderId="0" fillId="2" fontId="4" numFmtId="10" xfId="0" applyAlignment="1" applyFont="1" applyNumberFormat="1">
      <alignment horizontal="center" vertical="bottom"/>
    </xf>
    <xf borderId="0" fillId="0" fontId="2" numFmtId="0" xfId="0" applyAlignment="1" applyFont="1">
      <alignment horizontal="center" readingOrder="0"/>
    </xf>
    <xf borderId="0" fillId="0" fontId="7" numFmtId="0" xfId="0" applyAlignment="1" applyFont="1">
      <alignment horizontal="center" readingOrder="0"/>
    </xf>
    <xf borderId="0" fillId="0" fontId="3" numFmtId="0" xfId="0" applyAlignment="1" applyFont="1">
      <alignment vertical="bottom"/>
    </xf>
    <xf borderId="0" fillId="2" fontId="3" numFmtId="0" xfId="0" applyAlignment="1" applyFont="1">
      <alignment horizontal="center" vertical="bottom"/>
    </xf>
    <xf borderId="0" fillId="0" fontId="8" numFmtId="0" xfId="0" applyAlignment="1" applyFont="1">
      <alignment readingOrder="0"/>
    </xf>
    <xf borderId="0" fillId="0" fontId="3" numFmtId="0" xfId="0" applyAlignment="1" applyFont="1">
      <alignment horizontal="right" vertical="bottom"/>
    </xf>
    <xf borderId="0" fillId="0" fontId="3" numFmtId="164" xfId="0" applyAlignment="1" applyFont="1" applyNumberFormat="1">
      <alignment horizontal="right" vertical="bottom"/>
    </xf>
    <xf borderId="0" fillId="0" fontId="9" numFmtId="0" xfId="0" applyAlignment="1" applyFont="1">
      <alignment vertical="bottom"/>
    </xf>
    <xf borderId="0" fillId="2" fontId="4" numFmtId="0" xfId="0" applyAlignment="1" applyFont="1">
      <alignment vertical="bottom"/>
    </xf>
    <xf borderId="0" fillId="2" fontId="4" numFmtId="164" xfId="0" applyAlignment="1" applyFont="1" applyNumberFormat="1">
      <alignment horizontal="center" readingOrder="0" vertical="bottom"/>
    </xf>
    <xf borderId="0" fillId="2" fontId="10" numFmtId="0" xfId="0" applyAlignment="1" applyFont="1">
      <alignment vertical="bottom"/>
    </xf>
    <xf borderId="0" fillId="0" fontId="2" numFmtId="0" xfId="0" applyAlignment="1" applyFont="1">
      <alignment readingOrder="0"/>
    </xf>
    <xf borderId="0" fillId="3" fontId="11" numFmtId="0" xfId="0" applyAlignment="1" applyFill="1" applyFont="1">
      <alignment horizontal="left" readingOrder="0"/>
    </xf>
    <xf borderId="0" fillId="0" fontId="2" numFmtId="0" xfId="0" applyFont="1"/>
    <xf borderId="0" fillId="0" fontId="2" numFmtId="10" xfId="0" applyAlignment="1" applyFont="1" applyNumberFormat="1">
      <alignment horizontal="center" readingOrder="0"/>
    </xf>
    <xf borderId="0" fillId="0" fontId="2" numFmtId="164" xfId="0" applyAlignment="1" applyFont="1" applyNumberFormat="1">
      <alignment horizontal="center"/>
    </xf>
    <xf borderId="0" fillId="0" fontId="2" numFmtId="9" xfId="0" applyAlignment="1" applyFont="1" applyNumberForma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5"/>
    <col customWidth="1" min="2" max="2" width="13.63"/>
  </cols>
  <sheetData>
    <row r="1">
      <c r="A1" s="1" t="s">
        <v>0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 t="s">
        <v>1</v>
      </c>
      <c r="B3" s="3"/>
      <c r="C3" s="3"/>
      <c r="D3" s="3"/>
      <c r="E3" s="3"/>
      <c r="F3" s="3"/>
      <c r="G3" s="2"/>
      <c r="H3" s="4"/>
      <c r="I3" s="4"/>
      <c r="J3" s="4"/>
      <c r="K3" s="4"/>
      <c r="L3" s="4"/>
      <c r="M3" s="4"/>
      <c r="N3" s="4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/>
      <c r="B4" s="3" t="s">
        <v>2</v>
      </c>
      <c r="C4" s="3">
        <v>100000.0</v>
      </c>
      <c r="D4" s="3"/>
      <c r="E4" s="3"/>
      <c r="F4" s="3"/>
      <c r="G4" s="2"/>
      <c r="H4" s="5" t="s">
        <v>3</v>
      </c>
      <c r="M4" s="4"/>
      <c r="N4" s="6" t="s">
        <v>4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3"/>
      <c r="B5" s="3" t="s">
        <v>5</v>
      </c>
      <c r="C5" s="3">
        <v>240.0</v>
      </c>
      <c r="D5" s="3"/>
      <c r="E5" s="3"/>
      <c r="F5" s="7"/>
      <c r="G5" s="2"/>
      <c r="H5" s="4" t="s">
        <v>6</v>
      </c>
      <c r="I5" s="4" t="s">
        <v>7</v>
      </c>
      <c r="J5" s="4" t="s">
        <v>8</v>
      </c>
      <c r="K5" s="8" t="s">
        <v>9</v>
      </c>
      <c r="L5" s="8" t="s">
        <v>2</v>
      </c>
      <c r="M5" s="4"/>
      <c r="N5" s="4">
        <v>79.0</v>
      </c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9"/>
      <c r="B6" s="3" t="s">
        <v>10</v>
      </c>
      <c r="C6" s="9">
        <v>0.01</v>
      </c>
      <c r="D6" s="3"/>
      <c r="E6" s="3"/>
      <c r="F6" s="9"/>
      <c r="G6" s="2"/>
      <c r="H6" s="4">
        <v>0.0</v>
      </c>
      <c r="I6" s="4" t="s">
        <v>11</v>
      </c>
      <c r="J6" s="4" t="s">
        <v>11</v>
      </c>
      <c r="K6" s="10" t="s">
        <v>11</v>
      </c>
      <c r="L6" s="10">
        <f>N11</f>
        <v>116840.7955</v>
      </c>
      <c r="M6" s="4"/>
      <c r="N6" s="6" t="s">
        <v>12</v>
      </c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3"/>
      <c r="B7" s="3" t="s">
        <v>9</v>
      </c>
      <c r="C7" s="11">
        <f>PMT(C6,C5,C4,,)</f>
        <v>-1101.086134</v>
      </c>
      <c r="D7" s="3"/>
      <c r="E7" s="3"/>
      <c r="F7" s="3"/>
      <c r="G7" s="2"/>
      <c r="H7" s="4">
        <v>1.0</v>
      </c>
      <c r="I7" s="12">
        <f>IFERROR(__xludf.DUMMYFUNCTION("-L6*$N$7"),-2336.81591)</f>
        <v>-2336.81591</v>
      </c>
      <c r="J7" s="10">
        <f>IFERROR(__xludf.DUMMYFUNCTION("-L6/$H$86"),-1460.5099437499998)</f>
        <v>-1460.509944</v>
      </c>
      <c r="K7" s="10">
        <f t="shared" ref="K7:K86" si="1">J7+I7</f>
        <v>-3797.325854</v>
      </c>
      <c r="L7" s="10">
        <f t="shared" ref="L7:L86" si="2">L6+J7</f>
        <v>115380.2856</v>
      </c>
      <c r="M7" s="4"/>
      <c r="N7" s="13">
        <v>0.02</v>
      </c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3"/>
      <c r="B8" s="3"/>
      <c r="C8" s="3"/>
      <c r="D8" s="3"/>
      <c r="E8" s="3"/>
      <c r="F8" s="3"/>
      <c r="G8" s="2"/>
      <c r="H8" s="4">
        <v>2.0</v>
      </c>
      <c r="I8" s="12">
        <f>IFERROR(__xludf.DUMMYFUNCTION("-L7*$N$7"),-2307.6057111249997)</f>
        <v>-2307.605711</v>
      </c>
      <c r="J8" s="10">
        <f t="shared" ref="J8:J86" si="3">$J$7</f>
        <v>-1460.509944</v>
      </c>
      <c r="K8" s="10">
        <f t="shared" si="1"/>
        <v>-3768.115655</v>
      </c>
      <c r="L8" s="10">
        <f t="shared" si="2"/>
        <v>113919.7756</v>
      </c>
      <c r="M8" s="4"/>
      <c r="N8" s="6" t="s">
        <v>13</v>
      </c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3"/>
      <c r="B9" s="14" t="s">
        <v>14</v>
      </c>
      <c r="G9" s="2"/>
      <c r="H9" s="4">
        <v>3.0</v>
      </c>
      <c r="I9" s="12">
        <f>IFERROR(__xludf.DUMMYFUNCTION("-L8*$N$7"),-2278.3955122499997)</f>
        <v>-2278.395512</v>
      </c>
      <c r="J9" s="10">
        <f t="shared" si="3"/>
        <v>-1460.509944</v>
      </c>
      <c r="K9" s="10">
        <f t="shared" si="1"/>
        <v>-3738.905456</v>
      </c>
      <c r="L9" s="10">
        <f t="shared" si="2"/>
        <v>112459.2657</v>
      </c>
      <c r="M9" s="4"/>
      <c r="N9" s="15">
        <v>0.0</v>
      </c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"/>
      <c r="B10" s="2"/>
      <c r="C10" s="2"/>
      <c r="D10" s="2"/>
      <c r="E10" s="2"/>
      <c r="F10" s="2"/>
      <c r="G10" s="2"/>
      <c r="H10" s="4">
        <v>4.0</v>
      </c>
      <c r="I10" s="12">
        <f>IFERROR(__xludf.DUMMYFUNCTION("-L9*$N$7"),-2249.1853133749996)</f>
        <v>-2249.185313</v>
      </c>
      <c r="J10" s="10">
        <f t="shared" si="3"/>
        <v>-1460.509944</v>
      </c>
      <c r="K10" s="10">
        <f t="shared" si="1"/>
        <v>-3709.695257</v>
      </c>
      <c r="L10" s="10">
        <f t="shared" si="2"/>
        <v>110998.7557</v>
      </c>
      <c r="M10" s="4"/>
      <c r="N10" s="6" t="s">
        <v>15</v>
      </c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16" t="s">
        <v>16</v>
      </c>
      <c r="B11" s="2"/>
      <c r="C11" s="2"/>
      <c r="D11" s="2"/>
      <c r="E11" s="2"/>
      <c r="F11" s="2"/>
      <c r="G11" s="2"/>
      <c r="H11" s="4">
        <v>5.0</v>
      </c>
      <c r="I11" s="12">
        <f>IFERROR(__xludf.DUMMYFUNCTION("-L10*$N$7"),-2219.9751144999996)</f>
        <v>-2219.975115</v>
      </c>
      <c r="J11" s="10">
        <f t="shared" si="3"/>
        <v>-1460.509944</v>
      </c>
      <c r="K11" s="10">
        <f t="shared" si="1"/>
        <v>-3680.485058</v>
      </c>
      <c r="L11" s="10">
        <f t="shared" si="2"/>
        <v>109538.2458</v>
      </c>
      <c r="M11" s="4"/>
      <c r="N11" s="10">
        <v>116840.7955</v>
      </c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2"/>
      <c r="C12" s="2"/>
      <c r="D12" s="2"/>
      <c r="E12" s="2"/>
      <c r="F12" s="2"/>
      <c r="G12" s="2"/>
      <c r="H12" s="4">
        <v>6.0</v>
      </c>
      <c r="I12" s="12">
        <f>IFERROR(__xludf.DUMMYFUNCTION("-L11*$N$7"),-2190.7649156249995)</f>
        <v>-2190.764916</v>
      </c>
      <c r="J12" s="10">
        <f t="shared" si="3"/>
        <v>-1460.509944</v>
      </c>
      <c r="K12" s="10">
        <f t="shared" si="1"/>
        <v>-3651.274859</v>
      </c>
      <c r="L12" s="10">
        <f t="shared" si="2"/>
        <v>108077.7358</v>
      </c>
      <c r="M12" s="4"/>
      <c r="N12" s="4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17" t="s">
        <v>17</v>
      </c>
      <c r="H13" s="4">
        <v>7.0</v>
      </c>
      <c r="I13" s="12">
        <f>IFERROR(__xludf.DUMMYFUNCTION("-L12*$N$7"),-2161.5547167499994)</f>
        <v>-2161.554717</v>
      </c>
      <c r="J13" s="10">
        <f t="shared" si="3"/>
        <v>-1460.509944</v>
      </c>
      <c r="K13" s="10">
        <f t="shared" si="1"/>
        <v>-3622.064661</v>
      </c>
      <c r="L13" s="10">
        <f t="shared" si="2"/>
        <v>106617.2259</v>
      </c>
      <c r="M13" s="4"/>
      <c r="N13" s="4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4">
        <v>8.0</v>
      </c>
      <c r="I14" s="12">
        <f>IFERROR(__xludf.DUMMYFUNCTION("-L13*$N$7"),-2132.3445178749994)</f>
        <v>-2132.344518</v>
      </c>
      <c r="J14" s="10">
        <f t="shared" si="3"/>
        <v>-1460.509944</v>
      </c>
      <c r="K14" s="10">
        <f t="shared" si="1"/>
        <v>-3592.854462</v>
      </c>
      <c r="L14" s="10">
        <f t="shared" si="2"/>
        <v>105156.716</v>
      </c>
      <c r="M14" s="4"/>
      <c r="N14" s="4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4">
        <v>9.0</v>
      </c>
      <c r="I15" s="12">
        <f>IFERROR(__xludf.DUMMYFUNCTION("-L14*$N$7"),-2103.1343189999993)</f>
        <v>-2103.134319</v>
      </c>
      <c r="J15" s="10">
        <f t="shared" si="3"/>
        <v>-1460.509944</v>
      </c>
      <c r="K15" s="10">
        <f t="shared" si="1"/>
        <v>-3563.644263</v>
      </c>
      <c r="L15" s="10">
        <f t="shared" si="2"/>
        <v>103696.206</v>
      </c>
      <c r="M15" s="4"/>
      <c r="N15" s="4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4">
        <v>10.0</v>
      </c>
      <c r="I16" s="12">
        <f>IFERROR(__xludf.DUMMYFUNCTION("-L15*$N$7"),-2073.9241201249993)</f>
        <v>-2073.92412</v>
      </c>
      <c r="J16" s="10">
        <f t="shared" si="3"/>
        <v>-1460.509944</v>
      </c>
      <c r="K16" s="10">
        <f t="shared" si="1"/>
        <v>-3534.434064</v>
      </c>
      <c r="L16" s="10">
        <f t="shared" si="2"/>
        <v>102235.6961</v>
      </c>
      <c r="M16" s="4"/>
      <c r="N16" s="4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18" t="s">
        <v>18</v>
      </c>
      <c r="B17" s="19" t="s">
        <v>5</v>
      </c>
      <c r="C17" s="19" t="s">
        <v>19</v>
      </c>
      <c r="D17" s="19" t="s">
        <v>20</v>
      </c>
      <c r="E17" s="19" t="s">
        <v>9</v>
      </c>
      <c r="F17" s="19" t="s">
        <v>2</v>
      </c>
      <c r="G17" s="2"/>
      <c r="H17" s="4">
        <v>11.0</v>
      </c>
      <c r="I17" s="12">
        <f>IFERROR(__xludf.DUMMYFUNCTION("-L16*$N$7"),-2044.7139212499992)</f>
        <v>-2044.713921</v>
      </c>
      <c r="J17" s="10">
        <f t="shared" si="3"/>
        <v>-1460.509944</v>
      </c>
      <c r="K17" s="10">
        <f t="shared" si="1"/>
        <v>-3505.223865</v>
      </c>
      <c r="L17" s="10">
        <f t="shared" si="2"/>
        <v>100775.1861</v>
      </c>
      <c r="M17" s="4"/>
      <c r="N17" s="4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3" t="s">
        <v>21</v>
      </c>
      <c r="B18" s="3">
        <v>0.0</v>
      </c>
      <c r="C18" s="3" t="s">
        <v>11</v>
      </c>
      <c r="D18" s="3" t="s">
        <v>11</v>
      </c>
      <c r="E18" s="3" t="s">
        <v>11</v>
      </c>
      <c r="F18" s="3">
        <v>8000.0</v>
      </c>
      <c r="G18" s="2"/>
      <c r="H18" s="4">
        <v>12.0</v>
      </c>
      <c r="I18" s="12">
        <f>IFERROR(__xludf.DUMMYFUNCTION("-L17*$N$7"),-2015.5037223749991)</f>
        <v>-2015.503722</v>
      </c>
      <c r="J18" s="10">
        <f t="shared" si="3"/>
        <v>-1460.509944</v>
      </c>
      <c r="K18" s="10">
        <f t="shared" si="1"/>
        <v>-3476.013666</v>
      </c>
      <c r="L18" s="10">
        <f t="shared" si="2"/>
        <v>99314.67618</v>
      </c>
      <c r="M18" s="4"/>
      <c r="N18" s="4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9">
        <v>0.05</v>
      </c>
      <c r="B19" s="3">
        <f t="shared" ref="B19:B22" si="4">B18+1</f>
        <v>1</v>
      </c>
      <c r="C19" s="3">
        <f>IFERROR(__xludf.DUMMYFUNCTION("-F18*$A$19"),-400.0)</f>
        <v>-400</v>
      </c>
      <c r="D19" s="3">
        <f>IFERROR(__xludf.DUMMYFUNCTION("-F18/$B$22"),-2000.0)</f>
        <v>-2000</v>
      </c>
      <c r="E19" s="3">
        <f t="shared" ref="E19:E22" si="5">D19+C19</f>
        <v>-2400</v>
      </c>
      <c r="F19" s="3">
        <f t="shared" ref="F19:F22" si="6">F18+D19</f>
        <v>6000</v>
      </c>
      <c r="G19" s="2"/>
      <c r="H19" s="4">
        <v>13.0</v>
      </c>
      <c r="I19" s="12">
        <f>IFERROR(__xludf.DUMMYFUNCTION("-L18*$N$7"),-1986.293523499999)</f>
        <v>-1986.293524</v>
      </c>
      <c r="J19" s="10">
        <f t="shared" si="3"/>
        <v>-1460.509944</v>
      </c>
      <c r="K19" s="10">
        <f t="shared" si="1"/>
        <v>-3446.803467</v>
      </c>
      <c r="L19" s="10">
        <f t="shared" si="2"/>
        <v>97854.16623</v>
      </c>
      <c r="M19" s="4"/>
      <c r="N19" s="4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18"/>
      <c r="B20" s="3">
        <f t="shared" si="4"/>
        <v>2</v>
      </c>
      <c r="C20" s="3">
        <f>IFERROR(__xludf.DUMMYFUNCTION("-F19*$A$19"),-300.0)</f>
        <v>-300</v>
      </c>
      <c r="D20" s="3">
        <f t="shared" ref="D20:D22" si="7">$D$19</f>
        <v>-2000</v>
      </c>
      <c r="E20" s="3">
        <f t="shared" si="5"/>
        <v>-2300</v>
      </c>
      <c r="F20" s="3">
        <f t="shared" si="6"/>
        <v>4000</v>
      </c>
      <c r="G20" s="2"/>
      <c r="H20" s="4">
        <v>14.0</v>
      </c>
      <c r="I20" s="12">
        <f>IFERROR(__xludf.DUMMYFUNCTION("-L19*$N$7"),-1957.083324624999)</f>
        <v>-1957.083325</v>
      </c>
      <c r="J20" s="10">
        <f t="shared" si="3"/>
        <v>-1460.509944</v>
      </c>
      <c r="K20" s="10">
        <f t="shared" si="1"/>
        <v>-3417.593268</v>
      </c>
      <c r="L20" s="10">
        <f t="shared" si="2"/>
        <v>96393.65629</v>
      </c>
      <c r="M20" s="4"/>
      <c r="N20" s="4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18"/>
      <c r="B21" s="3">
        <f t="shared" si="4"/>
        <v>3</v>
      </c>
      <c r="C21" s="3">
        <f>IFERROR(__xludf.DUMMYFUNCTION("-F20*$A$19"),-200.0)</f>
        <v>-200</v>
      </c>
      <c r="D21" s="3">
        <f t="shared" si="7"/>
        <v>-2000</v>
      </c>
      <c r="E21" s="3">
        <f t="shared" si="5"/>
        <v>-2200</v>
      </c>
      <c r="F21" s="3">
        <f t="shared" si="6"/>
        <v>2000</v>
      </c>
      <c r="G21" s="2"/>
      <c r="H21" s="4">
        <v>15.0</v>
      </c>
      <c r="I21" s="12">
        <f>IFERROR(__xludf.DUMMYFUNCTION("-L20*$N$7"),-1927.873125749999)</f>
        <v>-1927.873126</v>
      </c>
      <c r="J21" s="10">
        <f t="shared" si="3"/>
        <v>-1460.509944</v>
      </c>
      <c r="K21" s="10">
        <f t="shared" si="1"/>
        <v>-3388.38307</v>
      </c>
      <c r="L21" s="10">
        <f t="shared" si="2"/>
        <v>94933.14634</v>
      </c>
      <c r="M21" s="4"/>
      <c r="N21" s="4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18"/>
      <c r="B22" s="3">
        <f t="shared" si="4"/>
        <v>4</v>
      </c>
      <c r="C22" s="3">
        <f>IFERROR(__xludf.DUMMYFUNCTION("-F21*$A$19"),-100.0)</f>
        <v>-100</v>
      </c>
      <c r="D22" s="3">
        <f t="shared" si="7"/>
        <v>-2000</v>
      </c>
      <c r="E22" s="3">
        <f t="shared" si="5"/>
        <v>-2100</v>
      </c>
      <c r="F22" s="3">
        <f t="shared" si="6"/>
        <v>0</v>
      </c>
      <c r="G22" s="2"/>
      <c r="H22" s="4">
        <v>16.0</v>
      </c>
      <c r="I22" s="12">
        <f>IFERROR(__xludf.DUMMYFUNCTION("-L21*$N$7"),-1898.662926874999)</f>
        <v>-1898.662927</v>
      </c>
      <c r="J22" s="10">
        <f t="shared" si="3"/>
        <v>-1460.509944</v>
      </c>
      <c r="K22" s="10">
        <f t="shared" si="1"/>
        <v>-3359.172871</v>
      </c>
      <c r="L22" s="10">
        <f t="shared" si="2"/>
        <v>93472.6364</v>
      </c>
      <c r="M22" s="4"/>
      <c r="N22" s="4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4">
        <v>17.0</v>
      </c>
      <c r="I23" s="12">
        <f>IFERROR(__xludf.DUMMYFUNCTION("-L22*$N$7"),-1869.4527279999988)</f>
        <v>-1869.452728</v>
      </c>
      <c r="J23" s="10">
        <f t="shared" si="3"/>
        <v>-1460.509944</v>
      </c>
      <c r="K23" s="10">
        <f t="shared" si="1"/>
        <v>-3329.962672</v>
      </c>
      <c r="L23" s="10">
        <f t="shared" si="2"/>
        <v>92012.12646</v>
      </c>
      <c r="M23" s="4"/>
      <c r="N23" s="4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0" t="s">
        <v>22</v>
      </c>
      <c r="C24" s="2"/>
      <c r="D24" s="2"/>
      <c r="E24" s="2"/>
      <c r="F24" s="2"/>
      <c r="G24" s="2"/>
      <c r="H24" s="4">
        <v>18.0</v>
      </c>
      <c r="I24" s="12">
        <f>IFERROR(__xludf.DUMMYFUNCTION("-L23*$N$7"),-1840.2425291249988)</f>
        <v>-1840.242529</v>
      </c>
      <c r="J24" s="10">
        <f t="shared" si="3"/>
        <v>-1460.509944</v>
      </c>
      <c r="K24" s="10">
        <f t="shared" si="1"/>
        <v>-3300.752473</v>
      </c>
      <c r="L24" s="10">
        <f t="shared" si="2"/>
        <v>90551.61651</v>
      </c>
      <c r="M24" s="4"/>
      <c r="N24" s="4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4">
        <v>19.0</v>
      </c>
      <c r="I25" s="12">
        <f>IFERROR(__xludf.DUMMYFUNCTION("-L24*$N$7"),-1811.0323302499987)</f>
        <v>-1811.03233</v>
      </c>
      <c r="J25" s="10">
        <f t="shared" si="3"/>
        <v>-1460.509944</v>
      </c>
      <c r="K25" s="10">
        <f t="shared" si="1"/>
        <v>-3271.542274</v>
      </c>
      <c r="L25" s="10">
        <f t="shared" si="2"/>
        <v>89091.10657</v>
      </c>
      <c r="M25" s="4"/>
      <c r="N25" s="4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18" t="s">
        <v>23</v>
      </c>
      <c r="B26" s="3" t="s">
        <v>5</v>
      </c>
      <c r="C26" s="3" t="s">
        <v>19</v>
      </c>
      <c r="D26" s="3" t="s">
        <v>20</v>
      </c>
      <c r="E26" s="3" t="s">
        <v>9</v>
      </c>
      <c r="F26" s="3" t="s">
        <v>2</v>
      </c>
      <c r="G26" s="18"/>
      <c r="H26" s="4">
        <v>20.0</v>
      </c>
      <c r="I26" s="12">
        <f>IFERROR(__xludf.DUMMYFUNCTION("-L25*$N$7"),-1781.8221313749987)</f>
        <v>-1781.822131</v>
      </c>
      <c r="J26" s="10">
        <f t="shared" si="3"/>
        <v>-1460.509944</v>
      </c>
      <c r="K26" s="10">
        <f t="shared" si="1"/>
        <v>-3242.332075</v>
      </c>
      <c r="L26" s="10">
        <f t="shared" si="2"/>
        <v>87630.59662</v>
      </c>
      <c r="M26" s="4"/>
      <c r="N26" s="4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3" t="s">
        <v>24</v>
      </c>
      <c r="B27" s="3">
        <v>0.0</v>
      </c>
      <c r="C27" s="18"/>
      <c r="D27" s="18"/>
      <c r="E27" s="18"/>
      <c r="F27" s="21">
        <v>612800.0</v>
      </c>
      <c r="G27" s="18"/>
      <c r="H27" s="4">
        <v>21.0</v>
      </c>
      <c r="I27" s="12">
        <f>IFERROR(__xludf.DUMMYFUNCTION("-L26*$N$7"),-1752.6119324999986)</f>
        <v>-1752.611933</v>
      </c>
      <c r="J27" s="10">
        <f t="shared" si="3"/>
        <v>-1460.509944</v>
      </c>
      <c r="K27" s="10">
        <f t="shared" si="1"/>
        <v>-3213.121876</v>
      </c>
      <c r="L27" s="10">
        <f t="shared" si="2"/>
        <v>86170.08668</v>
      </c>
      <c r="M27" s="4"/>
      <c r="N27" s="4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9">
        <v>0.15</v>
      </c>
      <c r="B28" s="3">
        <f t="shared" ref="B28:B45" si="8">B27+1</f>
        <v>1</v>
      </c>
      <c r="C28" s="21">
        <f>IFERROR(__xludf.DUMMYFUNCTION("-F27*$A$22"),0.0)</f>
        <v>0</v>
      </c>
      <c r="D28" s="22">
        <f t="shared" ref="D28:D45" si="9">E28-C28</f>
        <v>-100000.5569</v>
      </c>
      <c r="E28" s="22">
        <f>PMT(A28,B45,F27)</f>
        <v>-100000.5569</v>
      </c>
      <c r="F28" s="11">
        <f t="shared" ref="F28:F45" si="10">F27+D28</f>
        <v>512799.4431</v>
      </c>
      <c r="G28" s="18"/>
      <c r="H28" s="4">
        <v>22.0</v>
      </c>
      <c r="I28" s="12">
        <f>IFERROR(__xludf.DUMMYFUNCTION("-L27*$N$7"),-1723.4017336249985)</f>
        <v>-1723.401734</v>
      </c>
      <c r="J28" s="10">
        <f t="shared" si="3"/>
        <v>-1460.509944</v>
      </c>
      <c r="K28" s="10">
        <f t="shared" si="1"/>
        <v>-3183.911677</v>
      </c>
      <c r="L28" s="10">
        <f t="shared" si="2"/>
        <v>84709.57674</v>
      </c>
      <c r="M28" s="4"/>
      <c r="N28" s="4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18"/>
      <c r="B29" s="3">
        <f t="shared" si="8"/>
        <v>2</v>
      </c>
      <c r="C29" s="22">
        <f>IFERROR(__xludf.DUMMYFUNCTION("-F28*$A$22"),0.0)</f>
        <v>0</v>
      </c>
      <c r="D29" s="22">
        <f t="shared" si="9"/>
        <v>-2100</v>
      </c>
      <c r="E29" s="22">
        <f t="shared" ref="E29:E45" si="11">$E$22</f>
        <v>-2100</v>
      </c>
      <c r="F29" s="11">
        <f t="shared" si="10"/>
        <v>510699.4431</v>
      </c>
      <c r="G29" s="18"/>
      <c r="H29" s="4">
        <v>23.0</v>
      </c>
      <c r="I29" s="12">
        <f>IFERROR(__xludf.DUMMYFUNCTION("-L28*$N$7"),-1694.1915347499985)</f>
        <v>-1694.191535</v>
      </c>
      <c r="J29" s="10">
        <f t="shared" si="3"/>
        <v>-1460.509944</v>
      </c>
      <c r="K29" s="10">
        <f t="shared" si="1"/>
        <v>-3154.701479</v>
      </c>
      <c r="L29" s="10">
        <f t="shared" si="2"/>
        <v>83249.06679</v>
      </c>
      <c r="M29" s="4"/>
      <c r="N29" s="4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18"/>
      <c r="B30" s="3">
        <f t="shared" si="8"/>
        <v>3</v>
      </c>
      <c r="C30" s="22">
        <f>IFERROR(__xludf.DUMMYFUNCTION("-F29*$A$22"),0.0)</f>
        <v>0</v>
      </c>
      <c r="D30" s="22">
        <f t="shared" si="9"/>
        <v>-2100</v>
      </c>
      <c r="E30" s="22">
        <f t="shared" si="11"/>
        <v>-2100</v>
      </c>
      <c r="F30" s="11">
        <f t="shared" si="10"/>
        <v>508599.4431</v>
      </c>
      <c r="G30" s="18"/>
      <c r="H30" s="4">
        <v>24.0</v>
      </c>
      <c r="I30" s="12">
        <f>IFERROR(__xludf.DUMMYFUNCTION("-L29*$N$7"),-1664.9813358749984)</f>
        <v>-1664.981336</v>
      </c>
      <c r="J30" s="10">
        <f t="shared" si="3"/>
        <v>-1460.509944</v>
      </c>
      <c r="K30" s="10">
        <f t="shared" si="1"/>
        <v>-3125.49128</v>
      </c>
      <c r="L30" s="10">
        <f t="shared" si="2"/>
        <v>81788.55685</v>
      </c>
      <c r="M30" s="4"/>
      <c r="N30" s="4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18"/>
      <c r="B31" s="3">
        <f t="shared" si="8"/>
        <v>4</v>
      </c>
      <c r="C31" s="22">
        <f>IFERROR(__xludf.DUMMYFUNCTION("-F30*$A$22"),0.0)</f>
        <v>0</v>
      </c>
      <c r="D31" s="22">
        <f t="shared" si="9"/>
        <v>-2100</v>
      </c>
      <c r="E31" s="22">
        <f t="shared" si="11"/>
        <v>-2100</v>
      </c>
      <c r="F31" s="11">
        <f t="shared" si="10"/>
        <v>506499.4431</v>
      </c>
      <c r="G31" s="18"/>
      <c r="H31" s="4">
        <v>25.0</v>
      </c>
      <c r="I31" s="12">
        <f>IFERROR(__xludf.DUMMYFUNCTION("-L30*$N$7"),-1635.7711369999984)</f>
        <v>-1635.771137</v>
      </c>
      <c r="J31" s="10">
        <f t="shared" si="3"/>
        <v>-1460.509944</v>
      </c>
      <c r="K31" s="10">
        <f t="shared" si="1"/>
        <v>-3096.281081</v>
      </c>
      <c r="L31" s="10">
        <f t="shared" si="2"/>
        <v>80328.04691</v>
      </c>
      <c r="M31" s="4"/>
      <c r="N31" s="4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18"/>
      <c r="B32" s="3">
        <f t="shared" si="8"/>
        <v>5</v>
      </c>
      <c r="C32" s="22">
        <f>IFERROR(__xludf.DUMMYFUNCTION("-F31*$A$22"),0.0)</f>
        <v>0</v>
      </c>
      <c r="D32" s="22">
        <f t="shared" si="9"/>
        <v>-2100</v>
      </c>
      <c r="E32" s="22">
        <f t="shared" si="11"/>
        <v>-2100</v>
      </c>
      <c r="F32" s="11">
        <f t="shared" si="10"/>
        <v>504399.4431</v>
      </c>
      <c r="G32" s="18"/>
      <c r="H32" s="4">
        <v>26.0</v>
      </c>
      <c r="I32" s="12">
        <f>IFERROR(__xludf.DUMMYFUNCTION("-L31*$N$7"),-1606.5609381249983)</f>
        <v>-1606.560938</v>
      </c>
      <c r="J32" s="10">
        <f t="shared" si="3"/>
        <v>-1460.509944</v>
      </c>
      <c r="K32" s="10">
        <f t="shared" si="1"/>
        <v>-3067.070882</v>
      </c>
      <c r="L32" s="10">
        <f t="shared" si="2"/>
        <v>78867.53696</v>
      </c>
      <c r="M32" s="4"/>
      <c r="N32" s="4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18"/>
      <c r="B33" s="3">
        <f t="shared" si="8"/>
        <v>6</v>
      </c>
      <c r="C33" s="22">
        <f>IFERROR(__xludf.DUMMYFUNCTION("-F32*$A$22"),0.0)</f>
        <v>0</v>
      </c>
      <c r="D33" s="22">
        <f t="shared" si="9"/>
        <v>-2100</v>
      </c>
      <c r="E33" s="22">
        <f t="shared" si="11"/>
        <v>-2100</v>
      </c>
      <c r="F33" s="11">
        <f t="shared" si="10"/>
        <v>502299.4431</v>
      </c>
      <c r="G33" s="18"/>
      <c r="H33" s="4">
        <v>27.0</v>
      </c>
      <c r="I33" s="12">
        <f>IFERROR(__xludf.DUMMYFUNCTION("-L32*$N$7"),-1577.3507392499982)</f>
        <v>-1577.350739</v>
      </c>
      <c r="J33" s="10">
        <f t="shared" si="3"/>
        <v>-1460.509944</v>
      </c>
      <c r="K33" s="10">
        <f t="shared" si="1"/>
        <v>-3037.860683</v>
      </c>
      <c r="L33" s="10">
        <f t="shared" si="2"/>
        <v>77407.02702</v>
      </c>
      <c r="M33" s="4"/>
      <c r="N33" s="4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18"/>
      <c r="B34" s="3">
        <f t="shared" si="8"/>
        <v>7</v>
      </c>
      <c r="C34" s="22">
        <f>IFERROR(__xludf.DUMMYFUNCTION("-F33*$A$22"),0.0)</f>
        <v>0</v>
      </c>
      <c r="D34" s="22">
        <f t="shared" si="9"/>
        <v>-2100</v>
      </c>
      <c r="E34" s="22">
        <f t="shared" si="11"/>
        <v>-2100</v>
      </c>
      <c r="F34" s="11">
        <f t="shared" si="10"/>
        <v>500199.4431</v>
      </c>
      <c r="G34" s="18"/>
      <c r="H34" s="4">
        <v>28.0</v>
      </c>
      <c r="I34" s="12">
        <f>IFERROR(__xludf.DUMMYFUNCTION("-L33*$N$7"),-1548.1405403749982)</f>
        <v>-1548.14054</v>
      </c>
      <c r="J34" s="10">
        <f t="shared" si="3"/>
        <v>-1460.509944</v>
      </c>
      <c r="K34" s="10">
        <f t="shared" si="1"/>
        <v>-3008.650484</v>
      </c>
      <c r="L34" s="10">
        <f t="shared" si="2"/>
        <v>75946.51707</v>
      </c>
      <c r="M34" s="4"/>
      <c r="N34" s="4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18"/>
      <c r="B35" s="3">
        <f t="shared" si="8"/>
        <v>8</v>
      </c>
      <c r="C35" s="22">
        <f>IFERROR(__xludf.DUMMYFUNCTION("-F34*$A$22"),0.0)</f>
        <v>0</v>
      </c>
      <c r="D35" s="22">
        <f t="shared" si="9"/>
        <v>-2100</v>
      </c>
      <c r="E35" s="22">
        <f t="shared" si="11"/>
        <v>-2100</v>
      </c>
      <c r="F35" s="11">
        <f t="shared" si="10"/>
        <v>498099.4431</v>
      </c>
      <c r="G35" s="18"/>
      <c r="H35" s="4">
        <v>29.0</v>
      </c>
      <c r="I35" s="12">
        <f>IFERROR(__xludf.DUMMYFUNCTION("-L34*$N$7"),-1518.9303414999981)</f>
        <v>-1518.930342</v>
      </c>
      <c r="J35" s="10">
        <f t="shared" si="3"/>
        <v>-1460.509944</v>
      </c>
      <c r="K35" s="10">
        <f t="shared" si="1"/>
        <v>-2979.440285</v>
      </c>
      <c r="L35" s="10">
        <f t="shared" si="2"/>
        <v>74486.00713</v>
      </c>
      <c r="M35" s="4"/>
      <c r="N35" s="4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18"/>
      <c r="B36" s="3">
        <f t="shared" si="8"/>
        <v>9</v>
      </c>
      <c r="C36" s="22">
        <f>IFERROR(__xludf.DUMMYFUNCTION("-F35*$A$22"),0.0)</f>
        <v>0</v>
      </c>
      <c r="D36" s="22">
        <f t="shared" si="9"/>
        <v>-2100</v>
      </c>
      <c r="E36" s="22">
        <f t="shared" si="11"/>
        <v>-2100</v>
      </c>
      <c r="F36" s="11">
        <f t="shared" si="10"/>
        <v>495999.4431</v>
      </c>
      <c r="G36" s="18"/>
      <c r="H36" s="4">
        <v>30.0</v>
      </c>
      <c r="I36" s="12">
        <f>IFERROR(__xludf.DUMMYFUNCTION("-L35*$N$7"),-1489.720142624998)</f>
        <v>-1489.720143</v>
      </c>
      <c r="J36" s="10">
        <f t="shared" si="3"/>
        <v>-1460.509944</v>
      </c>
      <c r="K36" s="10">
        <f t="shared" si="1"/>
        <v>-2950.230086</v>
      </c>
      <c r="L36" s="10">
        <f t="shared" si="2"/>
        <v>73025.49719</v>
      </c>
      <c r="M36" s="4"/>
      <c r="N36" s="4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18"/>
      <c r="B37" s="3">
        <f t="shared" si="8"/>
        <v>10</v>
      </c>
      <c r="C37" s="22">
        <f>IFERROR(__xludf.DUMMYFUNCTION("-F36*$A$22"),0.0)</f>
        <v>0</v>
      </c>
      <c r="D37" s="22">
        <f t="shared" si="9"/>
        <v>-2100</v>
      </c>
      <c r="E37" s="22">
        <f t="shared" si="11"/>
        <v>-2100</v>
      </c>
      <c r="F37" s="11">
        <f t="shared" si="10"/>
        <v>493899.4431</v>
      </c>
      <c r="G37" s="18"/>
      <c r="H37" s="4">
        <v>31.0</v>
      </c>
      <c r="I37" s="12">
        <f>IFERROR(__xludf.DUMMYFUNCTION("-L36*$N$7"),-1460.509943749998)</f>
        <v>-1460.509944</v>
      </c>
      <c r="J37" s="10">
        <f t="shared" si="3"/>
        <v>-1460.509944</v>
      </c>
      <c r="K37" s="10">
        <f t="shared" si="1"/>
        <v>-2921.019888</v>
      </c>
      <c r="L37" s="10">
        <f t="shared" si="2"/>
        <v>71564.98724</v>
      </c>
      <c r="M37" s="4"/>
      <c r="N37" s="4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18"/>
      <c r="B38" s="3">
        <f t="shared" si="8"/>
        <v>11</v>
      </c>
      <c r="C38" s="22">
        <f>IFERROR(__xludf.DUMMYFUNCTION("-F37*$A$22"),0.0)</f>
        <v>0</v>
      </c>
      <c r="D38" s="22">
        <f t="shared" si="9"/>
        <v>-2100</v>
      </c>
      <c r="E38" s="22">
        <f t="shared" si="11"/>
        <v>-2100</v>
      </c>
      <c r="F38" s="11">
        <f t="shared" si="10"/>
        <v>491799.4431</v>
      </c>
      <c r="G38" s="18"/>
      <c r="H38" s="4">
        <v>32.0</v>
      </c>
      <c r="I38" s="12">
        <f>IFERROR(__xludf.DUMMYFUNCTION("-L37*$N$7"),-1431.299744874998)</f>
        <v>-1431.299745</v>
      </c>
      <c r="J38" s="10">
        <f t="shared" si="3"/>
        <v>-1460.509944</v>
      </c>
      <c r="K38" s="10">
        <f t="shared" si="1"/>
        <v>-2891.809689</v>
      </c>
      <c r="L38" s="10">
        <f t="shared" si="2"/>
        <v>70104.4773</v>
      </c>
      <c r="M38" s="4"/>
      <c r="N38" s="4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18"/>
      <c r="B39" s="3">
        <f t="shared" si="8"/>
        <v>12</v>
      </c>
      <c r="C39" s="22">
        <f>IFERROR(__xludf.DUMMYFUNCTION("-F38*$A$22"),0.0)</f>
        <v>0</v>
      </c>
      <c r="D39" s="22">
        <f t="shared" si="9"/>
        <v>-2100</v>
      </c>
      <c r="E39" s="22">
        <f t="shared" si="11"/>
        <v>-2100</v>
      </c>
      <c r="F39" s="11">
        <f t="shared" si="10"/>
        <v>489699.4431</v>
      </c>
      <c r="G39" s="18"/>
      <c r="H39" s="4">
        <v>33.0</v>
      </c>
      <c r="I39" s="12">
        <f>IFERROR(__xludf.DUMMYFUNCTION("-L38*$N$7"),-1402.0895459999979)</f>
        <v>-1402.089546</v>
      </c>
      <c r="J39" s="10">
        <f t="shared" si="3"/>
        <v>-1460.509944</v>
      </c>
      <c r="K39" s="10">
        <f t="shared" si="1"/>
        <v>-2862.59949</v>
      </c>
      <c r="L39" s="10">
        <f t="shared" si="2"/>
        <v>68643.96736</v>
      </c>
      <c r="M39" s="4"/>
      <c r="N39" s="4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18"/>
      <c r="B40" s="3">
        <f t="shared" si="8"/>
        <v>13</v>
      </c>
      <c r="C40" s="22">
        <f>IFERROR(__xludf.DUMMYFUNCTION("-F39*$A$22"),0.0)</f>
        <v>0</v>
      </c>
      <c r="D40" s="22">
        <f t="shared" si="9"/>
        <v>-2100</v>
      </c>
      <c r="E40" s="22">
        <f t="shared" si="11"/>
        <v>-2100</v>
      </c>
      <c r="F40" s="11">
        <f t="shared" si="10"/>
        <v>487599.4431</v>
      </c>
      <c r="G40" s="18"/>
      <c r="H40" s="4">
        <v>34.0</v>
      </c>
      <c r="I40" s="12">
        <f>IFERROR(__xludf.DUMMYFUNCTION("-L39*$N$7"),-1372.8793471249978)</f>
        <v>-1372.879347</v>
      </c>
      <c r="J40" s="10">
        <f t="shared" si="3"/>
        <v>-1460.509944</v>
      </c>
      <c r="K40" s="10">
        <f t="shared" si="1"/>
        <v>-2833.389291</v>
      </c>
      <c r="L40" s="10">
        <f t="shared" si="2"/>
        <v>67183.45741</v>
      </c>
      <c r="M40" s="4"/>
      <c r="N40" s="4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18"/>
      <c r="B41" s="3">
        <f t="shared" si="8"/>
        <v>14</v>
      </c>
      <c r="C41" s="22">
        <f>IFERROR(__xludf.DUMMYFUNCTION("-F40*$A$22"),0.0)</f>
        <v>0</v>
      </c>
      <c r="D41" s="22">
        <f t="shared" si="9"/>
        <v>-2100</v>
      </c>
      <c r="E41" s="22">
        <f t="shared" si="11"/>
        <v>-2100</v>
      </c>
      <c r="F41" s="11">
        <f t="shared" si="10"/>
        <v>485499.4431</v>
      </c>
      <c r="G41" s="18"/>
      <c r="H41" s="4">
        <v>35.0</v>
      </c>
      <c r="I41" s="12">
        <f>IFERROR(__xludf.DUMMYFUNCTION("-L40*$N$7"),-1343.6691482499978)</f>
        <v>-1343.669148</v>
      </c>
      <c r="J41" s="10">
        <f t="shared" si="3"/>
        <v>-1460.509944</v>
      </c>
      <c r="K41" s="10">
        <f t="shared" si="1"/>
        <v>-2804.179092</v>
      </c>
      <c r="L41" s="10">
        <f t="shared" si="2"/>
        <v>65722.94747</v>
      </c>
      <c r="M41" s="4"/>
      <c r="N41" s="4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18"/>
      <c r="B42" s="3">
        <f t="shared" si="8"/>
        <v>15</v>
      </c>
      <c r="C42" s="22">
        <f>IFERROR(__xludf.DUMMYFUNCTION("-F41*$A$22"),0.0)</f>
        <v>0</v>
      </c>
      <c r="D42" s="22">
        <f t="shared" si="9"/>
        <v>-2100</v>
      </c>
      <c r="E42" s="22">
        <f t="shared" si="11"/>
        <v>-2100</v>
      </c>
      <c r="F42" s="11">
        <f t="shared" si="10"/>
        <v>483399.4431</v>
      </c>
      <c r="G42" s="18"/>
      <c r="H42" s="4">
        <v>36.0</v>
      </c>
      <c r="I42" s="12">
        <f>IFERROR(__xludf.DUMMYFUNCTION("-L41*$N$7"),-1314.4589493749977)</f>
        <v>-1314.458949</v>
      </c>
      <c r="J42" s="10">
        <f t="shared" si="3"/>
        <v>-1460.509944</v>
      </c>
      <c r="K42" s="10">
        <f t="shared" si="1"/>
        <v>-2774.968893</v>
      </c>
      <c r="L42" s="10">
        <f t="shared" si="2"/>
        <v>64262.43752</v>
      </c>
      <c r="M42" s="4"/>
      <c r="N42" s="4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18"/>
      <c r="B43" s="3">
        <f t="shared" si="8"/>
        <v>16</v>
      </c>
      <c r="C43" s="22">
        <f>IFERROR(__xludf.DUMMYFUNCTION("-F42*$A$22"),0.0)</f>
        <v>0</v>
      </c>
      <c r="D43" s="22">
        <f t="shared" si="9"/>
        <v>-2100</v>
      </c>
      <c r="E43" s="22">
        <f t="shared" si="11"/>
        <v>-2100</v>
      </c>
      <c r="F43" s="11">
        <f t="shared" si="10"/>
        <v>481299.4431</v>
      </c>
      <c r="G43" s="18"/>
      <c r="H43" s="4">
        <v>37.0</v>
      </c>
      <c r="I43" s="12">
        <f>IFERROR(__xludf.DUMMYFUNCTION("-L42*$N$7"),-1285.2487504999976)</f>
        <v>-1285.248751</v>
      </c>
      <c r="J43" s="10">
        <f t="shared" si="3"/>
        <v>-1460.509944</v>
      </c>
      <c r="K43" s="10">
        <f t="shared" si="1"/>
        <v>-2745.758694</v>
      </c>
      <c r="L43" s="10">
        <f t="shared" si="2"/>
        <v>62801.92758</v>
      </c>
      <c r="M43" s="4"/>
      <c r="N43" s="4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18"/>
      <c r="B44" s="3">
        <f t="shared" si="8"/>
        <v>17</v>
      </c>
      <c r="C44" s="22">
        <f>IFERROR(__xludf.DUMMYFUNCTION("-F43*$A$22"),0.0)</f>
        <v>0</v>
      </c>
      <c r="D44" s="22">
        <f t="shared" si="9"/>
        <v>-2100</v>
      </c>
      <c r="E44" s="22">
        <f t="shared" si="11"/>
        <v>-2100</v>
      </c>
      <c r="F44" s="11">
        <f t="shared" si="10"/>
        <v>479199.4431</v>
      </c>
      <c r="G44" s="18"/>
      <c r="H44" s="4">
        <v>38.0</v>
      </c>
      <c r="I44" s="12">
        <f>IFERROR(__xludf.DUMMYFUNCTION("-L43*$N$7"),-1256.0385516249976)</f>
        <v>-1256.038552</v>
      </c>
      <c r="J44" s="10">
        <f t="shared" si="3"/>
        <v>-1460.509944</v>
      </c>
      <c r="K44" s="10">
        <f t="shared" si="1"/>
        <v>-2716.548495</v>
      </c>
      <c r="L44" s="10">
        <f t="shared" si="2"/>
        <v>61341.41764</v>
      </c>
      <c r="M44" s="4"/>
      <c r="N44" s="4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18"/>
      <c r="B45" s="3">
        <f t="shared" si="8"/>
        <v>18</v>
      </c>
      <c r="C45" s="22">
        <f>IFERROR(__xludf.DUMMYFUNCTION("-F44*$A$22"),0.0)</f>
        <v>0</v>
      </c>
      <c r="D45" s="22">
        <f t="shared" si="9"/>
        <v>-2100</v>
      </c>
      <c r="E45" s="22">
        <f t="shared" si="11"/>
        <v>-2100</v>
      </c>
      <c r="F45" s="11">
        <f t="shared" si="10"/>
        <v>477099.4431</v>
      </c>
      <c r="G45" s="18"/>
      <c r="H45" s="4">
        <v>39.0</v>
      </c>
      <c r="I45" s="12">
        <f>IFERROR(__xludf.DUMMYFUNCTION("-L44*$N$7"),-1226.8283527499975)</f>
        <v>-1226.828353</v>
      </c>
      <c r="J45" s="10">
        <f t="shared" si="3"/>
        <v>-1460.509944</v>
      </c>
      <c r="K45" s="10">
        <f t="shared" si="1"/>
        <v>-2687.338297</v>
      </c>
      <c r="L45" s="10">
        <f t="shared" si="2"/>
        <v>59880.90769</v>
      </c>
      <c r="M45" s="4"/>
      <c r="N45" s="4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18"/>
      <c r="B46" s="23" t="s">
        <v>25</v>
      </c>
      <c r="H46" s="4">
        <v>40.0</v>
      </c>
      <c r="I46" s="12">
        <f>IFERROR(__xludf.DUMMYFUNCTION("-L45*$N$7"),-1197.6181538749975)</f>
        <v>-1197.618154</v>
      </c>
      <c r="J46" s="10">
        <f t="shared" si="3"/>
        <v>-1460.509944</v>
      </c>
      <c r="K46" s="10">
        <f t="shared" si="1"/>
        <v>-2658.128098</v>
      </c>
      <c r="L46" s="10">
        <f t="shared" si="2"/>
        <v>58420.39775</v>
      </c>
      <c r="M46" s="4"/>
      <c r="N46" s="4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4">
        <v>41.0</v>
      </c>
      <c r="I47" s="12">
        <f>IFERROR(__xludf.DUMMYFUNCTION("-L46*$N$7"),-1168.4079549999974)</f>
        <v>-1168.407955</v>
      </c>
      <c r="J47" s="10">
        <f t="shared" si="3"/>
        <v>-1460.509944</v>
      </c>
      <c r="K47" s="10">
        <f t="shared" si="1"/>
        <v>-2628.917899</v>
      </c>
      <c r="L47" s="10">
        <f t="shared" si="2"/>
        <v>56959.88781</v>
      </c>
      <c r="M47" s="4"/>
      <c r="N47" s="4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4">
        <v>42.0</v>
      </c>
      <c r="I48" s="12">
        <f>IFERROR(__xludf.DUMMYFUNCTION("-L47*$N$7"),-1139.1977561249973)</f>
        <v>-1139.197756</v>
      </c>
      <c r="J48" s="10">
        <f t="shared" si="3"/>
        <v>-1460.509944</v>
      </c>
      <c r="K48" s="10">
        <f t="shared" si="1"/>
        <v>-2599.7077</v>
      </c>
      <c r="L48" s="10">
        <f t="shared" si="2"/>
        <v>55499.37786</v>
      </c>
      <c r="M48" s="4"/>
      <c r="N48" s="4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5" t="s">
        <v>26</v>
      </c>
      <c r="F49" s="24"/>
      <c r="G49" s="6" t="s">
        <v>4</v>
      </c>
      <c r="H49" s="4">
        <v>43.0</v>
      </c>
      <c r="I49" s="12">
        <f>IFERROR(__xludf.DUMMYFUNCTION("-L48*$N$7"),-1109.9875572499973)</f>
        <v>-1109.987557</v>
      </c>
      <c r="J49" s="10">
        <f t="shared" si="3"/>
        <v>-1460.509944</v>
      </c>
      <c r="K49" s="10">
        <f t="shared" si="1"/>
        <v>-2570.497501</v>
      </c>
      <c r="L49" s="10">
        <f t="shared" si="2"/>
        <v>54038.86792</v>
      </c>
      <c r="M49" s="4"/>
      <c r="N49" s="4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3" t="s">
        <v>5</v>
      </c>
      <c r="B50" s="3" t="s">
        <v>19</v>
      </c>
      <c r="C50" s="3" t="s">
        <v>20</v>
      </c>
      <c r="D50" s="3" t="s">
        <v>9</v>
      </c>
      <c r="E50" s="3" t="s">
        <v>2</v>
      </c>
      <c r="F50" s="24"/>
      <c r="G50" s="4">
        <v>25.0</v>
      </c>
      <c r="H50" s="4">
        <v>44.0</v>
      </c>
      <c r="I50" s="12">
        <f>IFERROR(__xludf.DUMMYFUNCTION("-L49*$N$7"),-1080.7773583749972)</f>
        <v>-1080.777358</v>
      </c>
      <c r="J50" s="10">
        <f t="shared" si="3"/>
        <v>-1460.509944</v>
      </c>
      <c r="K50" s="10">
        <f t="shared" si="1"/>
        <v>-2541.287302</v>
      </c>
      <c r="L50" s="10">
        <f t="shared" si="2"/>
        <v>52578.35797</v>
      </c>
      <c r="M50" s="4"/>
      <c r="N50" s="4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4">
        <v>0.0</v>
      </c>
      <c r="B51" s="25" t="s">
        <v>11</v>
      </c>
      <c r="C51" s="8" t="s">
        <v>11</v>
      </c>
      <c r="D51" s="25" t="s">
        <v>11</v>
      </c>
      <c r="E51" s="10">
        <f>G56</f>
        <v>50000</v>
      </c>
      <c r="F51" s="24"/>
      <c r="G51" s="6" t="s">
        <v>12</v>
      </c>
      <c r="H51" s="4">
        <v>45.0</v>
      </c>
      <c r="I51" s="12">
        <f>IFERROR(__xludf.DUMMYFUNCTION("-L50*$N$7"),-1051.5671594999972)</f>
        <v>-1051.56716</v>
      </c>
      <c r="J51" s="10">
        <f t="shared" si="3"/>
        <v>-1460.509944</v>
      </c>
      <c r="K51" s="10">
        <f t="shared" si="1"/>
        <v>-2512.077103</v>
      </c>
      <c r="L51" s="10">
        <f t="shared" si="2"/>
        <v>51117.84803</v>
      </c>
      <c r="M51" s="4"/>
      <c r="N51" s="4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4">
        <v>1.0</v>
      </c>
      <c r="B52" s="10">
        <f>IFERROR(__xludf.DUMMYFUNCTION("-E51*$G$52"),-2500.0)</f>
        <v>-2500</v>
      </c>
      <c r="C52" s="10">
        <f>IFERROR(__xludf.DUMMYFUNCTION("-E51/A76"),-2000.0)</f>
        <v>-2000</v>
      </c>
      <c r="D52" s="10">
        <f t="shared" ref="D52:D76" si="12">C52+B52</f>
        <v>-4500</v>
      </c>
      <c r="E52" s="10">
        <f t="shared" ref="E52:E76" si="13">E51+C52</f>
        <v>48000</v>
      </c>
      <c r="F52" s="24"/>
      <c r="G52" s="13">
        <v>0.05</v>
      </c>
      <c r="H52" s="4">
        <v>46.0</v>
      </c>
      <c r="I52" s="12">
        <f>IFERROR(__xludf.DUMMYFUNCTION("-L51*$N$7"),-1022.3569606249972)</f>
        <v>-1022.356961</v>
      </c>
      <c r="J52" s="10">
        <f t="shared" si="3"/>
        <v>-1460.509944</v>
      </c>
      <c r="K52" s="10">
        <f t="shared" si="1"/>
        <v>-2482.866904</v>
      </c>
      <c r="L52" s="10">
        <f t="shared" si="2"/>
        <v>49657.33809</v>
      </c>
      <c r="M52" s="4"/>
      <c r="N52" s="4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4">
        <v>2.0</v>
      </c>
      <c r="B53" s="10">
        <f>IFERROR(__xludf.DUMMYFUNCTION("-E52*$G$52"),-2400.0)</f>
        <v>-2400</v>
      </c>
      <c r="C53" s="10">
        <f t="shared" ref="C53:C76" si="14">$C$52</f>
        <v>-2000</v>
      </c>
      <c r="D53" s="10">
        <f t="shared" si="12"/>
        <v>-4400</v>
      </c>
      <c r="E53" s="10">
        <f t="shared" si="13"/>
        <v>46000</v>
      </c>
      <c r="F53" s="24"/>
      <c r="G53" s="6" t="s">
        <v>13</v>
      </c>
      <c r="H53" s="4">
        <v>47.0</v>
      </c>
      <c r="I53" s="12">
        <f>IFERROR(__xludf.DUMMYFUNCTION("-L52*$N$7"),-993.1467617499972)</f>
        <v>-993.1467617</v>
      </c>
      <c r="J53" s="10">
        <f t="shared" si="3"/>
        <v>-1460.509944</v>
      </c>
      <c r="K53" s="10">
        <f t="shared" si="1"/>
        <v>-2453.656706</v>
      </c>
      <c r="L53" s="10">
        <f t="shared" si="2"/>
        <v>48196.82814</v>
      </c>
      <c r="M53" s="4"/>
      <c r="N53" s="4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4">
        <v>3.0</v>
      </c>
      <c r="B54" s="10">
        <f>IFERROR(__xludf.DUMMYFUNCTION("-E53*$G$52"),-2300.0)</f>
        <v>-2300</v>
      </c>
      <c r="C54" s="10">
        <f t="shared" si="14"/>
        <v>-2000</v>
      </c>
      <c r="D54" s="10">
        <f t="shared" si="12"/>
        <v>-4300</v>
      </c>
      <c r="E54" s="10">
        <f t="shared" si="13"/>
        <v>44000</v>
      </c>
      <c r="F54" s="24"/>
      <c r="G54" s="15">
        <v>0.0</v>
      </c>
      <c r="H54" s="4">
        <v>48.0</v>
      </c>
      <c r="I54" s="12">
        <f>IFERROR(__xludf.DUMMYFUNCTION("-L53*$N$7"),-963.9365628749971)</f>
        <v>-963.9365629</v>
      </c>
      <c r="J54" s="10">
        <f t="shared" si="3"/>
        <v>-1460.509944</v>
      </c>
      <c r="K54" s="10">
        <f t="shared" si="1"/>
        <v>-2424.446507</v>
      </c>
      <c r="L54" s="10">
        <f t="shared" si="2"/>
        <v>46736.3182</v>
      </c>
      <c r="M54" s="4"/>
      <c r="N54" s="4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4">
        <v>4.0</v>
      </c>
      <c r="B55" s="10">
        <f>IFERROR(__xludf.DUMMYFUNCTION("-E54*$G$52"),-2200.0)</f>
        <v>-2200</v>
      </c>
      <c r="C55" s="10">
        <f t="shared" si="14"/>
        <v>-2000</v>
      </c>
      <c r="D55" s="10">
        <f t="shared" si="12"/>
        <v>-4200</v>
      </c>
      <c r="E55" s="10">
        <f t="shared" si="13"/>
        <v>42000</v>
      </c>
      <c r="F55" s="24"/>
      <c r="G55" s="6" t="s">
        <v>15</v>
      </c>
      <c r="H55" s="4">
        <v>49.0</v>
      </c>
      <c r="I55" s="12">
        <f>IFERROR(__xludf.DUMMYFUNCTION("-L54*$N$7"),-934.726363999997)</f>
        <v>-934.726364</v>
      </c>
      <c r="J55" s="10">
        <f t="shared" si="3"/>
        <v>-1460.509944</v>
      </c>
      <c r="K55" s="10">
        <f t="shared" si="1"/>
        <v>-2395.236308</v>
      </c>
      <c r="L55" s="10">
        <f t="shared" si="2"/>
        <v>45275.80826</v>
      </c>
      <c r="M55" s="4"/>
      <c r="N55" s="4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4">
        <v>5.0</v>
      </c>
      <c r="B56" s="10">
        <f>IFERROR(__xludf.DUMMYFUNCTION("-E55*$G$52"),-2100.0)</f>
        <v>-2100</v>
      </c>
      <c r="C56" s="10">
        <f t="shared" si="14"/>
        <v>-2000</v>
      </c>
      <c r="D56" s="10">
        <f t="shared" si="12"/>
        <v>-4100</v>
      </c>
      <c r="E56" s="10">
        <f t="shared" si="13"/>
        <v>40000</v>
      </c>
      <c r="F56" s="24"/>
      <c r="G56" s="10">
        <v>50000.0</v>
      </c>
      <c r="H56" s="4">
        <v>50.0</v>
      </c>
      <c r="I56" s="12">
        <f>IFERROR(__xludf.DUMMYFUNCTION("-L55*$N$7"),-905.516165124997)</f>
        <v>-905.5161651</v>
      </c>
      <c r="J56" s="10">
        <f t="shared" si="3"/>
        <v>-1460.509944</v>
      </c>
      <c r="K56" s="10">
        <f t="shared" si="1"/>
        <v>-2366.026109</v>
      </c>
      <c r="L56" s="10">
        <f t="shared" si="2"/>
        <v>43815.29831</v>
      </c>
      <c r="M56" s="4"/>
      <c r="N56" s="4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4">
        <v>6.0</v>
      </c>
      <c r="B57" s="10">
        <f>IFERROR(__xludf.DUMMYFUNCTION("-E56*$G$52"),-2000.0)</f>
        <v>-2000</v>
      </c>
      <c r="C57" s="10">
        <f t="shared" si="14"/>
        <v>-2000</v>
      </c>
      <c r="D57" s="10">
        <f t="shared" si="12"/>
        <v>-4000</v>
      </c>
      <c r="E57" s="10">
        <f t="shared" si="13"/>
        <v>38000</v>
      </c>
      <c r="F57" s="24"/>
      <c r="G57" s="24"/>
      <c r="H57" s="4">
        <v>51.0</v>
      </c>
      <c r="I57" s="12">
        <f>IFERROR(__xludf.DUMMYFUNCTION("-L56*$N$7"),-876.3059662499969)</f>
        <v>-876.3059662</v>
      </c>
      <c r="J57" s="10">
        <f t="shared" si="3"/>
        <v>-1460.509944</v>
      </c>
      <c r="K57" s="10">
        <f t="shared" si="1"/>
        <v>-2336.81591</v>
      </c>
      <c r="L57" s="10">
        <f t="shared" si="2"/>
        <v>42354.78837</v>
      </c>
      <c r="M57" s="4"/>
      <c r="N57" s="4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4">
        <v>7.0</v>
      </c>
      <c r="B58" s="10">
        <f>IFERROR(__xludf.DUMMYFUNCTION("-E57*$G$52"),-1900.0)</f>
        <v>-1900</v>
      </c>
      <c r="C58" s="10">
        <f t="shared" si="14"/>
        <v>-2000</v>
      </c>
      <c r="D58" s="10">
        <f t="shared" si="12"/>
        <v>-3900</v>
      </c>
      <c r="E58" s="10">
        <f t="shared" si="13"/>
        <v>36000</v>
      </c>
      <c r="F58" s="24"/>
      <c r="G58" s="24"/>
      <c r="H58" s="4">
        <v>52.0</v>
      </c>
      <c r="I58" s="12">
        <f>IFERROR(__xludf.DUMMYFUNCTION("-L57*$N$7"),-847.0957673749969)</f>
        <v>-847.0957674</v>
      </c>
      <c r="J58" s="10">
        <f t="shared" si="3"/>
        <v>-1460.509944</v>
      </c>
      <c r="K58" s="10">
        <f t="shared" si="1"/>
        <v>-2307.605711</v>
      </c>
      <c r="L58" s="10">
        <f t="shared" si="2"/>
        <v>40894.27842</v>
      </c>
      <c r="M58" s="4"/>
      <c r="N58" s="4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4">
        <v>8.0</v>
      </c>
      <c r="B59" s="10">
        <f>IFERROR(__xludf.DUMMYFUNCTION("-E58*$G$52"),-1800.0)</f>
        <v>-1800</v>
      </c>
      <c r="C59" s="10">
        <f t="shared" si="14"/>
        <v>-2000</v>
      </c>
      <c r="D59" s="10">
        <f t="shared" si="12"/>
        <v>-3800</v>
      </c>
      <c r="E59" s="10">
        <f t="shared" si="13"/>
        <v>34000</v>
      </c>
      <c r="F59" s="24"/>
      <c r="G59" s="24"/>
      <c r="H59" s="4">
        <v>53.0</v>
      </c>
      <c r="I59" s="12">
        <f>IFERROR(__xludf.DUMMYFUNCTION("-L58*$N$7"),-817.8855684999968)</f>
        <v>-817.8855685</v>
      </c>
      <c r="J59" s="10">
        <f t="shared" si="3"/>
        <v>-1460.509944</v>
      </c>
      <c r="K59" s="10">
        <f t="shared" si="1"/>
        <v>-2278.395512</v>
      </c>
      <c r="L59" s="10">
        <f t="shared" si="2"/>
        <v>39433.76848</v>
      </c>
      <c r="M59" s="4"/>
      <c r="N59" s="4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4">
        <v>9.0</v>
      </c>
      <c r="B60" s="10">
        <f>IFERROR(__xludf.DUMMYFUNCTION("-E59*$G$52"),-1700.0)</f>
        <v>-1700</v>
      </c>
      <c r="C60" s="10">
        <f t="shared" si="14"/>
        <v>-2000</v>
      </c>
      <c r="D60" s="10">
        <f t="shared" si="12"/>
        <v>-3700</v>
      </c>
      <c r="E60" s="10">
        <f t="shared" si="13"/>
        <v>32000</v>
      </c>
      <c r="F60" s="24"/>
      <c r="G60" s="24"/>
      <c r="H60" s="4">
        <v>54.0</v>
      </c>
      <c r="I60" s="12">
        <f>IFERROR(__xludf.DUMMYFUNCTION("-L59*$N$7"),-788.6753696249967)</f>
        <v>-788.6753696</v>
      </c>
      <c r="J60" s="10">
        <f t="shared" si="3"/>
        <v>-1460.509944</v>
      </c>
      <c r="K60" s="10">
        <f t="shared" si="1"/>
        <v>-2249.185313</v>
      </c>
      <c r="L60" s="10">
        <f t="shared" si="2"/>
        <v>37973.25854</v>
      </c>
      <c r="M60" s="4"/>
      <c r="N60" s="4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4">
        <v>10.0</v>
      </c>
      <c r="B61" s="10">
        <f>IFERROR(__xludf.DUMMYFUNCTION("-E60*$G$52"),-1600.0)</f>
        <v>-1600</v>
      </c>
      <c r="C61" s="10">
        <f t="shared" si="14"/>
        <v>-2000</v>
      </c>
      <c r="D61" s="10">
        <f t="shared" si="12"/>
        <v>-3600</v>
      </c>
      <c r="E61" s="10">
        <f t="shared" si="13"/>
        <v>30000</v>
      </c>
      <c r="F61" s="24"/>
      <c r="G61" s="24"/>
      <c r="H61" s="4">
        <v>55.0</v>
      </c>
      <c r="I61" s="12">
        <f>IFERROR(__xludf.DUMMYFUNCTION("-L60*$N$7"),-759.4651707499967)</f>
        <v>-759.4651707</v>
      </c>
      <c r="J61" s="10">
        <f t="shared" si="3"/>
        <v>-1460.509944</v>
      </c>
      <c r="K61" s="10">
        <f t="shared" si="1"/>
        <v>-2219.975115</v>
      </c>
      <c r="L61" s="10">
        <f t="shared" si="2"/>
        <v>36512.74859</v>
      </c>
      <c r="M61" s="4"/>
      <c r="N61" s="4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4">
        <v>11.0</v>
      </c>
      <c r="B62" s="10">
        <f>IFERROR(__xludf.DUMMYFUNCTION("-E61*$G$52"),-1500.0)</f>
        <v>-1500</v>
      </c>
      <c r="C62" s="10">
        <f t="shared" si="14"/>
        <v>-2000</v>
      </c>
      <c r="D62" s="10">
        <f t="shared" si="12"/>
        <v>-3500</v>
      </c>
      <c r="E62" s="10">
        <f t="shared" si="13"/>
        <v>28000</v>
      </c>
      <c r="F62" s="24"/>
      <c r="G62" s="24"/>
      <c r="H62" s="4">
        <v>56.0</v>
      </c>
      <c r="I62" s="12">
        <f>IFERROR(__xludf.DUMMYFUNCTION("-L61*$N$7"),-730.2549718749966)</f>
        <v>-730.2549719</v>
      </c>
      <c r="J62" s="10">
        <f t="shared" si="3"/>
        <v>-1460.509944</v>
      </c>
      <c r="K62" s="10">
        <f t="shared" si="1"/>
        <v>-2190.764916</v>
      </c>
      <c r="L62" s="10">
        <f t="shared" si="2"/>
        <v>35052.23865</v>
      </c>
      <c r="M62" s="4"/>
      <c r="N62" s="4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4">
        <v>12.0</v>
      </c>
      <c r="B63" s="10">
        <f>IFERROR(__xludf.DUMMYFUNCTION("-E62*$G$52"),-1400.0)</f>
        <v>-1400</v>
      </c>
      <c r="C63" s="10">
        <f t="shared" si="14"/>
        <v>-2000</v>
      </c>
      <c r="D63" s="10">
        <f t="shared" si="12"/>
        <v>-3400</v>
      </c>
      <c r="E63" s="10">
        <f t="shared" si="13"/>
        <v>26000</v>
      </c>
      <c r="F63" s="24"/>
      <c r="G63" s="24"/>
      <c r="H63" s="4">
        <v>57.0</v>
      </c>
      <c r="I63" s="12">
        <f>IFERROR(__xludf.DUMMYFUNCTION("-L62*$N$7"),-701.0447729999966)</f>
        <v>-701.044773</v>
      </c>
      <c r="J63" s="10">
        <f t="shared" si="3"/>
        <v>-1460.509944</v>
      </c>
      <c r="K63" s="10">
        <f t="shared" si="1"/>
        <v>-2161.554717</v>
      </c>
      <c r="L63" s="10">
        <f t="shared" si="2"/>
        <v>33591.72871</v>
      </c>
      <c r="M63" s="4"/>
      <c r="N63" s="4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4">
        <v>13.0</v>
      </c>
      <c r="B64" s="10">
        <f>IFERROR(__xludf.DUMMYFUNCTION("-E63*$G$52"),-1300.0)</f>
        <v>-1300</v>
      </c>
      <c r="C64" s="10">
        <f t="shared" si="14"/>
        <v>-2000</v>
      </c>
      <c r="D64" s="10">
        <f t="shared" si="12"/>
        <v>-3300</v>
      </c>
      <c r="E64" s="10">
        <f t="shared" si="13"/>
        <v>24000</v>
      </c>
      <c r="F64" s="24"/>
      <c r="G64" s="24"/>
      <c r="H64" s="4">
        <v>58.0</v>
      </c>
      <c r="I64" s="12">
        <f>IFERROR(__xludf.DUMMYFUNCTION("-L63*$N$7"),-671.8345741249965)</f>
        <v>-671.8345741</v>
      </c>
      <c r="J64" s="10">
        <f t="shared" si="3"/>
        <v>-1460.509944</v>
      </c>
      <c r="K64" s="10">
        <f t="shared" si="1"/>
        <v>-2132.344518</v>
      </c>
      <c r="L64" s="10">
        <f t="shared" si="2"/>
        <v>32131.21876</v>
      </c>
      <c r="M64" s="4"/>
      <c r="N64" s="4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4">
        <v>14.0</v>
      </c>
      <c r="B65" s="10">
        <f>IFERROR(__xludf.DUMMYFUNCTION("-E64*$G$52"),-1200.0)</f>
        <v>-1200</v>
      </c>
      <c r="C65" s="10">
        <f t="shared" si="14"/>
        <v>-2000</v>
      </c>
      <c r="D65" s="10">
        <f t="shared" si="12"/>
        <v>-3200</v>
      </c>
      <c r="E65" s="10">
        <f t="shared" si="13"/>
        <v>22000</v>
      </c>
      <c r="F65" s="24"/>
      <c r="G65" s="24"/>
      <c r="H65" s="4">
        <v>59.0</v>
      </c>
      <c r="I65" s="12">
        <f>IFERROR(__xludf.DUMMYFUNCTION("-L64*$N$7"),-642.6243752499964)</f>
        <v>-642.6243752</v>
      </c>
      <c r="J65" s="10">
        <f t="shared" si="3"/>
        <v>-1460.509944</v>
      </c>
      <c r="K65" s="10">
        <f t="shared" si="1"/>
        <v>-2103.134319</v>
      </c>
      <c r="L65" s="10">
        <f t="shared" si="2"/>
        <v>30670.70882</v>
      </c>
      <c r="M65" s="4"/>
      <c r="N65" s="4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4">
        <v>15.0</v>
      </c>
      <c r="B66" s="10">
        <f>IFERROR(__xludf.DUMMYFUNCTION("-E65*$G$52"),-1100.0)</f>
        <v>-1100</v>
      </c>
      <c r="C66" s="10">
        <f t="shared" si="14"/>
        <v>-2000</v>
      </c>
      <c r="D66" s="10">
        <f t="shared" si="12"/>
        <v>-3100</v>
      </c>
      <c r="E66" s="10">
        <f t="shared" si="13"/>
        <v>20000</v>
      </c>
      <c r="F66" s="24"/>
      <c r="G66" s="24"/>
      <c r="H66" s="4">
        <v>60.0</v>
      </c>
      <c r="I66" s="12">
        <f>IFERROR(__xludf.DUMMYFUNCTION("-L65*$N$7"),-613.4141763749965)</f>
        <v>-613.4141764</v>
      </c>
      <c r="J66" s="10">
        <f t="shared" si="3"/>
        <v>-1460.509944</v>
      </c>
      <c r="K66" s="10">
        <f t="shared" si="1"/>
        <v>-2073.92412</v>
      </c>
      <c r="L66" s="10">
        <f t="shared" si="2"/>
        <v>29210.19887</v>
      </c>
      <c r="M66" s="4"/>
      <c r="N66" s="4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4">
        <v>16.0</v>
      </c>
      <c r="B67" s="10">
        <f>IFERROR(__xludf.DUMMYFUNCTION("-E66*$G$52"),-1000.0)</f>
        <v>-1000</v>
      </c>
      <c r="C67" s="10">
        <f t="shared" si="14"/>
        <v>-2000</v>
      </c>
      <c r="D67" s="10">
        <f t="shared" si="12"/>
        <v>-3000</v>
      </c>
      <c r="E67" s="10">
        <f t="shared" si="13"/>
        <v>18000</v>
      </c>
      <c r="F67" s="24"/>
      <c r="G67" s="24"/>
      <c r="H67" s="4">
        <v>61.0</v>
      </c>
      <c r="I67" s="12">
        <f>IFERROR(__xludf.DUMMYFUNCTION("-L66*$N$7"),-584.2039774999965)</f>
        <v>-584.2039775</v>
      </c>
      <c r="J67" s="10">
        <f t="shared" si="3"/>
        <v>-1460.509944</v>
      </c>
      <c r="K67" s="10">
        <f t="shared" si="1"/>
        <v>-2044.713921</v>
      </c>
      <c r="L67" s="10">
        <f t="shared" si="2"/>
        <v>27749.68893</v>
      </c>
      <c r="M67" s="4"/>
      <c r="N67" s="4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4">
        <v>17.0</v>
      </c>
      <c r="B68" s="10">
        <f>IFERROR(__xludf.DUMMYFUNCTION("-E67*$G$52"),-900.0)</f>
        <v>-900</v>
      </c>
      <c r="C68" s="10">
        <f t="shared" si="14"/>
        <v>-2000</v>
      </c>
      <c r="D68" s="10">
        <f t="shared" si="12"/>
        <v>-2900</v>
      </c>
      <c r="E68" s="10">
        <f t="shared" si="13"/>
        <v>16000</v>
      </c>
      <c r="F68" s="24"/>
      <c r="G68" s="24"/>
      <c r="H68" s="4">
        <v>62.0</v>
      </c>
      <c r="I68" s="12">
        <f>IFERROR(__xludf.DUMMYFUNCTION("-L67*$N$7"),-554.9937786249965)</f>
        <v>-554.9937786</v>
      </c>
      <c r="J68" s="10">
        <f t="shared" si="3"/>
        <v>-1460.509944</v>
      </c>
      <c r="K68" s="10">
        <f t="shared" si="1"/>
        <v>-2015.503722</v>
      </c>
      <c r="L68" s="10">
        <f t="shared" si="2"/>
        <v>26289.17899</v>
      </c>
      <c r="M68" s="4"/>
      <c r="N68" s="4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4">
        <v>18.0</v>
      </c>
      <c r="B69" s="10">
        <f>IFERROR(__xludf.DUMMYFUNCTION("-E68*$G$52"),-800.0)</f>
        <v>-800</v>
      </c>
      <c r="C69" s="10">
        <f t="shared" si="14"/>
        <v>-2000</v>
      </c>
      <c r="D69" s="10">
        <f t="shared" si="12"/>
        <v>-2800</v>
      </c>
      <c r="E69" s="10">
        <f t="shared" si="13"/>
        <v>14000</v>
      </c>
      <c r="F69" s="24"/>
      <c r="G69" s="24"/>
      <c r="H69" s="4">
        <v>63.0</v>
      </c>
      <c r="I69" s="12">
        <f>IFERROR(__xludf.DUMMYFUNCTION("-L68*$N$7"),-525.7835797499965)</f>
        <v>-525.7835797</v>
      </c>
      <c r="J69" s="10">
        <f t="shared" si="3"/>
        <v>-1460.509944</v>
      </c>
      <c r="K69" s="10">
        <f t="shared" si="1"/>
        <v>-1986.293524</v>
      </c>
      <c r="L69" s="10">
        <f t="shared" si="2"/>
        <v>24828.66904</v>
      </c>
      <c r="M69" s="4"/>
      <c r="N69" s="4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4">
        <v>19.0</v>
      </c>
      <c r="B70" s="10">
        <f>IFERROR(__xludf.DUMMYFUNCTION("-E69*$G$52"),-700.0)</f>
        <v>-700</v>
      </c>
      <c r="C70" s="10">
        <f t="shared" si="14"/>
        <v>-2000</v>
      </c>
      <c r="D70" s="10">
        <f t="shared" si="12"/>
        <v>-2700</v>
      </c>
      <c r="E70" s="10">
        <f t="shared" si="13"/>
        <v>12000</v>
      </c>
      <c r="F70" s="24"/>
      <c r="G70" s="24"/>
      <c r="H70" s="4">
        <v>64.0</v>
      </c>
      <c r="I70" s="12">
        <f>IFERROR(__xludf.DUMMYFUNCTION("-L69*$N$7"),-496.57338087499653)</f>
        <v>-496.5733809</v>
      </c>
      <c r="J70" s="10">
        <f t="shared" si="3"/>
        <v>-1460.509944</v>
      </c>
      <c r="K70" s="10">
        <f t="shared" si="1"/>
        <v>-1957.083325</v>
      </c>
      <c r="L70" s="10">
        <f t="shared" si="2"/>
        <v>23368.1591</v>
      </c>
      <c r="M70" s="4"/>
      <c r="N70" s="4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4">
        <v>20.0</v>
      </c>
      <c r="B71" s="10">
        <f>IFERROR(__xludf.DUMMYFUNCTION("-E70*$G$52"),-600.0)</f>
        <v>-600</v>
      </c>
      <c r="C71" s="10">
        <f t="shared" si="14"/>
        <v>-2000</v>
      </c>
      <c r="D71" s="10">
        <f t="shared" si="12"/>
        <v>-2600</v>
      </c>
      <c r="E71" s="10">
        <f t="shared" si="13"/>
        <v>10000</v>
      </c>
      <c r="F71" s="24"/>
      <c r="G71" s="24"/>
      <c r="H71" s="4">
        <v>65.0</v>
      </c>
      <c r="I71" s="12">
        <f>IFERROR(__xludf.DUMMYFUNCTION("-L70*$N$7"),-467.3631819999965)</f>
        <v>-467.363182</v>
      </c>
      <c r="J71" s="10">
        <f t="shared" si="3"/>
        <v>-1460.509944</v>
      </c>
      <c r="K71" s="10">
        <f t="shared" si="1"/>
        <v>-1927.873126</v>
      </c>
      <c r="L71" s="10">
        <f t="shared" si="2"/>
        <v>21907.64916</v>
      </c>
      <c r="M71" s="4"/>
      <c r="N71" s="4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4">
        <v>21.0</v>
      </c>
      <c r="B72" s="10">
        <f>IFERROR(__xludf.DUMMYFUNCTION("-E71*$G$52"),-500.0)</f>
        <v>-500</v>
      </c>
      <c r="C72" s="10">
        <f t="shared" si="14"/>
        <v>-2000</v>
      </c>
      <c r="D72" s="10">
        <f t="shared" si="12"/>
        <v>-2500</v>
      </c>
      <c r="E72" s="10">
        <f t="shared" si="13"/>
        <v>8000</v>
      </c>
      <c r="F72" s="24"/>
      <c r="G72" s="24"/>
      <c r="H72" s="4">
        <v>66.0</v>
      </c>
      <c r="I72" s="12">
        <f>IFERROR(__xludf.DUMMYFUNCTION("-L71*$N$7"),-438.1529831249965)</f>
        <v>-438.1529831</v>
      </c>
      <c r="J72" s="10">
        <f t="shared" si="3"/>
        <v>-1460.509944</v>
      </c>
      <c r="K72" s="10">
        <f t="shared" si="1"/>
        <v>-1898.662927</v>
      </c>
      <c r="L72" s="10">
        <f t="shared" si="2"/>
        <v>20447.13921</v>
      </c>
      <c r="M72" s="4"/>
      <c r="N72" s="4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4">
        <v>22.0</v>
      </c>
      <c r="B73" s="10">
        <f>IFERROR(__xludf.DUMMYFUNCTION("-E72*$G$52"),-400.0)</f>
        <v>-400</v>
      </c>
      <c r="C73" s="10">
        <f t="shared" si="14"/>
        <v>-2000</v>
      </c>
      <c r="D73" s="10">
        <f t="shared" si="12"/>
        <v>-2400</v>
      </c>
      <c r="E73" s="10">
        <f t="shared" si="13"/>
        <v>6000</v>
      </c>
      <c r="F73" s="24"/>
      <c r="G73" s="24"/>
      <c r="H73" s="4">
        <v>67.0</v>
      </c>
      <c r="I73" s="12">
        <f>IFERROR(__xludf.DUMMYFUNCTION("-L72*$N$7"),-408.9427842499966)</f>
        <v>-408.9427842</v>
      </c>
      <c r="J73" s="10">
        <f t="shared" si="3"/>
        <v>-1460.509944</v>
      </c>
      <c r="K73" s="10">
        <f t="shared" si="1"/>
        <v>-1869.452728</v>
      </c>
      <c r="L73" s="10">
        <f t="shared" si="2"/>
        <v>18986.62927</v>
      </c>
      <c r="M73" s="4"/>
      <c r="N73" s="4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4">
        <v>23.0</v>
      </c>
      <c r="B74" s="10">
        <f>IFERROR(__xludf.DUMMYFUNCTION("-E73*$G$52"),-300.0)</f>
        <v>-300</v>
      </c>
      <c r="C74" s="10">
        <f t="shared" si="14"/>
        <v>-2000</v>
      </c>
      <c r="D74" s="10">
        <f t="shared" si="12"/>
        <v>-2300</v>
      </c>
      <c r="E74" s="10">
        <f t="shared" si="13"/>
        <v>4000</v>
      </c>
      <c r="F74" s="24"/>
      <c r="G74" s="24"/>
      <c r="H74" s="4">
        <v>68.0</v>
      </c>
      <c r="I74" s="12">
        <f>IFERROR(__xludf.DUMMYFUNCTION("-L73*$N$7"),-379.7325853749966)</f>
        <v>-379.7325854</v>
      </c>
      <c r="J74" s="10">
        <f t="shared" si="3"/>
        <v>-1460.509944</v>
      </c>
      <c r="K74" s="10">
        <f t="shared" si="1"/>
        <v>-1840.242529</v>
      </c>
      <c r="L74" s="10">
        <f t="shared" si="2"/>
        <v>17526.11932</v>
      </c>
      <c r="M74" s="4"/>
      <c r="N74" s="4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4">
        <v>24.0</v>
      </c>
      <c r="B75" s="10">
        <f>IFERROR(__xludf.DUMMYFUNCTION("-E74*$G$52"),-200.0)</f>
        <v>-200</v>
      </c>
      <c r="C75" s="10">
        <f t="shared" si="14"/>
        <v>-2000</v>
      </c>
      <c r="D75" s="10">
        <f t="shared" si="12"/>
        <v>-2200</v>
      </c>
      <c r="E75" s="10">
        <f t="shared" si="13"/>
        <v>2000</v>
      </c>
      <c r="F75" s="24"/>
      <c r="G75" s="24"/>
      <c r="H75" s="4">
        <v>69.0</v>
      </c>
      <c r="I75" s="12">
        <f>IFERROR(__xludf.DUMMYFUNCTION("-L74*$N$7"),-350.52238649999657)</f>
        <v>-350.5223865</v>
      </c>
      <c r="J75" s="10">
        <f t="shared" si="3"/>
        <v>-1460.509944</v>
      </c>
      <c r="K75" s="10">
        <f t="shared" si="1"/>
        <v>-1811.03233</v>
      </c>
      <c r="L75" s="10">
        <f t="shared" si="2"/>
        <v>16065.60938</v>
      </c>
      <c r="M75" s="4"/>
      <c r="N75" s="4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4">
        <v>25.0</v>
      </c>
      <c r="B76" s="10">
        <f>IFERROR(__xludf.DUMMYFUNCTION("-E75*$G$52"),-100.0)</f>
        <v>-100</v>
      </c>
      <c r="C76" s="10">
        <f t="shared" si="14"/>
        <v>-2000</v>
      </c>
      <c r="D76" s="10">
        <f t="shared" si="12"/>
        <v>-2100</v>
      </c>
      <c r="E76" s="10">
        <f t="shared" si="13"/>
        <v>0</v>
      </c>
      <c r="F76" s="24"/>
      <c r="G76" s="24"/>
      <c r="H76" s="4">
        <v>70.0</v>
      </c>
      <c r="I76" s="12">
        <f>IFERROR(__xludf.DUMMYFUNCTION("-L75*$N$7"),-321.31218762499657)</f>
        <v>-321.3121876</v>
      </c>
      <c r="J76" s="10">
        <f t="shared" si="3"/>
        <v>-1460.509944</v>
      </c>
      <c r="K76" s="10">
        <f t="shared" si="1"/>
        <v>-1781.822131</v>
      </c>
      <c r="L76" s="10">
        <f t="shared" si="2"/>
        <v>14605.09944</v>
      </c>
      <c r="M76" s="4"/>
      <c r="N76" s="4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4"/>
      <c r="B77" s="24"/>
      <c r="C77" s="24"/>
      <c r="D77" s="24"/>
      <c r="E77" s="24"/>
      <c r="F77" s="24"/>
      <c r="G77" s="24"/>
      <c r="H77" s="4">
        <v>71.0</v>
      </c>
      <c r="I77" s="12">
        <f>IFERROR(__xludf.DUMMYFUNCTION("-L76*$N$7"),-292.1019887499966)</f>
        <v>-292.1019887</v>
      </c>
      <c r="J77" s="10">
        <f t="shared" si="3"/>
        <v>-1460.509944</v>
      </c>
      <c r="K77" s="10">
        <f t="shared" si="1"/>
        <v>-1752.611933</v>
      </c>
      <c r="L77" s="10">
        <f t="shared" si="2"/>
        <v>13144.58949</v>
      </c>
      <c r="M77" s="4"/>
      <c r="N77" s="4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6" t="s">
        <v>27</v>
      </c>
      <c r="F78" s="24"/>
      <c r="G78" s="24"/>
      <c r="H78" s="4">
        <v>72.0</v>
      </c>
      <c r="I78" s="12">
        <f>IFERROR(__xludf.DUMMYFUNCTION("-L77*$N$7"),-262.8917898749966)</f>
        <v>-262.8917899</v>
      </c>
      <c r="J78" s="10">
        <f t="shared" si="3"/>
        <v>-1460.509944</v>
      </c>
      <c r="K78" s="10">
        <f t="shared" si="1"/>
        <v>-1723.401734</v>
      </c>
      <c r="L78" s="10">
        <f t="shared" si="2"/>
        <v>11684.07955</v>
      </c>
      <c r="M78" s="4"/>
      <c r="N78" s="4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4">
        <v>73.0</v>
      </c>
      <c r="I79" s="12">
        <f>IFERROR(__xludf.DUMMYFUNCTION("-L78*$N$7"),-233.68159099999662)</f>
        <v>-233.681591</v>
      </c>
      <c r="J79" s="10">
        <f t="shared" si="3"/>
        <v>-1460.509944</v>
      </c>
      <c r="K79" s="10">
        <f t="shared" si="1"/>
        <v>-1694.191535</v>
      </c>
      <c r="L79" s="10">
        <f t="shared" si="2"/>
        <v>10223.56961</v>
      </c>
      <c r="M79" s="4"/>
      <c r="N79" s="4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4">
        <v>74.0</v>
      </c>
      <c r="I80" s="12">
        <f>IFERROR(__xludf.DUMMYFUNCTION("-L79*$N$7"),-204.47139212499664)</f>
        <v>-204.4713921</v>
      </c>
      <c r="J80" s="10">
        <f t="shared" si="3"/>
        <v>-1460.509944</v>
      </c>
      <c r="K80" s="10">
        <f t="shared" si="1"/>
        <v>-1664.981336</v>
      </c>
      <c r="L80" s="10">
        <f t="shared" si="2"/>
        <v>8763.059662</v>
      </c>
      <c r="M80" s="4"/>
      <c r="N80" s="4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4">
        <v>75.0</v>
      </c>
      <c r="I81" s="12">
        <f>IFERROR(__xludf.DUMMYFUNCTION("-L80*$N$7"),-175.26119324999667)</f>
        <v>-175.2611932</v>
      </c>
      <c r="J81" s="10">
        <f t="shared" si="3"/>
        <v>-1460.509944</v>
      </c>
      <c r="K81" s="10">
        <f t="shared" si="1"/>
        <v>-1635.771137</v>
      </c>
      <c r="L81" s="10">
        <f t="shared" si="2"/>
        <v>7302.549719</v>
      </c>
      <c r="M81" s="4"/>
      <c r="N81" s="4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4">
        <v>76.0</v>
      </c>
      <c r="I82" s="12">
        <f>IFERROR(__xludf.DUMMYFUNCTION("-L81*$N$7"),-146.05099437499666)</f>
        <v>-146.0509944</v>
      </c>
      <c r="J82" s="10">
        <f t="shared" si="3"/>
        <v>-1460.509944</v>
      </c>
      <c r="K82" s="10">
        <f t="shared" si="1"/>
        <v>-1606.560938</v>
      </c>
      <c r="L82" s="10">
        <f t="shared" si="2"/>
        <v>5842.039775</v>
      </c>
      <c r="M82" s="4"/>
      <c r="N82" s="4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4">
        <v>77.0</v>
      </c>
      <c r="I83" s="12">
        <f>IFERROR(__xludf.DUMMYFUNCTION("-L82*$N$7"),-116.84079549999667)</f>
        <v>-116.8407955</v>
      </c>
      <c r="J83" s="10">
        <f t="shared" si="3"/>
        <v>-1460.509944</v>
      </c>
      <c r="K83" s="10">
        <f t="shared" si="1"/>
        <v>-1577.350739</v>
      </c>
      <c r="L83" s="10">
        <f t="shared" si="2"/>
        <v>4381.529831</v>
      </c>
      <c r="M83" s="4"/>
      <c r="N83" s="4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4">
        <v>78.0</v>
      </c>
      <c r="I84" s="12">
        <f>IFERROR(__xludf.DUMMYFUNCTION("-L83*$N$7"),-87.63059662499668)</f>
        <v>-87.63059662</v>
      </c>
      <c r="J84" s="10">
        <f t="shared" si="3"/>
        <v>-1460.509944</v>
      </c>
      <c r="K84" s="10">
        <f t="shared" si="1"/>
        <v>-1548.14054</v>
      </c>
      <c r="L84" s="10">
        <f t="shared" si="2"/>
        <v>2921.019887</v>
      </c>
      <c r="M84" s="4"/>
      <c r="N84" s="4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4">
        <v>79.0</v>
      </c>
      <c r="I85" s="12">
        <f>IFERROR(__xludf.DUMMYFUNCTION("-L84*$N$7"),-58.420397749996695)</f>
        <v>-58.42039775</v>
      </c>
      <c r="J85" s="10">
        <f t="shared" si="3"/>
        <v>-1460.509944</v>
      </c>
      <c r="K85" s="10">
        <f t="shared" si="1"/>
        <v>-1518.930342</v>
      </c>
      <c r="L85" s="10">
        <f t="shared" si="2"/>
        <v>1460.509944</v>
      </c>
      <c r="M85" s="4"/>
      <c r="N85" s="4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16">
        <v>80.0</v>
      </c>
      <c r="I86" s="12">
        <f>IFERROR(__xludf.DUMMYFUNCTION("-L85*$N$7"),-29.210198874996696)</f>
        <v>-29.21019887</v>
      </c>
      <c r="J86" s="10">
        <f t="shared" si="3"/>
        <v>-1460.509944</v>
      </c>
      <c r="K86" s="10">
        <f t="shared" si="1"/>
        <v>-1489.720143</v>
      </c>
      <c r="L86" s="10">
        <f t="shared" si="2"/>
        <v>-0.0000000001650732884</v>
      </c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6.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16" t="s">
        <v>28</v>
      </c>
      <c r="I90" s="16" t="s">
        <v>5</v>
      </c>
      <c r="J90" s="27" t="s">
        <v>19</v>
      </c>
      <c r="K90" s="16" t="s">
        <v>29</v>
      </c>
      <c r="L90" s="16" t="s">
        <v>9</v>
      </c>
      <c r="M90" s="16" t="s">
        <v>2</v>
      </c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8" t="s">
        <v>30</v>
      </c>
      <c r="B91" s="28" t="s">
        <v>2</v>
      </c>
      <c r="C91" s="2"/>
      <c r="D91" s="2"/>
      <c r="E91" s="2"/>
      <c r="F91" s="2"/>
      <c r="G91" s="2"/>
      <c r="H91" s="2"/>
      <c r="I91" s="16">
        <v>0.0</v>
      </c>
      <c r="K91" s="2"/>
      <c r="L91" s="2"/>
      <c r="M91" s="16">
        <v>30000.0</v>
      </c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16">
        <v>1.0</v>
      </c>
      <c r="J92" s="29">
        <f>L92-K92</f>
        <v>450</v>
      </c>
      <c r="K92" s="2">
        <f>M91-M92</f>
        <v>350</v>
      </c>
      <c r="L92" s="16">
        <v>800.0</v>
      </c>
      <c r="M92" s="16">
        <v>29650.0</v>
      </c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16" t="s">
        <v>21</v>
      </c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>
        <f>100*(J92/M91)</f>
        <v>1.5</v>
      </c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16" t="s">
        <v>31</v>
      </c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16" t="s">
        <v>32</v>
      </c>
      <c r="I99" s="16" t="s">
        <v>5</v>
      </c>
      <c r="J99" s="27" t="s">
        <v>19</v>
      </c>
      <c r="K99" s="16" t="s">
        <v>29</v>
      </c>
      <c r="L99" s="16" t="s">
        <v>9</v>
      </c>
      <c r="M99" s="16" t="s">
        <v>2</v>
      </c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16" t="s">
        <v>33</v>
      </c>
      <c r="I100" s="16">
        <v>0.0</v>
      </c>
      <c r="J100" s="16" t="s">
        <v>11</v>
      </c>
      <c r="K100" s="16" t="s">
        <v>11</v>
      </c>
      <c r="L100" s="16" t="s">
        <v>11</v>
      </c>
      <c r="M100" s="16">
        <v>1000000.0</v>
      </c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30">
        <v>0.025</v>
      </c>
      <c r="I101" s="2">
        <f t="shared" ref="I101:I103" si="15">I100+1</f>
        <v>1</v>
      </c>
      <c r="J101" s="2">
        <f>IFERROR(__xludf.DUMMYFUNCTION("-M100*$H$101"),-25000.0)</f>
        <v>-25000</v>
      </c>
      <c r="K101" s="31">
        <f t="shared" ref="K101:K103" si="16">L101-J101</f>
        <v>-325137.1672</v>
      </c>
      <c r="L101" s="31">
        <f>PMT(H101,I103,M100,,)</f>
        <v>-350137.1672</v>
      </c>
      <c r="M101" s="31">
        <f t="shared" ref="M101:M103" si="17">M100+K101</f>
        <v>674862.8328</v>
      </c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>
        <f t="shared" si="15"/>
        <v>2</v>
      </c>
      <c r="J102" s="31">
        <f>IFERROR(__xludf.DUMMYFUNCTION("-M101*$H$101"),-16871.570818939203)</f>
        <v>-16871.57082</v>
      </c>
      <c r="K102" s="31">
        <f t="shared" si="16"/>
        <v>-333265.5964</v>
      </c>
      <c r="L102" s="31">
        <f t="shared" ref="L102:L103" si="18">L101</f>
        <v>-350137.1672</v>
      </c>
      <c r="M102" s="31">
        <f t="shared" si="17"/>
        <v>341597.2363</v>
      </c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>
        <f t="shared" si="15"/>
        <v>3</v>
      </c>
      <c r="J103" s="31">
        <f>IFERROR(__xludf.DUMMYFUNCTION("-M102*$H$101"),-8539.930908351886)</f>
        <v>-8539.930908</v>
      </c>
      <c r="K103" s="31">
        <f t="shared" si="16"/>
        <v>-341597.2363</v>
      </c>
      <c r="L103" s="31">
        <f t="shared" si="18"/>
        <v>-350137.1672</v>
      </c>
      <c r="M103" s="31">
        <f t="shared" si="17"/>
        <v>-0.000000004598405212</v>
      </c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>
        <f>SUM(J100:J103)</f>
        <v>-50411.50173</v>
      </c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16" t="s">
        <v>34</v>
      </c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16" t="s">
        <v>35</v>
      </c>
      <c r="I109" s="16" t="s">
        <v>5</v>
      </c>
      <c r="J109" s="27" t="s">
        <v>19</v>
      </c>
      <c r="K109" s="16" t="s">
        <v>29</v>
      </c>
      <c r="L109" s="16" t="s">
        <v>9</v>
      </c>
      <c r="M109" s="16" t="s">
        <v>2</v>
      </c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16" t="s">
        <v>33</v>
      </c>
      <c r="I110" s="16">
        <v>0.0</v>
      </c>
      <c r="J110" s="16" t="s">
        <v>11</v>
      </c>
      <c r="K110" s="16" t="s">
        <v>11</v>
      </c>
      <c r="L110" s="16" t="s">
        <v>11</v>
      </c>
      <c r="M110" s="16">
        <v>100000.0</v>
      </c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32">
        <v>0.1</v>
      </c>
      <c r="I111" s="2">
        <f t="shared" ref="I111:I114" si="19">I110+1</f>
        <v>1</v>
      </c>
      <c r="J111" s="2">
        <f>IFERROR(__xludf.DUMMYFUNCTION("-M110*$H$111"),-10000.0)</f>
        <v>-10000</v>
      </c>
      <c r="K111" s="2">
        <f>IFERROR(__xludf.DUMMYFUNCTION("-$M$110/$I$114"),-25000.0)</f>
        <v>-25000</v>
      </c>
      <c r="L111" s="2">
        <f t="shared" ref="L111:L114" si="20">K111+J111</f>
        <v>-35000</v>
      </c>
      <c r="M111" s="2">
        <f t="shared" ref="M111:M114" si="21">M110+K111</f>
        <v>75000</v>
      </c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>
        <f t="shared" si="19"/>
        <v>2</v>
      </c>
      <c r="J112" s="2">
        <f>IFERROR(__xludf.DUMMYFUNCTION("-M111*$H$111"),-7500.0)</f>
        <v>-7500</v>
      </c>
      <c r="K112" s="2">
        <f t="shared" ref="K112:K114" si="22">K111</f>
        <v>-25000</v>
      </c>
      <c r="L112" s="2">
        <f t="shared" si="20"/>
        <v>-32500</v>
      </c>
      <c r="M112" s="2">
        <f t="shared" si="21"/>
        <v>50000</v>
      </c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>
        <f t="shared" si="19"/>
        <v>3</v>
      </c>
      <c r="J113" s="2">
        <f>IFERROR(__xludf.DUMMYFUNCTION("-M112*$H$111"),-5000.0)</f>
        <v>-5000</v>
      </c>
      <c r="K113" s="2">
        <f t="shared" si="22"/>
        <v>-25000</v>
      </c>
      <c r="L113" s="2">
        <f t="shared" si="20"/>
        <v>-30000</v>
      </c>
      <c r="M113" s="2">
        <f t="shared" si="21"/>
        <v>25000</v>
      </c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>
        <f t="shared" si="19"/>
        <v>4</v>
      </c>
      <c r="J114" s="2">
        <f>IFERROR(__xludf.DUMMYFUNCTION("-M113*$H$111"),-2500.0)</f>
        <v>-2500</v>
      </c>
      <c r="K114" s="2">
        <f t="shared" si="22"/>
        <v>-25000</v>
      </c>
      <c r="L114" s="2">
        <f t="shared" si="20"/>
        <v>-27500</v>
      </c>
      <c r="M114" s="2">
        <f t="shared" si="21"/>
        <v>0</v>
      </c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16" t="s">
        <v>36</v>
      </c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0">
    <mergeCell ref="H96:J96"/>
    <mergeCell ref="I107:M107"/>
    <mergeCell ref="I116:M116"/>
    <mergeCell ref="A1:C1"/>
    <mergeCell ref="H4:L4"/>
    <mergeCell ref="B9:F9"/>
    <mergeCell ref="A13:G13"/>
    <mergeCell ref="B46:G46"/>
    <mergeCell ref="A49:E49"/>
    <mergeCell ref="A78:E78"/>
  </mergeCells>
  <drawing r:id="rId1"/>
</worksheet>
</file>