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6605" windowHeight="7995" tabRatio="868" activeTab="3"/>
  </bookViews>
  <sheets>
    <sheet name="Datos" sheetId="12" r:id="rId1"/>
    <sheet name="Tablas teo" sheetId="17" r:id="rId2"/>
    <sheet name="Tablas exp" sheetId="13" r:id="rId3"/>
    <sheet name="Diametros medidos en m" sheetId="24" r:id="rId4"/>
    <sheet name="Graficos exp vs medidos" sheetId="23" r:id="rId5"/>
    <sheet name="Graficos" sheetId="19" r:id="rId6"/>
    <sheet name="Graficos comparatorios" sheetId="21" r:id="rId7"/>
    <sheet name="Tablas exp con errores" sheetId="22" r:id="rId8"/>
    <sheet name="numeros exp vs medidos" sheetId="25" r:id="rId9"/>
    <sheet name="numeros exp vs medidos cruzados" sheetId="26" r:id="rId10"/>
  </sheets>
  <externalReferences>
    <externalReference r:id="rId11"/>
    <externalReference r:id="rId12"/>
  </externalReferences>
  <calcPr calcId="125725"/>
</workbook>
</file>

<file path=xl/calcChain.xml><?xml version="1.0" encoding="utf-8"?>
<calcChain xmlns="http://schemas.openxmlformats.org/spreadsheetml/2006/main">
  <c r="O22" i="26"/>
  <c r="N22"/>
  <c r="M22"/>
  <c r="L22"/>
  <c r="K22"/>
  <c r="J22"/>
  <c r="I22"/>
  <c r="H22"/>
  <c r="G22"/>
  <c r="F22"/>
  <c r="E22"/>
  <c r="D22"/>
  <c r="B22"/>
  <c r="O21"/>
  <c r="N21"/>
  <c r="M21"/>
  <c r="L21"/>
  <c r="K21"/>
  <c r="J21"/>
  <c r="I21"/>
  <c r="H21"/>
  <c r="G21"/>
  <c r="F21"/>
  <c r="E21"/>
  <c r="D21"/>
  <c r="C21"/>
  <c r="O20"/>
  <c r="N20"/>
  <c r="M20"/>
  <c r="L20"/>
  <c r="K20"/>
  <c r="J20"/>
  <c r="I20"/>
  <c r="H20"/>
  <c r="G20"/>
  <c r="F20"/>
  <c r="E20"/>
  <c r="D20"/>
  <c r="B20"/>
  <c r="O19"/>
  <c r="N19"/>
  <c r="M19"/>
  <c r="L19"/>
  <c r="K19"/>
  <c r="J19"/>
  <c r="I19"/>
  <c r="H19"/>
  <c r="G19"/>
  <c r="F19"/>
  <c r="E19"/>
  <c r="D19"/>
  <c r="C19"/>
  <c r="O18"/>
  <c r="N18"/>
  <c r="M18"/>
  <c r="L18"/>
  <c r="K18"/>
  <c r="J18"/>
  <c r="I18"/>
  <c r="H18"/>
  <c r="G18"/>
  <c r="F18"/>
  <c r="E18"/>
  <c r="D18"/>
  <c r="B18"/>
  <c r="O17"/>
  <c r="N17"/>
  <c r="M17"/>
  <c r="L17"/>
  <c r="K17"/>
  <c r="J17"/>
  <c r="I17"/>
  <c r="H17"/>
  <c r="G17"/>
  <c r="F17"/>
  <c r="E17"/>
  <c r="D17"/>
  <c r="C17"/>
  <c r="N14"/>
  <c r="L14"/>
  <c r="J14"/>
  <c r="H14"/>
  <c r="F14"/>
  <c r="D14"/>
  <c r="C10"/>
  <c r="C22" s="1"/>
  <c r="B10"/>
  <c r="C9"/>
  <c r="B9"/>
  <c r="B21" s="1"/>
  <c r="C8"/>
  <c r="C20" s="1"/>
  <c r="B8"/>
  <c r="C7"/>
  <c r="B7"/>
  <c r="B19" s="1"/>
  <c r="C6"/>
  <c r="C18" s="1"/>
  <c r="B6"/>
  <c r="C5"/>
  <c r="B5"/>
  <c r="B17" s="1"/>
  <c r="N2"/>
  <c r="L2"/>
  <c r="J2"/>
  <c r="H2"/>
  <c r="F2"/>
  <c r="D2"/>
  <c r="O18" i="25" l="1"/>
  <c r="O19"/>
  <c r="O20"/>
  <c r="O21"/>
  <c r="O22"/>
  <c r="O17"/>
  <c r="N18"/>
  <c r="N19"/>
  <c r="N20"/>
  <c r="N21"/>
  <c r="N22"/>
  <c r="N17"/>
  <c r="M18"/>
  <c r="M19"/>
  <c r="M20"/>
  <c r="M21"/>
  <c r="M22"/>
  <c r="M17"/>
  <c r="L18"/>
  <c r="L19"/>
  <c r="L20"/>
  <c r="L21"/>
  <c r="L22"/>
  <c r="L17"/>
  <c r="K18"/>
  <c r="K19"/>
  <c r="K20"/>
  <c r="K21"/>
  <c r="K22"/>
  <c r="K17"/>
  <c r="J18"/>
  <c r="J19"/>
  <c r="J20"/>
  <c r="J21"/>
  <c r="J22"/>
  <c r="J17"/>
  <c r="I18"/>
  <c r="I19"/>
  <c r="I20"/>
  <c r="I21"/>
  <c r="I22"/>
  <c r="I17"/>
  <c r="H18"/>
  <c r="H19"/>
  <c r="H20"/>
  <c r="H21"/>
  <c r="H22"/>
  <c r="H17"/>
  <c r="G18"/>
  <c r="G19"/>
  <c r="G20"/>
  <c r="G21"/>
  <c r="G22"/>
  <c r="G17"/>
  <c r="F18"/>
  <c r="F19"/>
  <c r="F20"/>
  <c r="F21"/>
  <c r="F22"/>
  <c r="F17"/>
  <c r="E18"/>
  <c r="E19"/>
  <c r="E20"/>
  <c r="E21"/>
  <c r="E22"/>
  <c r="E17"/>
  <c r="D18"/>
  <c r="D19"/>
  <c r="D20"/>
  <c r="D21"/>
  <c r="D22"/>
  <c r="D17"/>
  <c r="C17"/>
  <c r="C18"/>
  <c r="C19"/>
  <c r="C20"/>
  <c r="C21"/>
  <c r="C22"/>
  <c r="B17"/>
  <c r="B18"/>
  <c r="B19"/>
  <c r="B20"/>
  <c r="B21"/>
  <c r="B22"/>
  <c r="N14"/>
  <c r="L14"/>
  <c r="J14"/>
  <c r="H14"/>
  <c r="F14"/>
  <c r="D14"/>
  <c r="N2"/>
  <c r="L2"/>
  <c r="J2"/>
  <c r="H2"/>
  <c r="C10"/>
  <c r="B10"/>
  <c r="C9"/>
  <c r="B9"/>
  <c r="C8"/>
  <c r="B8"/>
  <c r="C7"/>
  <c r="B7"/>
  <c r="C6"/>
  <c r="B6"/>
  <c r="C5"/>
  <c r="B5"/>
  <c r="F2"/>
  <c r="D2"/>
  <c r="G30" i="24"/>
  <c r="G31"/>
  <c r="G32"/>
  <c r="G33"/>
  <c r="G34"/>
  <c r="H32"/>
  <c r="F30"/>
  <c r="F31"/>
  <c r="F32"/>
  <c r="F33"/>
  <c r="H33" s="1"/>
  <c r="F34"/>
  <c r="D30"/>
  <c r="D31"/>
  <c r="D32"/>
  <c r="D33"/>
  <c r="D34"/>
  <c r="E31"/>
  <c r="G29"/>
  <c r="F29"/>
  <c r="H29" s="1"/>
  <c r="D29"/>
  <c r="E29" s="1"/>
  <c r="C30"/>
  <c r="C31"/>
  <c r="C32"/>
  <c r="C33"/>
  <c r="C34"/>
  <c r="E32"/>
  <c r="C29"/>
  <c r="E34"/>
  <c r="E30"/>
  <c r="F21"/>
  <c r="O21" s="1"/>
  <c r="E21"/>
  <c r="M21" s="1"/>
  <c r="D21"/>
  <c r="K21" s="1"/>
  <c r="O19"/>
  <c r="F19"/>
  <c r="E19"/>
  <c r="M19" s="1"/>
  <c r="D19"/>
  <c r="K19" s="1"/>
  <c r="F17"/>
  <c r="O17" s="1"/>
  <c r="E17"/>
  <c r="M17" s="1"/>
  <c r="D17"/>
  <c r="K17" s="1"/>
  <c r="H10"/>
  <c r="E22" s="1"/>
  <c r="M22" s="1"/>
  <c r="E10"/>
  <c r="C22" s="1"/>
  <c r="I22" s="1"/>
  <c r="H9"/>
  <c r="E9"/>
  <c r="C21" s="1"/>
  <c r="I21" s="1"/>
  <c r="H8"/>
  <c r="E20" s="1"/>
  <c r="M20" s="1"/>
  <c r="E8"/>
  <c r="C20" s="1"/>
  <c r="I20" s="1"/>
  <c r="H7"/>
  <c r="E7"/>
  <c r="C19" s="1"/>
  <c r="I19" s="1"/>
  <c r="H6"/>
  <c r="E18" s="1"/>
  <c r="M18" s="1"/>
  <c r="E6"/>
  <c r="C18" s="1"/>
  <c r="I18" s="1"/>
  <c r="H5"/>
  <c r="E5"/>
  <c r="C17" s="1"/>
  <c r="I17" s="1"/>
  <c r="AO22" i="22"/>
  <c r="AL22"/>
  <c r="AH22"/>
  <c r="AC22"/>
  <c r="Z22"/>
  <c r="Q22"/>
  <c r="N22"/>
  <c r="E22"/>
  <c r="AK22" s="1"/>
  <c r="B22"/>
  <c r="AO21"/>
  <c r="AL21"/>
  <c r="AC21"/>
  <c r="Z21"/>
  <c r="Q21"/>
  <c r="N21"/>
  <c r="E21"/>
  <c r="AH21" s="1"/>
  <c r="B21"/>
  <c r="AO20"/>
  <c r="AL20"/>
  <c r="AC20"/>
  <c r="Z20"/>
  <c r="Q20"/>
  <c r="N20"/>
  <c r="E20"/>
  <c r="AK20" s="1"/>
  <c r="B20"/>
  <c r="AO19"/>
  <c r="AL19"/>
  <c r="AC19"/>
  <c r="Z19"/>
  <c r="Q19"/>
  <c r="N19"/>
  <c r="E19"/>
  <c r="AH19" s="1"/>
  <c r="B19"/>
  <c r="AO18"/>
  <c r="AL18"/>
  <c r="AC18"/>
  <c r="Z18"/>
  <c r="Q18"/>
  <c r="N18"/>
  <c r="E18"/>
  <c r="AK18" s="1"/>
  <c r="B18"/>
  <c r="AO17"/>
  <c r="AL17"/>
  <c r="AC17"/>
  <c r="Z17"/>
  <c r="Q17"/>
  <c r="N17"/>
  <c r="E17"/>
  <c r="AH17" s="1"/>
  <c r="B17"/>
  <c r="AF14"/>
  <c r="T14"/>
  <c r="W22" s="1"/>
  <c r="H14"/>
  <c r="J18" s="1"/>
  <c r="AO10"/>
  <c r="AL10"/>
  <c r="AF10"/>
  <c r="AC10"/>
  <c r="Z10"/>
  <c r="Q10"/>
  <c r="N10"/>
  <c r="H10"/>
  <c r="E10"/>
  <c r="B10"/>
  <c r="AO9"/>
  <c r="AL9"/>
  <c r="AC9"/>
  <c r="Z9"/>
  <c r="Q9"/>
  <c r="N9"/>
  <c r="K9"/>
  <c r="E9"/>
  <c r="B9"/>
  <c r="AO8"/>
  <c r="AL8"/>
  <c r="AC8"/>
  <c r="Z8"/>
  <c r="Q8"/>
  <c r="N8"/>
  <c r="H8"/>
  <c r="E8"/>
  <c r="B8"/>
  <c r="AO7"/>
  <c r="AL7"/>
  <c r="AC7"/>
  <c r="Z7"/>
  <c r="Q7"/>
  <c r="N7"/>
  <c r="E7"/>
  <c r="AF7" s="1"/>
  <c r="B7"/>
  <c r="AO6"/>
  <c r="AL6"/>
  <c r="AF6"/>
  <c r="AC6"/>
  <c r="Z6"/>
  <c r="Q6"/>
  <c r="N6"/>
  <c r="H6"/>
  <c r="E6"/>
  <c r="B6"/>
  <c r="AO5"/>
  <c r="AL5"/>
  <c r="AC5"/>
  <c r="Z5"/>
  <c r="Q5"/>
  <c r="N5"/>
  <c r="K5"/>
  <c r="H5"/>
  <c r="E5"/>
  <c r="B5"/>
  <c r="AF2"/>
  <c r="T2"/>
  <c r="V9" s="1"/>
  <c r="H2"/>
  <c r="B17" i="13"/>
  <c r="B18"/>
  <c r="B19"/>
  <c r="B20"/>
  <c r="B21"/>
  <c r="B22"/>
  <c r="B17" i="17"/>
  <c r="B18"/>
  <c r="B19"/>
  <c r="B20"/>
  <c r="B21"/>
  <c r="B22"/>
  <c r="W7" i="22" l="1"/>
  <c r="AI7"/>
  <c r="AI8"/>
  <c r="T8"/>
  <c r="AI18"/>
  <c r="AQ18" s="1"/>
  <c r="W5"/>
  <c r="AF8"/>
  <c r="AF9"/>
  <c r="W9"/>
  <c r="V18"/>
  <c r="AH18"/>
  <c r="AN18" s="1"/>
  <c r="V20"/>
  <c r="AH20"/>
  <c r="J9"/>
  <c r="AF5"/>
  <c r="AI5"/>
  <c r="AI6"/>
  <c r="T6"/>
  <c r="K7"/>
  <c r="AI9"/>
  <c r="AI10"/>
  <c r="T10"/>
  <c r="AB10" s="1"/>
  <c r="AI22"/>
  <c r="AQ22" s="1"/>
  <c r="AF18"/>
  <c r="AF20"/>
  <c r="V22"/>
  <c r="H34" i="24"/>
  <c r="H30"/>
  <c r="H31"/>
  <c r="E33"/>
  <c r="F18"/>
  <c r="O18" s="1"/>
  <c r="F20"/>
  <c r="O20" s="1"/>
  <c r="F22"/>
  <c r="O22" s="1"/>
  <c r="D18"/>
  <c r="K18" s="1"/>
  <c r="D20"/>
  <c r="K20" s="1"/>
  <c r="D22"/>
  <c r="K22" s="1"/>
  <c r="P8" i="22"/>
  <c r="AQ5"/>
  <c r="M19"/>
  <c r="Y19"/>
  <c r="AK19"/>
  <c r="J20"/>
  <c r="AK21"/>
  <c r="J5"/>
  <c r="P5" s="1"/>
  <c r="V5"/>
  <c r="AH5"/>
  <c r="AN5" s="1"/>
  <c r="M6"/>
  <c r="Y6"/>
  <c r="AK6"/>
  <c r="J7"/>
  <c r="V7"/>
  <c r="AH7"/>
  <c r="AN7" s="1"/>
  <c r="M8"/>
  <c r="Y8"/>
  <c r="AK8"/>
  <c r="AH9"/>
  <c r="AN9" s="1"/>
  <c r="M10"/>
  <c r="Y10"/>
  <c r="AK10"/>
  <c r="K17"/>
  <c r="W17"/>
  <c r="AI17"/>
  <c r="H18"/>
  <c r="P18" s="1"/>
  <c r="T18"/>
  <c r="AB18" s="1"/>
  <c r="K19"/>
  <c r="W19"/>
  <c r="AI19"/>
  <c r="H20"/>
  <c r="T20"/>
  <c r="AB20" s="1"/>
  <c r="K21"/>
  <c r="W21"/>
  <c r="AI21"/>
  <c r="H22"/>
  <c r="T22"/>
  <c r="AF22"/>
  <c r="AN22" s="1"/>
  <c r="M17"/>
  <c r="Y17"/>
  <c r="M21"/>
  <c r="J22"/>
  <c r="M5"/>
  <c r="S5" s="1"/>
  <c r="Y5"/>
  <c r="AE5" s="1"/>
  <c r="AK5"/>
  <c r="J6"/>
  <c r="P6" s="1"/>
  <c r="V6"/>
  <c r="AB6" s="1"/>
  <c r="AH6"/>
  <c r="AN6" s="1"/>
  <c r="M7"/>
  <c r="S7" s="1"/>
  <c r="Y7"/>
  <c r="AK7"/>
  <c r="AQ7" s="1"/>
  <c r="J8"/>
  <c r="V8"/>
  <c r="AB8" s="1"/>
  <c r="AH8"/>
  <c r="M9"/>
  <c r="S9" s="1"/>
  <c r="Y9"/>
  <c r="AK9"/>
  <c r="AQ9" s="1"/>
  <c r="J10"/>
  <c r="P10" s="1"/>
  <c r="V10"/>
  <c r="AH10"/>
  <c r="AN10" s="1"/>
  <c r="H17"/>
  <c r="T17"/>
  <c r="AF17"/>
  <c r="AN17" s="1"/>
  <c r="K18"/>
  <c r="W18"/>
  <c r="H19"/>
  <c r="T19"/>
  <c r="AF19"/>
  <c r="AN19" s="1"/>
  <c r="K20"/>
  <c r="W20"/>
  <c r="AI20"/>
  <c r="AQ20" s="1"/>
  <c r="H21"/>
  <c r="T21"/>
  <c r="AF21"/>
  <c r="AN21" s="1"/>
  <c r="K22"/>
  <c r="AK17"/>
  <c r="Y21"/>
  <c r="T5"/>
  <c r="K6"/>
  <c r="W6"/>
  <c r="H7"/>
  <c r="P7" s="1"/>
  <c r="T7"/>
  <c r="AB7" s="1"/>
  <c r="K8"/>
  <c r="S8" s="1"/>
  <c r="W8"/>
  <c r="H9"/>
  <c r="T9"/>
  <c r="AB9" s="1"/>
  <c r="K10"/>
  <c r="S10" s="1"/>
  <c r="W10"/>
  <c r="J17"/>
  <c r="V17"/>
  <c r="M18"/>
  <c r="Y18"/>
  <c r="J19"/>
  <c r="V19"/>
  <c r="M20"/>
  <c r="Y20"/>
  <c r="J21"/>
  <c r="V21"/>
  <c r="M22"/>
  <c r="Y22"/>
  <c r="AE22" s="1"/>
  <c r="B29" i="17"/>
  <c r="B30"/>
  <c r="B31"/>
  <c r="B32"/>
  <c r="B33"/>
  <c r="B34"/>
  <c r="B5"/>
  <c r="B6"/>
  <c r="B7"/>
  <c r="B8"/>
  <c r="B9"/>
  <c r="B10"/>
  <c r="B29" i="13"/>
  <c r="B30"/>
  <c r="B31"/>
  <c r="B32"/>
  <c r="B33"/>
  <c r="B34"/>
  <c r="B5"/>
  <c r="B6"/>
  <c r="B7"/>
  <c r="B8"/>
  <c r="B9"/>
  <c r="B10"/>
  <c r="AN20" i="22" l="1"/>
  <c r="AE6"/>
  <c r="AE9"/>
  <c r="AQ6"/>
  <c r="P9"/>
  <c r="S20"/>
  <c r="AE18"/>
  <c r="AB22"/>
  <c r="AE19"/>
  <c r="AQ17"/>
  <c r="AB5"/>
  <c r="AE20"/>
  <c r="P19"/>
  <c r="AN8"/>
  <c r="AE7"/>
  <c r="AE21"/>
  <c r="AQ19"/>
  <c r="AQ10"/>
  <c r="AQ8"/>
  <c r="AE10"/>
  <c r="AE8"/>
  <c r="P21"/>
  <c r="S18"/>
  <c r="P22"/>
  <c r="S19"/>
  <c r="AE17"/>
  <c r="AB17"/>
  <c r="AB21"/>
  <c r="P17"/>
  <c r="S21"/>
  <c r="S6"/>
  <c r="S22"/>
  <c r="AB19"/>
  <c r="AQ21"/>
  <c r="P20"/>
  <c r="S17"/>
  <c r="P25" i="12" l="1"/>
  <c r="F12"/>
  <c r="F10"/>
  <c r="F13"/>
  <c r="F9"/>
  <c r="F11"/>
  <c r="F8"/>
  <c r="L9"/>
  <c r="L8"/>
  <c r="P26" s="1"/>
  <c r="P8"/>
  <c r="P24" s="1"/>
  <c r="D2" i="17" l="1"/>
  <c r="D2" i="13"/>
  <c r="H26"/>
  <c r="H26" i="17"/>
  <c r="D14" i="13"/>
  <c r="D14" i="17"/>
  <c r="C29" i="12"/>
  <c r="B27"/>
  <c r="B25"/>
  <c r="C27"/>
  <c r="B29"/>
  <c r="B30"/>
  <c r="C26"/>
  <c r="C30"/>
  <c r="B28"/>
  <c r="C25"/>
  <c r="C28"/>
  <c r="B26"/>
  <c r="H14" i="17"/>
  <c r="H14" i="13"/>
  <c r="D26" i="17"/>
  <c r="D26" i="13"/>
  <c r="H2"/>
  <c r="H2" i="17"/>
  <c r="C22" l="1"/>
  <c r="C10"/>
  <c r="C34"/>
  <c r="C20"/>
  <c r="C8"/>
  <c r="C32"/>
  <c r="C21" i="13"/>
  <c r="C9"/>
  <c r="C33"/>
  <c r="C18" i="17"/>
  <c r="C6"/>
  <c r="C30"/>
  <c r="C22" i="13"/>
  <c r="C34"/>
  <c r="C10"/>
  <c r="C31"/>
  <c r="C19"/>
  <c r="C7"/>
  <c r="C17"/>
  <c r="C5"/>
  <c r="C29"/>
  <c r="C19" i="17"/>
  <c r="C31"/>
  <c r="C7"/>
  <c r="C21"/>
  <c r="C33"/>
  <c r="C9"/>
  <c r="D31"/>
  <c r="F31" s="1"/>
  <c r="C32" i="13"/>
  <c r="C20"/>
  <c r="C8"/>
  <c r="C18"/>
  <c r="C6"/>
  <c r="C30"/>
  <c r="C17" i="17"/>
  <c r="C29"/>
  <c r="C5"/>
  <c r="D20" i="13" l="1"/>
  <c r="F20" s="1"/>
  <c r="I8"/>
  <c r="K8" s="1"/>
  <c r="E20"/>
  <c r="G20" s="1"/>
  <c r="H8"/>
  <c r="J8" s="1"/>
  <c r="D8"/>
  <c r="F8" s="1"/>
  <c r="E8"/>
  <c r="G8" s="1"/>
  <c r="E9" i="17"/>
  <c r="G9" s="1"/>
  <c r="I9"/>
  <c r="K9" s="1"/>
  <c r="E21"/>
  <c r="G21" s="1"/>
  <c r="D21"/>
  <c r="F21" s="1"/>
  <c r="H9"/>
  <c r="J9" s="1"/>
  <c r="D9"/>
  <c r="F9" s="1"/>
  <c r="D19"/>
  <c r="F19" s="1"/>
  <c r="D7"/>
  <c r="F7" s="1"/>
  <c r="I7"/>
  <c r="K7" s="1"/>
  <c r="E19"/>
  <c r="G19" s="1"/>
  <c r="H7"/>
  <c r="J7" s="1"/>
  <c r="E7"/>
  <c r="G7" s="1"/>
  <c r="D5" i="13"/>
  <c r="F5" s="1"/>
  <c r="I5"/>
  <c r="K5" s="1"/>
  <c r="H5"/>
  <c r="J5" s="1"/>
  <c r="E5"/>
  <c r="G5" s="1"/>
  <c r="D17"/>
  <c r="F17" s="1"/>
  <c r="E17"/>
  <c r="G17" s="1"/>
  <c r="I19"/>
  <c r="K19" s="1"/>
  <c r="I31"/>
  <c r="K31" s="1"/>
  <c r="E31"/>
  <c r="G31" s="1"/>
  <c r="D31"/>
  <c r="F31" s="1"/>
  <c r="H19"/>
  <c r="J19" s="1"/>
  <c r="H31"/>
  <c r="J31" s="1"/>
  <c r="I30" i="17"/>
  <c r="K30" s="1"/>
  <c r="D30"/>
  <c r="F30" s="1"/>
  <c r="I18"/>
  <c r="K18" s="1"/>
  <c r="H30"/>
  <c r="J30" s="1"/>
  <c r="E30"/>
  <c r="G30" s="1"/>
  <c r="H18"/>
  <c r="J18" s="1"/>
  <c r="D9" i="13"/>
  <c r="F9" s="1"/>
  <c r="H9"/>
  <c r="J9" s="1"/>
  <c r="I9"/>
  <c r="K9" s="1"/>
  <c r="E9"/>
  <c r="G9" s="1"/>
  <c r="E21"/>
  <c r="G21" s="1"/>
  <c r="D21"/>
  <c r="F21" s="1"/>
  <c r="I18"/>
  <c r="K18" s="1"/>
  <c r="H30"/>
  <c r="J30" s="1"/>
  <c r="I30"/>
  <c r="K30" s="1"/>
  <c r="D30"/>
  <c r="F30" s="1"/>
  <c r="H18"/>
  <c r="J18" s="1"/>
  <c r="E30"/>
  <c r="G30" s="1"/>
  <c r="E33" i="17"/>
  <c r="G33" s="1"/>
  <c r="D33"/>
  <c r="F33" s="1"/>
  <c r="H21"/>
  <c r="J21" s="1"/>
  <c r="I21"/>
  <c r="K21" s="1"/>
  <c r="I33"/>
  <c r="K33" s="1"/>
  <c r="H33"/>
  <c r="J33" s="1"/>
  <c r="E31"/>
  <c r="G31" s="1"/>
  <c r="I19"/>
  <c r="K19" s="1"/>
  <c r="I31"/>
  <c r="K31" s="1"/>
  <c r="H31"/>
  <c r="J31" s="1"/>
  <c r="I10" i="13"/>
  <c r="K10" s="1"/>
  <c r="D22"/>
  <c r="F22" s="1"/>
  <c r="E22"/>
  <c r="G22" s="1"/>
  <c r="H10"/>
  <c r="J10" s="1"/>
  <c r="E10"/>
  <c r="G10" s="1"/>
  <c r="D10"/>
  <c r="F10" s="1"/>
  <c r="I6" i="17"/>
  <c r="K6" s="1"/>
  <c r="E18"/>
  <c r="G18" s="1"/>
  <c r="H6"/>
  <c r="J6" s="1"/>
  <c r="E6"/>
  <c r="G6" s="1"/>
  <c r="D18"/>
  <c r="F18" s="1"/>
  <c r="D6"/>
  <c r="F6" s="1"/>
  <c r="H34"/>
  <c r="J34" s="1"/>
  <c r="I22"/>
  <c r="K22" s="1"/>
  <c r="D34"/>
  <c r="F34" s="1"/>
  <c r="I34"/>
  <c r="K34" s="1"/>
  <c r="E34"/>
  <c r="G34" s="1"/>
  <c r="H22"/>
  <c r="J22" s="1"/>
  <c r="E5"/>
  <c r="G5" s="1"/>
  <c r="E17"/>
  <c r="G17" s="1"/>
  <c r="D17"/>
  <c r="F17" s="1"/>
  <c r="D5"/>
  <c r="F5" s="1"/>
  <c r="I5"/>
  <c r="K5" s="1"/>
  <c r="H5"/>
  <c r="J5" s="1"/>
  <c r="H6" i="13"/>
  <c r="J6" s="1"/>
  <c r="I6"/>
  <c r="K6" s="1"/>
  <c r="E6"/>
  <c r="G6" s="1"/>
  <c r="E18"/>
  <c r="G18" s="1"/>
  <c r="D6"/>
  <c r="F6" s="1"/>
  <c r="D18"/>
  <c r="F18" s="1"/>
  <c r="D32"/>
  <c r="F32" s="1"/>
  <c r="I20"/>
  <c r="K20" s="1"/>
  <c r="H20"/>
  <c r="J20" s="1"/>
  <c r="E32"/>
  <c r="G32" s="1"/>
  <c r="I32"/>
  <c r="K32" s="1"/>
  <c r="H32"/>
  <c r="J32" s="1"/>
  <c r="D7"/>
  <c r="F7" s="1"/>
  <c r="D19"/>
  <c r="F19" s="1"/>
  <c r="I7"/>
  <c r="K7" s="1"/>
  <c r="E7"/>
  <c r="G7" s="1"/>
  <c r="H7"/>
  <c r="J7" s="1"/>
  <c r="E19"/>
  <c r="G19" s="1"/>
  <c r="I34"/>
  <c r="K34" s="1"/>
  <c r="H34"/>
  <c r="J34" s="1"/>
  <c r="D34"/>
  <c r="F34" s="1"/>
  <c r="H22"/>
  <c r="J22" s="1"/>
  <c r="E34"/>
  <c r="G34" s="1"/>
  <c r="I22"/>
  <c r="K22" s="1"/>
  <c r="H32" i="17"/>
  <c r="J32" s="1"/>
  <c r="E32"/>
  <c r="G32" s="1"/>
  <c r="I20"/>
  <c r="K20" s="1"/>
  <c r="H20"/>
  <c r="J20" s="1"/>
  <c r="D32"/>
  <c r="F32" s="1"/>
  <c r="I32"/>
  <c r="K32" s="1"/>
  <c r="D22"/>
  <c r="F22" s="1"/>
  <c r="E10"/>
  <c r="G10" s="1"/>
  <c r="H10"/>
  <c r="J10" s="1"/>
  <c r="E22"/>
  <c r="G22" s="1"/>
  <c r="D10"/>
  <c r="F10" s="1"/>
  <c r="I10"/>
  <c r="K10" s="1"/>
  <c r="E29"/>
  <c r="G29" s="1"/>
  <c r="H17"/>
  <c r="J17" s="1"/>
  <c r="D29"/>
  <c r="F29" s="1"/>
  <c r="I17"/>
  <c r="K17" s="1"/>
  <c r="I29"/>
  <c r="K29" s="1"/>
  <c r="H29"/>
  <c r="J29" s="1"/>
  <c r="H19"/>
  <c r="J19" s="1"/>
  <c r="I17" i="13"/>
  <c r="K17" s="1"/>
  <c r="H29"/>
  <c r="J29" s="1"/>
  <c r="H17"/>
  <c r="J17" s="1"/>
  <c r="D29"/>
  <c r="F29" s="1"/>
  <c r="E29"/>
  <c r="G29" s="1"/>
  <c r="I29"/>
  <c r="K29" s="1"/>
  <c r="I33"/>
  <c r="K33" s="1"/>
  <c r="H21"/>
  <c r="J21" s="1"/>
  <c r="H33"/>
  <c r="J33" s="1"/>
  <c r="I21"/>
  <c r="K21" s="1"/>
  <c r="D33"/>
  <c r="F33" s="1"/>
  <c r="E33"/>
  <c r="G33" s="1"/>
  <c r="E8" i="17"/>
  <c r="G8" s="1"/>
  <c r="E20"/>
  <c r="G20" s="1"/>
  <c r="I8"/>
  <c r="K8" s="1"/>
  <c r="D20"/>
  <c r="F20" s="1"/>
  <c r="D8"/>
  <c r="F8" s="1"/>
  <c r="H8"/>
  <c r="J8" s="1"/>
</calcChain>
</file>

<file path=xl/comments1.xml><?xml version="1.0" encoding="utf-8"?>
<comments xmlns="http://schemas.openxmlformats.org/spreadsheetml/2006/main">
  <authors>
    <author>Zhang</author>
  </authors>
  <commentList>
    <comment ref="O12" authorId="0">
      <text>
        <r>
          <rPr>
            <b/>
            <sz val="9"/>
            <color indexed="81"/>
            <rFont val="Tahoma"/>
            <family val="2"/>
          </rPr>
          <t>Diámetro de la esfera del tubo de difracción</t>
        </r>
      </text>
    </comment>
  </commentList>
</comments>
</file>

<file path=xl/sharedStrings.xml><?xml version="1.0" encoding="utf-8"?>
<sst xmlns="http://schemas.openxmlformats.org/spreadsheetml/2006/main" count="480" uniqueCount="67">
  <si>
    <t>h</t>
  </si>
  <si>
    <t>Js</t>
  </si>
  <si>
    <t>hc</t>
  </si>
  <si>
    <t>V1</t>
  </si>
  <si>
    <t>V2</t>
  </si>
  <si>
    <t>c</t>
  </si>
  <si>
    <t>m/s</t>
  </si>
  <si>
    <t>c^2</t>
  </si>
  <si>
    <t>m</t>
  </si>
  <si>
    <t>kg</t>
  </si>
  <si>
    <t>2m(c^2)</t>
  </si>
  <si>
    <t>q</t>
  </si>
  <si>
    <t>C</t>
  </si>
  <si>
    <t>n1</t>
  </si>
  <si>
    <t>n2</t>
  </si>
  <si>
    <t>Ángulo de Bragg</t>
  </si>
  <si>
    <t>V3</t>
  </si>
  <si>
    <t>V4</t>
  </si>
  <si>
    <t>V5</t>
  </si>
  <si>
    <t>V6</t>
  </si>
  <si>
    <t>Longitud de onda  [m]</t>
  </si>
  <si>
    <t>teóricos</t>
  </si>
  <si>
    <t>experimentales</t>
  </si>
  <si>
    <t>Constantes</t>
  </si>
  <si>
    <t>d1</t>
  </si>
  <si>
    <t>d2</t>
  </si>
  <si>
    <t>d3</t>
  </si>
  <si>
    <t>d4</t>
  </si>
  <si>
    <t>d5</t>
  </si>
  <si>
    <t>d6</t>
  </si>
  <si>
    <t>N</t>
  </si>
  <si>
    <t>Distancias  [m]</t>
  </si>
  <si>
    <t>Electrón</t>
  </si>
  <si>
    <t>Otras</t>
  </si>
  <si>
    <t>Jm</t>
  </si>
  <si>
    <t>(m/s)^2</t>
  </si>
  <si>
    <t>kg*(m/s)^2</t>
  </si>
  <si>
    <t>Cuentas</t>
  </si>
  <si>
    <t>longitud de onda λ</t>
  </si>
  <si>
    <t>λ exp</t>
  </si>
  <si>
    <t>λ teo</t>
  </si>
  <si>
    <t>Diferencia de potencial  [kV]</t>
  </si>
  <si>
    <t>Diámetro del anillo</t>
  </si>
  <si>
    <t>n = 1</t>
  </si>
  <si>
    <t>n = 2</t>
  </si>
  <si>
    <t>Tensiones  [kV]</t>
  </si>
  <si>
    <t>D</t>
  </si>
  <si>
    <t>Diámetro  [mm]</t>
  </si>
  <si>
    <t>Interno</t>
  </si>
  <si>
    <t>Externo</t>
  </si>
  <si>
    <t>Media</t>
  </si>
  <si>
    <t>Anillo chico</t>
  </si>
  <si>
    <t>Anillo grande</t>
  </si>
  <si>
    <t>Como usamos un calibre para medir, consideramos el error de esta medición como:</t>
  </si>
  <si>
    <t>mm</t>
  </si>
  <si>
    <t>±</t>
  </si>
  <si>
    <t>Mínimo</t>
  </si>
  <si>
    <t>Máximo</t>
  </si>
  <si>
    <t>Valor</t>
  </si>
  <si>
    <t>Incerteza</t>
  </si>
  <si>
    <t>Tensión  [kV]</t>
  </si>
  <si>
    <t>Ángulo mínimo  [°]</t>
  </si>
  <si>
    <t>Ángulo máximo  [°]</t>
  </si>
  <si>
    <t>↓</t>
  </si>
  <si>
    <t>→</t>
  </si>
  <si>
    <t>Diámetro  [m]</t>
  </si>
  <si>
    <t>Error absoluto</t>
  </si>
</sst>
</file>

<file path=xl/styles.xml><?xml version="1.0" encoding="utf-8"?>
<styleSheet xmlns="http://schemas.openxmlformats.org/spreadsheetml/2006/main">
  <numFmts count="8">
    <numFmt numFmtId="164" formatCode="0.00000E+00"/>
    <numFmt numFmtId="165" formatCode="0.0000E+00"/>
    <numFmt numFmtId="166" formatCode="0.0"/>
    <numFmt numFmtId="167" formatCode="0.0000000"/>
    <numFmt numFmtId="168" formatCode="0.E+00"/>
    <numFmt numFmtId="169" formatCode="0.00000000"/>
    <numFmt numFmtId="170" formatCode="0.0000"/>
    <numFmt numFmtId="171" formatCode="0.000"/>
  </numFmts>
  <fonts count="1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0"/>
      <name val="Times New Roman"/>
      <family val="1"/>
    </font>
    <font>
      <i/>
      <sz val="12"/>
      <color theme="1"/>
      <name val="Times New Roman"/>
      <family val="1"/>
    </font>
    <font>
      <b/>
      <sz val="9"/>
      <color indexed="81"/>
      <name val="Tahoma"/>
      <family val="2"/>
    </font>
    <font>
      <b/>
      <i/>
      <sz val="12"/>
      <color theme="1"/>
      <name val="Times New Roman"/>
      <family val="1"/>
    </font>
    <font>
      <b/>
      <sz val="10"/>
      <color theme="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10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theme="0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medium">
        <color auto="1"/>
      </bottom>
      <diagonal/>
    </border>
    <border>
      <left style="thick">
        <color indexed="64"/>
      </left>
      <right style="medium">
        <color indexed="64"/>
      </right>
      <top style="medium">
        <color auto="1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theme="0"/>
      </right>
      <top style="thick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theme="0"/>
      </right>
      <top style="thick">
        <color indexed="64"/>
      </top>
      <bottom/>
      <diagonal/>
    </border>
    <border>
      <left style="thin">
        <color theme="0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ck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3">
    <xf numFmtId="0" fontId="0" fillId="0" borderId="0" xfId="0"/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4" fontId="1" fillId="0" borderId="10" xfId="0" applyNumberFormat="1" applyFont="1" applyBorder="1" applyAlignment="1">
      <alignment horizontal="right" vertical="center"/>
    </xf>
    <xf numFmtId="1" fontId="1" fillId="0" borderId="7" xfId="0" applyNumberFormat="1" applyFont="1" applyBorder="1" applyAlignment="1">
      <alignment horizontal="right" vertical="center"/>
    </xf>
    <xf numFmtId="164" fontId="1" fillId="0" borderId="7" xfId="0" applyNumberFormat="1" applyFont="1" applyBorder="1" applyAlignment="1">
      <alignment vertical="center"/>
    </xf>
    <xf numFmtId="0" fontId="1" fillId="0" borderId="6" xfId="0" applyFont="1" applyBorder="1" applyAlignment="1">
      <alignment horizontal="right" vertical="center"/>
    </xf>
    <xf numFmtId="164" fontId="1" fillId="0" borderId="7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left" vertical="center"/>
    </xf>
    <xf numFmtId="165" fontId="1" fillId="0" borderId="10" xfId="0" applyNumberFormat="1" applyFont="1" applyBorder="1" applyAlignment="1">
      <alignment horizontal="right" vertical="center"/>
    </xf>
    <xf numFmtId="165" fontId="1" fillId="0" borderId="6" xfId="0" applyNumberFormat="1" applyFont="1" applyBorder="1" applyAlignment="1">
      <alignment horizontal="right" vertical="center"/>
    </xf>
    <xf numFmtId="165" fontId="1" fillId="0" borderId="7" xfId="0" applyNumberFormat="1" applyFont="1" applyBorder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0" borderId="8" xfId="0" applyFont="1" applyBorder="1" applyAlignment="1">
      <alignment horizontal="center"/>
    </xf>
    <xf numFmtId="164" fontId="1" fillId="0" borderId="5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5" fillId="2" borderId="20" xfId="0" applyFont="1" applyFill="1" applyBorder="1" applyAlignment="1">
      <alignment horizontal="center" vertical="center"/>
    </xf>
    <xf numFmtId="2" fontId="1" fillId="2" borderId="21" xfId="0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 vertical="center"/>
    </xf>
    <xf numFmtId="2" fontId="1" fillId="2" borderId="25" xfId="0" applyNumberFormat="1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2" borderId="23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166" fontId="1" fillId="0" borderId="24" xfId="0" applyNumberFormat="1" applyFont="1" applyBorder="1" applyAlignment="1">
      <alignment horizontal="center" vertical="center"/>
    </xf>
    <xf numFmtId="166" fontId="1" fillId="0" borderId="27" xfId="0" applyNumberFormat="1" applyFont="1" applyBorder="1" applyAlignment="1">
      <alignment horizontal="center" vertical="center"/>
    </xf>
    <xf numFmtId="166" fontId="1" fillId="0" borderId="28" xfId="0" applyNumberFormat="1" applyFont="1" applyBorder="1" applyAlignment="1">
      <alignment horizontal="center" vertical="center"/>
    </xf>
    <xf numFmtId="166" fontId="1" fillId="0" borderId="29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48" xfId="0" applyFont="1" applyBorder="1" applyAlignment="1">
      <alignment horizontal="right" vertical="center" wrapText="1"/>
    </xf>
    <xf numFmtId="0" fontId="1" fillId="0" borderId="49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5" fillId="2" borderId="56" xfId="0" applyFont="1" applyFill="1" applyBorder="1" applyAlignment="1">
      <alignment horizontal="center" vertical="center"/>
    </xf>
    <xf numFmtId="166" fontId="1" fillId="0" borderId="58" xfId="0" applyNumberFormat="1" applyFont="1" applyBorder="1" applyAlignment="1">
      <alignment horizontal="center" vertical="center"/>
    </xf>
    <xf numFmtId="166" fontId="1" fillId="0" borderId="59" xfId="0" applyNumberFormat="1" applyFont="1" applyBorder="1" applyAlignment="1">
      <alignment horizontal="center" vertical="center"/>
    </xf>
    <xf numFmtId="166" fontId="1" fillId="0" borderId="60" xfId="0" applyNumberFormat="1" applyFont="1" applyBorder="1" applyAlignment="1">
      <alignment horizontal="center" vertical="center"/>
    </xf>
    <xf numFmtId="166" fontId="1" fillId="0" borderId="61" xfId="0" applyNumberFormat="1" applyFont="1" applyBorder="1" applyAlignment="1">
      <alignment horizontal="center" vertical="center"/>
    </xf>
    <xf numFmtId="166" fontId="1" fillId="0" borderId="62" xfId="0" applyNumberFormat="1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0" fontId="0" fillId="0" borderId="0" xfId="0" applyAlignment="1">
      <alignment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2" fontId="1" fillId="0" borderId="63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7" fillId="0" borderId="12" xfId="0" applyNumberFormat="1" applyFont="1" applyBorder="1" applyAlignment="1">
      <alignment horizontal="center" vertical="center"/>
    </xf>
    <xf numFmtId="166" fontId="7" fillId="0" borderId="26" xfId="0" applyNumberFormat="1" applyFont="1" applyBorder="1" applyAlignment="1">
      <alignment horizontal="center" vertical="center"/>
    </xf>
    <xf numFmtId="166" fontId="7" fillId="0" borderId="24" xfId="0" applyNumberFormat="1" applyFont="1" applyBorder="1" applyAlignment="1">
      <alignment horizontal="center" vertical="center"/>
    </xf>
    <xf numFmtId="166" fontId="7" fillId="0" borderId="29" xfId="0" applyNumberFormat="1" applyFont="1" applyBorder="1" applyAlignment="1">
      <alignment horizontal="center" vertical="center"/>
    </xf>
    <xf numFmtId="167" fontId="1" fillId="0" borderId="14" xfId="0" applyNumberFormat="1" applyFont="1" applyBorder="1" applyAlignment="1">
      <alignment vertical="center"/>
    </xf>
    <xf numFmtId="167" fontId="1" fillId="0" borderId="11" xfId="0" applyNumberFormat="1" applyFont="1" applyBorder="1" applyAlignment="1">
      <alignment vertical="center"/>
    </xf>
    <xf numFmtId="167" fontId="1" fillId="0" borderId="15" xfId="0" applyNumberFormat="1" applyFont="1" applyBorder="1" applyAlignment="1">
      <alignment vertical="center"/>
    </xf>
    <xf numFmtId="167" fontId="1" fillId="0" borderId="22" xfId="0" applyNumberFormat="1" applyFont="1" applyBorder="1" applyAlignment="1">
      <alignment vertical="center"/>
    </xf>
    <xf numFmtId="167" fontId="1" fillId="0" borderId="5" xfId="0" applyNumberFormat="1" applyFont="1" applyBorder="1" applyAlignment="1">
      <alignment vertical="center"/>
    </xf>
    <xf numFmtId="167" fontId="1" fillId="0" borderId="6" xfId="0" applyNumberFormat="1" applyFont="1" applyBorder="1" applyAlignment="1">
      <alignment vertical="center"/>
    </xf>
    <xf numFmtId="167" fontId="1" fillId="0" borderId="12" xfId="0" applyNumberFormat="1" applyFont="1" applyBorder="1" applyAlignment="1">
      <alignment vertical="center"/>
    </xf>
    <xf numFmtId="167" fontId="1" fillId="0" borderId="24" xfId="0" applyNumberFormat="1" applyFont="1" applyBorder="1" applyAlignment="1">
      <alignment vertical="center"/>
    </xf>
    <xf numFmtId="167" fontId="1" fillId="0" borderId="27" xfId="0" applyNumberFormat="1" applyFont="1" applyBorder="1" applyAlignment="1">
      <alignment vertical="center"/>
    </xf>
    <xf numFmtId="167" fontId="1" fillId="0" borderId="28" xfId="0" applyNumberFormat="1" applyFont="1" applyBorder="1" applyAlignment="1">
      <alignment vertical="center"/>
    </xf>
    <xf numFmtId="167" fontId="1" fillId="0" borderId="26" xfId="0" applyNumberFormat="1" applyFont="1" applyBorder="1" applyAlignment="1">
      <alignment vertical="center"/>
    </xf>
    <xf numFmtId="167" fontId="1" fillId="0" borderId="29" xfId="0" applyNumberFormat="1" applyFont="1" applyBorder="1" applyAlignment="1">
      <alignment vertical="center"/>
    </xf>
    <xf numFmtId="165" fontId="1" fillId="2" borderId="15" xfId="0" applyNumberFormat="1" applyFont="1" applyFill="1" applyBorder="1" applyAlignment="1">
      <alignment vertical="center"/>
    </xf>
    <xf numFmtId="165" fontId="1" fillId="2" borderId="12" xfId="0" applyNumberFormat="1" applyFont="1" applyFill="1" applyBorder="1" applyAlignment="1">
      <alignment vertical="center"/>
    </xf>
    <xf numFmtId="165" fontId="1" fillId="2" borderId="26" xfId="0" applyNumberFormat="1" applyFont="1" applyFill="1" applyBorder="1" applyAlignment="1">
      <alignment vertical="center"/>
    </xf>
    <xf numFmtId="0" fontId="4" fillId="3" borderId="5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66" xfId="0" applyFont="1" applyBorder="1" applyAlignment="1">
      <alignment vertical="center"/>
    </xf>
    <xf numFmtId="0" fontId="4" fillId="3" borderId="70" xfId="0" applyFont="1" applyFill="1" applyBorder="1" applyAlignment="1">
      <alignment horizontal="center" vertical="center" wrapText="1"/>
    </xf>
    <xf numFmtId="2" fontId="1" fillId="2" borderId="82" xfId="0" applyNumberFormat="1" applyFont="1" applyFill="1" applyBorder="1" applyAlignment="1">
      <alignment horizontal="center" vertical="center"/>
    </xf>
    <xf numFmtId="2" fontId="9" fillId="2" borderId="83" xfId="0" applyNumberFormat="1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 vertical="center"/>
    </xf>
    <xf numFmtId="0" fontId="1" fillId="2" borderId="84" xfId="0" applyFont="1" applyFill="1" applyBorder="1" applyAlignment="1">
      <alignment vertical="center"/>
    </xf>
    <xf numFmtId="0" fontId="9" fillId="2" borderId="83" xfId="0" applyFont="1" applyFill="1" applyBorder="1" applyAlignment="1">
      <alignment vertical="center"/>
    </xf>
    <xf numFmtId="168" fontId="1" fillId="2" borderId="83" xfId="0" applyNumberFormat="1" applyFont="1" applyFill="1" applyBorder="1" applyAlignment="1">
      <alignment horizontal="left" vertical="center"/>
    </xf>
    <xf numFmtId="169" fontId="1" fillId="0" borderId="83" xfId="0" applyNumberFormat="1" applyFont="1" applyBorder="1" applyAlignment="1">
      <alignment vertical="center"/>
    </xf>
    <xf numFmtId="0" fontId="10" fillId="0" borderId="83" xfId="0" applyFont="1" applyBorder="1" applyAlignment="1">
      <alignment horizontal="center" vertical="center"/>
    </xf>
    <xf numFmtId="168" fontId="1" fillId="0" borderId="14" xfId="0" applyNumberFormat="1" applyFont="1" applyBorder="1" applyAlignment="1">
      <alignment vertical="center"/>
    </xf>
    <xf numFmtId="169" fontId="1" fillId="0" borderId="84" xfId="0" applyNumberFormat="1" applyFont="1" applyBorder="1" applyAlignment="1">
      <alignment vertical="center"/>
    </xf>
    <xf numFmtId="170" fontId="1" fillId="0" borderId="84" xfId="0" applyNumberFormat="1" applyFont="1" applyBorder="1" applyAlignment="1">
      <alignment vertical="center"/>
    </xf>
    <xf numFmtId="168" fontId="1" fillId="0" borderId="83" xfId="0" applyNumberFormat="1" applyFont="1" applyBorder="1" applyAlignment="1">
      <alignment vertical="center"/>
    </xf>
    <xf numFmtId="169" fontId="1" fillId="0" borderId="85" xfId="0" applyNumberFormat="1" applyFont="1" applyBorder="1" applyAlignment="1">
      <alignment vertical="center"/>
    </xf>
    <xf numFmtId="167" fontId="1" fillId="0" borderId="84" xfId="0" applyNumberFormat="1" applyFont="1" applyBorder="1" applyAlignment="1">
      <alignment vertical="center"/>
    </xf>
    <xf numFmtId="171" fontId="1" fillId="0" borderId="84" xfId="0" applyNumberFormat="1" applyFont="1" applyBorder="1" applyAlignment="1">
      <alignment vertical="center"/>
    </xf>
    <xf numFmtId="171" fontId="1" fillId="0" borderId="58" xfId="0" applyNumberFormat="1" applyFont="1" applyBorder="1" applyAlignment="1">
      <alignment vertical="center"/>
    </xf>
    <xf numFmtId="168" fontId="1" fillId="0" borderId="86" xfId="0" applyNumberFormat="1" applyFont="1" applyBorder="1" applyAlignment="1">
      <alignment vertical="center"/>
    </xf>
    <xf numFmtId="2" fontId="1" fillId="2" borderId="72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68" fontId="1" fillId="2" borderId="0" xfId="0" applyNumberFormat="1" applyFont="1" applyFill="1" applyBorder="1" applyAlignment="1">
      <alignment horizontal="left" vertical="center"/>
    </xf>
    <xf numFmtId="169" fontId="1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168" fontId="1" fillId="0" borderId="5" xfId="0" applyNumberFormat="1" applyFont="1" applyBorder="1" applyAlignment="1">
      <alignment vertical="center"/>
    </xf>
    <xf numFmtId="169" fontId="1" fillId="0" borderId="58" xfId="0" applyNumberFormat="1" applyFont="1" applyBorder="1" applyAlignment="1">
      <alignment vertical="center"/>
    </xf>
    <xf numFmtId="170" fontId="1" fillId="0" borderId="58" xfId="0" applyNumberFormat="1" applyFont="1" applyBorder="1" applyAlignment="1">
      <alignment vertical="center"/>
    </xf>
    <xf numFmtId="168" fontId="1" fillId="0" borderId="0" xfId="0" applyNumberFormat="1" applyFont="1" applyBorder="1" applyAlignment="1">
      <alignment vertical="center"/>
    </xf>
    <xf numFmtId="169" fontId="1" fillId="0" borderId="71" xfId="0" applyNumberFormat="1" applyFont="1" applyBorder="1" applyAlignment="1">
      <alignment vertical="center"/>
    </xf>
    <xf numFmtId="168" fontId="1" fillId="0" borderId="30" xfId="0" applyNumberFormat="1" applyFont="1" applyBorder="1" applyAlignment="1">
      <alignment vertical="center"/>
    </xf>
    <xf numFmtId="168" fontId="1" fillId="0" borderId="66" xfId="0" applyNumberFormat="1" applyFont="1" applyBorder="1" applyAlignment="1">
      <alignment vertical="center"/>
    </xf>
    <xf numFmtId="2" fontId="1" fillId="2" borderId="87" xfId="0" applyNumberFormat="1" applyFont="1" applyFill="1" applyBorder="1" applyAlignment="1">
      <alignment horizontal="center" vertical="center"/>
    </xf>
    <xf numFmtId="2" fontId="9" fillId="2" borderId="63" xfId="0" applyNumberFormat="1" applyFont="1" applyFill="1" applyBorder="1" applyAlignment="1">
      <alignment horizontal="center" vertical="center"/>
    </xf>
    <xf numFmtId="2" fontId="1" fillId="2" borderId="27" xfId="0" applyNumberFormat="1" applyFont="1" applyFill="1" applyBorder="1" applyAlignment="1">
      <alignment horizontal="center" vertical="center"/>
    </xf>
    <xf numFmtId="0" fontId="1" fillId="2" borderId="59" xfId="0" applyFont="1" applyFill="1" applyBorder="1" applyAlignment="1">
      <alignment vertical="center"/>
    </xf>
    <xf numFmtId="0" fontId="9" fillId="2" borderId="63" xfId="0" applyFont="1" applyFill="1" applyBorder="1" applyAlignment="1">
      <alignment vertical="center"/>
    </xf>
    <xf numFmtId="168" fontId="1" fillId="2" borderId="63" xfId="0" applyNumberFormat="1" applyFont="1" applyFill="1" applyBorder="1" applyAlignment="1">
      <alignment horizontal="left" vertical="center"/>
    </xf>
    <xf numFmtId="169" fontId="1" fillId="0" borderId="63" xfId="0" applyNumberFormat="1" applyFont="1" applyBorder="1" applyAlignment="1">
      <alignment vertical="center"/>
    </xf>
    <xf numFmtId="0" fontId="10" fillId="0" borderId="63" xfId="0" applyFont="1" applyBorder="1" applyAlignment="1">
      <alignment horizontal="center" vertical="center"/>
    </xf>
    <xf numFmtId="168" fontId="1" fillId="0" borderId="27" xfId="0" applyNumberFormat="1" applyFont="1" applyBorder="1" applyAlignment="1">
      <alignment vertical="center"/>
    </xf>
    <xf numFmtId="169" fontId="1" fillId="0" borderId="59" xfId="0" applyNumberFormat="1" applyFont="1" applyBorder="1" applyAlignment="1">
      <alignment vertical="center"/>
    </xf>
    <xf numFmtId="170" fontId="1" fillId="0" borderId="59" xfId="0" applyNumberFormat="1" applyFont="1" applyBorder="1" applyAlignment="1">
      <alignment vertical="center"/>
    </xf>
    <xf numFmtId="168" fontId="1" fillId="0" borderId="63" xfId="0" applyNumberFormat="1" applyFont="1" applyBorder="1" applyAlignment="1">
      <alignment vertical="center"/>
    </xf>
    <xf numFmtId="169" fontId="1" fillId="0" borderId="88" xfId="0" applyNumberFormat="1" applyFont="1" applyBorder="1" applyAlignment="1">
      <alignment vertical="center"/>
    </xf>
    <xf numFmtId="168" fontId="1" fillId="0" borderId="64" xfId="0" applyNumberFormat="1" applyFont="1" applyBorder="1" applyAlignment="1">
      <alignment vertical="center"/>
    </xf>
    <xf numFmtId="168" fontId="1" fillId="0" borderId="89" xfId="0" applyNumberFormat="1" applyFont="1" applyBorder="1" applyAlignment="1">
      <alignment vertical="center"/>
    </xf>
    <xf numFmtId="2" fontId="1" fillId="2" borderId="83" xfId="0" applyNumberFormat="1" applyFont="1" applyFill="1" applyBorder="1" applyAlignment="1">
      <alignment horizontal="center" vertical="center"/>
    </xf>
    <xf numFmtId="167" fontId="1" fillId="0" borderId="85" xfId="0" applyNumberFormat="1" applyFont="1" applyBorder="1" applyAlignment="1">
      <alignment vertical="center"/>
    </xf>
    <xf numFmtId="168" fontId="1" fillId="0" borderId="91" xfId="0" applyNumberFormat="1" applyFont="1" applyBorder="1" applyAlignment="1">
      <alignment vertical="center"/>
    </xf>
    <xf numFmtId="2" fontId="1" fillId="2" borderId="0" xfId="0" applyNumberFormat="1" applyFont="1" applyFill="1" applyBorder="1" applyAlignment="1">
      <alignment horizontal="center" vertical="center"/>
    </xf>
    <xf numFmtId="167" fontId="1" fillId="0" borderId="58" xfId="0" applyNumberFormat="1" applyFont="1" applyBorder="1" applyAlignment="1">
      <alignment vertical="center"/>
    </xf>
    <xf numFmtId="2" fontId="1" fillId="2" borderId="63" xfId="0" applyNumberFormat="1" applyFont="1" applyFill="1" applyBorder="1" applyAlignment="1">
      <alignment horizontal="center" vertical="center"/>
    </xf>
    <xf numFmtId="171" fontId="1" fillId="0" borderId="59" xfId="0" applyNumberFormat="1" applyFont="1" applyBorder="1" applyAlignment="1">
      <alignment vertical="center"/>
    </xf>
    <xf numFmtId="0" fontId="5" fillId="2" borderId="57" xfId="0" applyFont="1" applyFill="1" applyBorder="1" applyAlignment="1">
      <alignment horizontal="center" vertical="center"/>
    </xf>
    <xf numFmtId="167" fontId="1" fillId="0" borderId="92" xfId="0" applyNumberFormat="1" applyFont="1" applyBorder="1" applyAlignment="1">
      <alignment vertical="center"/>
    </xf>
    <xf numFmtId="0" fontId="1" fillId="0" borderId="93" xfId="0" applyFont="1" applyBorder="1" applyAlignment="1">
      <alignment vertical="center"/>
    </xf>
    <xf numFmtId="167" fontId="1" fillId="0" borderId="94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167" fontId="1" fillId="0" borderId="95" xfId="0" applyNumberFormat="1" applyFont="1" applyBorder="1" applyAlignment="1">
      <alignment vertical="center"/>
    </xf>
    <xf numFmtId="0" fontId="1" fillId="0" borderId="96" xfId="0" applyFont="1" applyBorder="1" applyAlignment="1">
      <alignment vertical="center"/>
    </xf>
    <xf numFmtId="167" fontId="1" fillId="0" borderId="97" xfId="0" applyNumberFormat="1" applyFont="1" applyBorder="1" applyAlignment="1">
      <alignment vertical="center"/>
    </xf>
    <xf numFmtId="167" fontId="1" fillId="0" borderId="8" xfId="0" applyNumberFormat="1" applyFont="1" applyBorder="1" applyAlignment="1">
      <alignment vertical="center"/>
    </xf>
    <xf numFmtId="167" fontId="1" fillId="0" borderId="98" xfId="0" applyNumberFormat="1" applyFont="1" applyBorder="1" applyAlignment="1">
      <alignment vertical="center"/>
    </xf>
    <xf numFmtId="167" fontId="1" fillId="0" borderId="99" xfId="0" applyNumberFormat="1" applyFont="1" applyBorder="1" applyAlignment="1">
      <alignment vertical="center"/>
    </xf>
    <xf numFmtId="167" fontId="1" fillId="0" borderId="3" xfId="0" applyNumberFormat="1" applyFont="1" applyBorder="1" applyAlignment="1">
      <alignment vertical="center"/>
    </xf>
    <xf numFmtId="167" fontId="1" fillId="0" borderId="100" xfId="0" applyNumberFormat="1" applyFont="1" applyBorder="1" applyAlignment="1">
      <alignment vertical="center"/>
    </xf>
    <xf numFmtId="0" fontId="1" fillId="0" borderId="9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8" xfId="0" applyFont="1" applyBorder="1" applyAlignment="1">
      <alignment vertical="center"/>
    </xf>
    <xf numFmtId="0" fontId="1" fillId="0" borderId="99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00" xfId="0" applyFont="1" applyBorder="1" applyAlignment="1">
      <alignment vertical="center"/>
    </xf>
    <xf numFmtId="170" fontId="1" fillId="0" borderId="5" xfId="0" applyNumberFormat="1" applyFont="1" applyBorder="1" applyAlignment="1">
      <alignment vertical="center"/>
    </xf>
    <xf numFmtId="170" fontId="1" fillId="0" borderId="101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70" fontId="1" fillId="0" borderId="6" xfId="0" applyNumberFormat="1" applyFont="1" applyBorder="1" applyAlignment="1">
      <alignment vertical="center"/>
    </xf>
    <xf numFmtId="170" fontId="1" fillId="0" borderId="7" xfId="0" applyNumberFormat="1" applyFont="1" applyBorder="1" applyAlignment="1">
      <alignment vertical="center"/>
    </xf>
    <xf numFmtId="167" fontId="1" fillId="0" borderId="102" xfId="0" applyNumberFormat="1" applyFont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51" xfId="0" applyFont="1" applyFill="1" applyBorder="1" applyAlignment="1">
      <alignment horizontal="center" vertical="center" wrapText="1"/>
    </xf>
    <xf numFmtId="0" fontId="4" fillId="3" borderId="52" xfId="0" applyFont="1" applyFill="1" applyBorder="1" applyAlignment="1">
      <alignment horizontal="center" vertical="center" wrapText="1"/>
    </xf>
    <xf numFmtId="0" fontId="4" fillId="3" borderId="65" xfId="0" applyFont="1" applyFill="1" applyBorder="1" applyAlignment="1">
      <alignment horizontal="center" vertical="center" wrapText="1"/>
    </xf>
    <xf numFmtId="0" fontId="5" fillId="2" borderId="53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5" fillId="2" borderId="50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4" fillId="3" borderId="37" xfId="0" applyFont="1" applyFill="1" applyBorder="1" applyAlignment="1">
      <alignment horizontal="center" vertical="center" wrapText="1"/>
    </xf>
    <xf numFmtId="0" fontId="4" fillId="3" borderId="47" xfId="0" applyFont="1" applyFill="1" applyBorder="1" applyAlignment="1">
      <alignment horizontal="center" vertical="center" wrapText="1"/>
    </xf>
    <xf numFmtId="0" fontId="4" fillId="3" borderId="38" xfId="0" applyFont="1" applyFill="1" applyBorder="1" applyAlignment="1">
      <alignment horizontal="center" vertical="center" wrapText="1"/>
    </xf>
    <xf numFmtId="0" fontId="4" fillId="3" borderId="39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 wrapText="1"/>
    </xf>
    <xf numFmtId="0" fontId="5" fillId="2" borderId="54" xfId="0" applyFont="1" applyFill="1" applyBorder="1" applyAlignment="1">
      <alignment horizontal="center" vertical="center" wrapText="1"/>
    </xf>
    <xf numFmtId="0" fontId="4" fillId="3" borderId="55" xfId="0" applyFont="1" applyFill="1" applyBorder="1" applyAlignment="1">
      <alignment horizontal="center" vertical="center" wrapText="1"/>
    </xf>
    <xf numFmtId="0" fontId="5" fillId="2" borderId="58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5" fillId="2" borderId="78" xfId="0" applyFont="1" applyFill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5" fillId="2" borderId="57" xfId="0" applyFont="1" applyFill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5" fillId="2" borderId="80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81" xfId="0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4" fillId="3" borderId="72" xfId="0" applyFont="1" applyFill="1" applyBorder="1" applyAlignment="1">
      <alignment horizontal="center" vertical="center" wrapText="1"/>
    </xf>
    <xf numFmtId="0" fontId="4" fillId="3" borderId="75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76" xfId="0" applyFont="1" applyFill="1" applyBorder="1" applyAlignment="1">
      <alignment horizontal="center" vertical="center" wrapText="1"/>
    </xf>
    <xf numFmtId="0" fontId="4" fillId="3" borderId="9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4" fillId="3" borderId="7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4" fillId="3" borderId="69" xfId="0" applyFont="1" applyFill="1" applyBorder="1" applyAlignment="1">
      <alignment horizontal="center" vertical="center" wrapText="1"/>
    </xf>
    <xf numFmtId="0" fontId="4" fillId="3" borderId="74" xfId="0" applyFont="1" applyFill="1" applyBorder="1" applyAlignment="1">
      <alignment horizontal="center" vertical="center" wrapText="1"/>
    </xf>
    <xf numFmtId="170" fontId="1" fillId="0" borderId="5" xfId="0" applyNumberFormat="1" applyFont="1" applyBorder="1" applyAlignment="1">
      <alignment horizontal="center" vertical="center"/>
    </xf>
    <xf numFmtId="170" fontId="1" fillId="0" borderId="6" xfId="0" applyNumberFormat="1" applyFont="1" applyBorder="1" applyAlignment="1">
      <alignment horizontal="center" vertical="center"/>
    </xf>
    <xf numFmtId="170" fontId="7" fillId="0" borderId="12" xfId="0" applyNumberFormat="1" applyFont="1" applyBorder="1" applyAlignment="1">
      <alignment horizontal="center" vertical="center"/>
    </xf>
    <xf numFmtId="170" fontId="7" fillId="0" borderId="24" xfId="0" applyNumberFormat="1" applyFont="1" applyBorder="1" applyAlignment="1">
      <alignment horizontal="center" vertical="center"/>
    </xf>
    <xf numFmtId="170" fontId="1" fillId="0" borderId="27" xfId="0" applyNumberFormat="1" applyFont="1" applyBorder="1" applyAlignment="1">
      <alignment horizontal="center" vertical="center"/>
    </xf>
    <xf numFmtId="170" fontId="1" fillId="0" borderId="28" xfId="0" applyNumberFormat="1" applyFont="1" applyBorder="1" applyAlignment="1">
      <alignment horizontal="center" vertical="center"/>
    </xf>
    <xf numFmtId="170" fontId="7" fillId="0" borderId="26" xfId="0" applyNumberFormat="1" applyFont="1" applyBorder="1" applyAlignment="1">
      <alignment horizontal="center" vertical="center"/>
    </xf>
    <xf numFmtId="170" fontId="7" fillId="0" borderId="2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diámetros  (d1 = </a:t>
            </a:r>
            <a:r>
              <a:rPr lang="es-AR" sz="1800" b="1" i="0" u="none" strike="noStrike" baseline="0"/>
              <a:t>3,3756E-10</a:t>
            </a:r>
            <a:r>
              <a:rPr lang="es-AR" baseline="0"/>
              <a:t>)</a:t>
            </a:r>
            <a:endParaRPr lang="es-AR"/>
          </a:p>
        </c:rich>
      </c:tx>
    </c:title>
    <c:plotArea>
      <c:layout>
        <c:manualLayout>
          <c:layoutTarget val="inner"/>
          <c:xMode val="edge"/>
          <c:yMode val="edge"/>
          <c:x val="0.15686033950617306"/>
          <c:y val="0.12370023148148165"/>
          <c:w val="0.80906728395061689"/>
          <c:h val="0.74031365740740762"/>
        </c:manualLayout>
      </c:layout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exp'!$F$5:$F$10</c:f>
              <c:numCache>
                <c:formatCode>0.0000000</c:formatCode>
                <c:ptCount val="6"/>
                <c:pt idx="0">
                  <c:v>1.4418336243067003E-2</c:v>
                </c:pt>
                <c:pt idx="1">
                  <c:v>1.3016361427838975E-2</c:v>
                </c:pt>
                <c:pt idx="2">
                  <c:v>1.1917193794663598E-2</c:v>
                </c:pt>
                <c:pt idx="3">
                  <c:v>1.098572090802682E-2</c:v>
                </c:pt>
                <c:pt idx="4">
                  <c:v>1.0294137067179099E-2</c:v>
                </c:pt>
                <c:pt idx="5">
                  <c:v>9.7511172469116371E-3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exp'!$G$5:$G$10</c:f>
              <c:numCache>
                <c:formatCode>0.0000000</c:formatCode>
                <c:ptCount val="6"/>
                <c:pt idx="0">
                  <c:v>2.8661635374646603E-2</c:v>
                </c:pt>
                <c:pt idx="1">
                  <c:v>2.5904052588636324E-2</c:v>
                </c:pt>
                <c:pt idx="2">
                  <c:v>2.3735699579017767E-2</c:v>
                </c:pt>
                <c:pt idx="3">
                  <c:v>2.1894170120045048E-2</c:v>
                </c:pt>
                <c:pt idx="4">
                  <c:v>2.0524717413571432E-2</c:v>
                </c:pt>
                <c:pt idx="5">
                  <c:v>1.9448227627033569E-2</c:v>
                </c:pt>
              </c:numCache>
            </c:numRef>
          </c:yVal>
        </c:ser>
        <c:ser>
          <c:idx val="2"/>
          <c:order val="2"/>
          <c:tx>
            <c:v>anillo chico</c:v>
          </c:tx>
          <c:spPr>
            <a:ln w="28575">
              <a:noFill/>
            </a:ln>
          </c:spPr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m'!$E$29:$E$34</c:f>
              <c:numCache>
                <c:formatCode>0.0000</c:formatCode>
                <c:ptCount val="6"/>
                <c:pt idx="0">
                  <c:v>2.3300000000000001E-2</c:v>
                </c:pt>
                <c:pt idx="1">
                  <c:v>2.0549999999999999E-2</c:v>
                </c:pt>
                <c:pt idx="2">
                  <c:v>1.9200000000000002E-2</c:v>
                </c:pt>
                <c:pt idx="3">
                  <c:v>1.8200000000000001E-2</c:v>
                </c:pt>
                <c:pt idx="4">
                  <c:v>1.7550000000000003E-2</c:v>
                </c:pt>
                <c:pt idx="5">
                  <c:v>1.6400000000000001E-2</c:v>
                </c:pt>
              </c:numCache>
            </c:numRef>
          </c:yVal>
        </c:ser>
        <c:ser>
          <c:idx val="3"/>
          <c:order val="3"/>
          <c:tx>
            <c:v>anillo grande</c:v>
          </c:tx>
          <c:spPr>
            <a:ln w="28575">
              <a:noFill/>
            </a:ln>
          </c:spPr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m'!$H$29:$H$34</c:f>
              <c:numCache>
                <c:formatCode>0.0000</c:formatCode>
                <c:ptCount val="6"/>
                <c:pt idx="0">
                  <c:v>4.6600000000000003E-2</c:v>
                </c:pt>
                <c:pt idx="1">
                  <c:v>4.2450000000000002E-2</c:v>
                </c:pt>
                <c:pt idx="2">
                  <c:v>3.3850000000000005E-2</c:v>
                </c:pt>
                <c:pt idx="3">
                  <c:v>3.1800000000000002E-2</c:v>
                </c:pt>
                <c:pt idx="4">
                  <c:v>2.98E-2</c:v>
                </c:pt>
                <c:pt idx="5">
                  <c:v>2.835E-2</c:v>
                </c:pt>
              </c:numCache>
            </c:numRef>
          </c:yVal>
        </c:ser>
        <c:axId val="85215488"/>
        <c:axId val="85230336"/>
      </c:scatterChart>
      <c:valAx>
        <c:axId val="852154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</c:title>
        <c:numFmt formatCode="0.00" sourceLinked="1"/>
        <c:tickLblPos val="nextTo"/>
        <c:crossAx val="85230336"/>
        <c:crosses val="autoZero"/>
        <c:crossBetween val="midCat"/>
      </c:valAx>
      <c:valAx>
        <c:axId val="85230336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</c:title>
        <c:numFmt formatCode="0.0000000" sourceLinked="1"/>
        <c:tickLblPos val="nextTo"/>
        <c:crossAx val="85215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77756172839505"/>
          <c:y val="0.20108449074074086"/>
          <c:w val="0.13702376543209879"/>
          <c:h val="0.2126416666666667"/>
        </c:manualLayout>
      </c:layout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diámetros  (d4 = </a:t>
            </a:r>
            <a:r>
              <a:rPr lang="es-AR" sz="1800" b="1" i="0" u="none" strike="noStrike" baseline="0"/>
              <a:t>1,6811E-10</a:t>
            </a:r>
            <a:r>
              <a:rPr lang="es-AR" baseline="0"/>
              <a:t>)</a:t>
            </a:r>
            <a:endParaRPr lang="es-AR"/>
          </a:p>
        </c:rich>
      </c:tx>
    </c:title>
    <c:plotArea>
      <c:layout/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exp'!$J$17:$J$22</c:f>
              <c:numCache>
                <c:formatCode>0.0000000</c:formatCode>
                <c:ptCount val="6"/>
                <c:pt idx="0">
                  <c:v>2.8773996099739404E-2</c:v>
                </c:pt>
                <c:pt idx="1">
                  <c:v>2.6005918094784884E-2</c:v>
                </c:pt>
                <c:pt idx="2">
                  <c:v>2.3829243358261889E-2</c:v>
                </c:pt>
                <c:pt idx="3">
                  <c:v>2.198060327678604E-2</c:v>
                </c:pt>
                <c:pt idx="4">
                  <c:v>2.0605839156427209E-2</c:v>
                </c:pt>
                <c:pt idx="5">
                  <c:v>1.9525161067626227E-2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exp'!$K$17:$K$22</c:f>
              <c:numCache>
                <c:formatCode>0.0000000</c:formatCode>
                <c:ptCount val="6"/>
                <c:pt idx="0">
                  <c:v>5.6136998647710309E-2</c:v>
                </c:pt>
                <c:pt idx="1">
                  <c:v>5.0973773315562895E-2</c:v>
                </c:pt>
                <c:pt idx="2">
                  <c:v>4.6861852892662467E-2</c:v>
                </c:pt>
                <c:pt idx="3">
                  <c:v>4.3337172886626051E-2</c:v>
                </c:pt>
                <c:pt idx="4">
                  <c:v>4.0698247305265743E-2</c:v>
                </c:pt>
                <c:pt idx="5">
                  <c:v>3.8613939104679217E-2</c:v>
                </c:pt>
              </c:numCache>
            </c:numRef>
          </c:yVal>
        </c:ser>
        <c:axId val="88539520"/>
        <c:axId val="88541440"/>
      </c:scatterChart>
      <c:valAx>
        <c:axId val="8853952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</c:title>
        <c:numFmt formatCode="0.00" sourceLinked="1"/>
        <c:tickLblPos val="nextTo"/>
        <c:crossAx val="88541440"/>
        <c:crosses val="autoZero"/>
        <c:crossBetween val="midCat"/>
      </c:valAx>
      <c:valAx>
        <c:axId val="88541440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</c:title>
        <c:numFmt formatCode="0.0000000" sourceLinked="1"/>
        <c:tickLblPos val="nextTo"/>
        <c:crossAx val="885395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diámetros  (d5 = </a:t>
            </a:r>
            <a:r>
              <a:rPr lang="es-AR" sz="1800" b="1" i="0" u="none" strike="noStrike" baseline="0"/>
              <a:t>1,234E-10</a:t>
            </a:r>
            <a:r>
              <a:rPr lang="es-AR" baseline="0"/>
              <a:t>)</a:t>
            </a:r>
            <a:endParaRPr lang="es-AR"/>
          </a:p>
        </c:rich>
      </c:tx>
    </c:title>
    <c:plotArea>
      <c:layout/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exp'!$F$29:$F$34</c:f>
              <c:numCache>
                <c:formatCode>0.0000000</c:formatCode>
                <c:ptCount val="6"/>
                <c:pt idx="0">
                  <c:v>3.8924437115104182E-2</c:v>
                </c:pt>
                <c:pt idx="1">
                  <c:v>3.5226182349847417E-2</c:v>
                </c:pt>
                <c:pt idx="2">
                  <c:v>3.2307923601073339E-2</c:v>
                </c:pt>
                <c:pt idx="3">
                  <c:v>2.982311842203194E-2</c:v>
                </c:pt>
                <c:pt idx="4">
                  <c:v>2.7971795300211304E-2</c:v>
                </c:pt>
                <c:pt idx="5">
                  <c:v>2.6514571420519325E-2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exp'!$G$29:$G$34</c:f>
              <c:numCache>
                <c:formatCode>0.0000000</c:formatCode>
                <c:ptCount val="6"/>
                <c:pt idx="0">
                  <c:v>7.4299080714564397E-2</c:v>
                </c:pt>
                <c:pt idx="1">
                  <c:v>6.7838352476485869E-2</c:v>
                </c:pt>
                <c:pt idx="2">
                  <c:v>6.2608465317889841E-2</c:v>
                </c:pt>
                <c:pt idx="3">
                  <c:v>5.8072972024283263E-2</c:v>
                </c:pt>
                <c:pt idx="4">
                  <c:v>5.4648712522384055E-2</c:v>
                </c:pt>
                <c:pt idx="5">
                  <c:v>5.1928294494444811E-2</c:v>
                </c:pt>
              </c:numCache>
            </c:numRef>
          </c:yVal>
        </c:ser>
        <c:axId val="88562688"/>
        <c:axId val="88581248"/>
      </c:scatterChart>
      <c:valAx>
        <c:axId val="885626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</c:title>
        <c:numFmt formatCode="0.00" sourceLinked="1"/>
        <c:tickLblPos val="nextTo"/>
        <c:crossAx val="88581248"/>
        <c:crosses val="autoZero"/>
        <c:crossBetween val="midCat"/>
      </c:valAx>
      <c:valAx>
        <c:axId val="88581248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</c:title>
        <c:numFmt formatCode="0.0000000" sourceLinked="1"/>
        <c:tickLblPos val="nextTo"/>
        <c:crossAx val="8856268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diámetros  (d6 = </a:t>
            </a:r>
            <a:r>
              <a:rPr lang="es-AR" sz="1800" b="1" i="0" u="none" strike="noStrike" baseline="0"/>
              <a:t>1,1603E-10</a:t>
            </a:r>
            <a:r>
              <a:rPr lang="es-AR" baseline="0"/>
              <a:t>)</a:t>
            </a:r>
            <a:endParaRPr lang="es-AR"/>
          </a:p>
        </c:rich>
      </c:tx>
    </c:title>
    <c:plotArea>
      <c:layout/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exp'!$J$29:$J$34</c:f>
              <c:numCache>
                <c:formatCode>0.0000000</c:formatCode>
                <c:ptCount val="6"/>
                <c:pt idx="0">
                  <c:v>4.1313859816301569E-2</c:v>
                </c:pt>
                <c:pt idx="1">
                  <c:v>3.7402645300143721E-2</c:v>
                </c:pt>
                <c:pt idx="2">
                  <c:v>3.4313227396881398E-2</c:v>
                </c:pt>
                <c:pt idx="3">
                  <c:v>3.1680743641617548E-2</c:v>
                </c:pt>
                <c:pt idx="4">
                  <c:v>2.9718331982018339E-2</c:v>
                </c:pt>
                <c:pt idx="5">
                  <c:v>2.8173078258047695E-2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exp'!$K$29:$K$34</c:f>
              <c:numCache>
                <c:formatCode>0.0000000</c:formatCode>
                <c:ptCount val="6"/>
                <c:pt idx="0">
                  <c:v>7.8363685807216574E-2</c:v>
                </c:pt>
                <c:pt idx="1">
                  <c:v>7.1664479016994437E-2</c:v>
                </c:pt>
                <c:pt idx="2">
                  <c:v>6.621406925383716E-2</c:v>
                </c:pt>
                <c:pt idx="3">
                  <c:v>6.1470527404469996E-2</c:v>
                </c:pt>
                <c:pt idx="4">
                  <c:v>5.7880149563706698E-2</c:v>
                </c:pt>
                <c:pt idx="5">
                  <c:v>5.5022778144097131E-2</c:v>
                </c:pt>
              </c:numCache>
            </c:numRef>
          </c:yVal>
        </c:ser>
        <c:axId val="90002944"/>
        <c:axId val="90004864"/>
      </c:scatterChart>
      <c:valAx>
        <c:axId val="9000294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</c:title>
        <c:numFmt formatCode="0.00" sourceLinked="1"/>
        <c:tickLblPos val="nextTo"/>
        <c:crossAx val="90004864"/>
        <c:crosses val="autoZero"/>
        <c:crossBetween val="midCat"/>
      </c:valAx>
      <c:valAx>
        <c:axId val="90004864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</c:title>
        <c:numFmt formatCode="0.0000000" sourceLinked="1"/>
        <c:tickLblPos val="nextTo"/>
        <c:crossAx val="9000294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diámetros  (d1 = </a:t>
            </a:r>
            <a:r>
              <a:rPr lang="es-AR" sz="1800" b="1" i="0" u="none" strike="noStrike" baseline="0"/>
              <a:t>3,3756E-10</a:t>
            </a:r>
            <a:r>
              <a:rPr lang="es-AR" baseline="0"/>
              <a:t>)</a:t>
            </a:r>
            <a:endParaRPr lang="es-AR"/>
          </a:p>
        </c:rich>
      </c:tx>
    </c:title>
    <c:plotArea>
      <c:layout>
        <c:manualLayout>
          <c:layoutTarget val="inner"/>
          <c:xMode val="edge"/>
          <c:yMode val="edge"/>
          <c:x val="0.15686033950617331"/>
          <c:y val="0.12370023148148182"/>
          <c:w val="0.80906728395061656"/>
          <c:h val="0.74031365740740762"/>
        </c:manualLayout>
      </c:layout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marker>
            <c:spPr>
              <a:solidFill>
                <a:srgbClr val="4F81BD"/>
              </a:solidFill>
            </c:spPr>
          </c:marke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exp'!$F$5:$F$10</c:f>
              <c:numCache>
                <c:formatCode>0.0000000</c:formatCode>
                <c:ptCount val="6"/>
                <c:pt idx="0">
                  <c:v>1.4418336243067003E-2</c:v>
                </c:pt>
                <c:pt idx="1">
                  <c:v>1.3016361427838975E-2</c:v>
                </c:pt>
                <c:pt idx="2">
                  <c:v>1.1917193794663598E-2</c:v>
                </c:pt>
                <c:pt idx="3">
                  <c:v>1.098572090802682E-2</c:v>
                </c:pt>
                <c:pt idx="4">
                  <c:v>1.0294137067179099E-2</c:v>
                </c:pt>
                <c:pt idx="5">
                  <c:v>9.7511172469116371E-3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exp'!$G$5:$G$10</c:f>
              <c:numCache>
                <c:formatCode>0.0000000</c:formatCode>
                <c:ptCount val="6"/>
                <c:pt idx="0">
                  <c:v>2.8661635374646603E-2</c:v>
                </c:pt>
                <c:pt idx="1">
                  <c:v>2.5904052588636324E-2</c:v>
                </c:pt>
                <c:pt idx="2">
                  <c:v>2.3735699579017767E-2</c:v>
                </c:pt>
                <c:pt idx="3">
                  <c:v>2.1894170120045048E-2</c:v>
                </c:pt>
                <c:pt idx="4">
                  <c:v>2.0524717413571432E-2</c:v>
                </c:pt>
                <c:pt idx="5">
                  <c:v>1.9448227627033569E-2</c:v>
                </c:pt>
              </c:numCache>
            </c:numRef>
          </c:yVal>
        </c:ser>
        <c:ser>
          <c:idx val="2"/>
          <c:order val="2"/>
          <c:tx>
            <c:v>teorico n=1</c:v>
          </c:tx>
          <c:spPr>
            <a:ln w="28575">
              <a:noFill/>
            </a:ln>
          </c:spPr>
          <c:marker>
            <c:spPr>
              <a:solidFill>
                <a:srgbClr val="9BBB59">
                  <a:alpha val="70000"/>
                </a:srgbClr>
              </a:solidFill>
            </c:spPr>
          </c:marker>
          <c:xVal>
            <c:numRef>
              <c:f>'Tablas teo'!$B$5:$B$10</c:f>
              <c:numCache>
                <c:formatCode>0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'Tablas teo'!$F$5:$F$10</c:f>
              <c:numCache>
                <c:formatCode>0.0000000</c:formatCode>
                <c:ptCount val="6"/>
                <c:pt idx="0">
                  <c:v>1.4561216048488687E-2</c:v>
                </c:pt>
                <c:pt idx="1">
                  <c:v>1.3029328324958728E-2</c:v>
                </c:pt>
                <c:pt idx="2">
                  <c:v>1.1897369992610627E-2</c:v>
                </c:pt>
                <c:pt idx="3">
                  <c:v>1.1016990131882759E-2</c:v>
                </c:pt>
                <c:pt idx="4">
                  <c:v>1.0306970179846893E-2</c:v>
                </c:pt>
                <c:pt idx="5">
                  <c:v>9.7186189987928384E-3</c:v>
                </c:pt>
              </c:numCache>
            </c:numRef>
          </c:yVal>
        </c:ser>
        <c:ser>
          <c:idx val="3"/>
          <c:order val="3"/>
          <c:tx>
            <c:v>teorico n=2</c:v>
          </c:tx>
          <c:spPr>
            <a:ln w="28575">
              <a:noFill/>
            </a:ln>
          </c:spPr>
          <c:xVal>
            <c:numRef>
              <c:f>'Tablas teo'!$B$5:$B$10</c:f>
              <c:numCache>
                <c:formatCode>0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'Tablas teo'!$G$5:$G$10</c:f>
              <c:numCache>
                <c:formatCode>0.0000000</c:formatCode>
                <c:ptCount val="6"/>
                <c:pt idx="0">
                  <c:v>2.8942122822768437E-2</c:v>
                </c:pt>
                <c:pt idx="1">
                  <c:v>2.5929600477359451E-2</c:v>
                </c:pt>
                <c:pt idx="2">
                  <c:v>2.3696544686816711E-2</c:v>
                </c:pt>
                <c:pt idx="3">
                  <c:v>2.1956045659580276E-2</c:v>
                </c:pt>
                <c:pt idx="4">
                  <c:v>2.0550145267316338E-2</c:v>
                </c:pt>
                <c:pt idx="5">
                  <c:v>1.9383770067788297E-2</c:v>
                </c:pt>
              </c:numCache>
            </c:numRef>
          </c:yVal>
        </c:ser>
        <c:axId val="90093824"/>
        <c:axId val="90100096"/>
      </c:scatterChart>
      <c:valAx>
        <c:axId val="9009382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</c:title>
        <c:numFmt formatCode="0.00" sourceLinked="1"/>
        <c:tickLblPos val="nextTo"/>
        <c:crossAx val="90100096"/>
        <c:crosses val="autoZero"/>
        <c:crossBetween val="midCat"/>
      </c:valAx>
      <c:valAx>
        <c:axId val="90100096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</c:title>
        <c:numFmt formatCode="0.0000000" sourceLinked="1"/>
        <c:tickLblPos val="nextTo"/>
        <c:crossAx val="90093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675648148148201"/>
          <c:y val="0.21872337962962971"/>
          <c:w val="0.12432376543209876"/>
          <c:h val="0.2126416666666667"/>
        </c:manualLayout>
      </c:layout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diámetros  (d2 = </a:t>
            </a:r>
            <a:r>
              <a:rPr lang="es-AR" sz="1800" b="1" i="0" u="none" strike="noStrike" baseline="0"/>
              <a:t>2,1386E-10</a:t>
            </a:r>
            <a:r>
              <a:rPr lang="es-AR" baseline="0"/>
              <a:t>)</a:t>
            </a:r>
            <a:endParaRPr lang="es-AR"/>
          </a:p>
        </c:rich>
      </c:tx>
    </c:title>
    <c:plotArea>
      <c:layout>
        <c:manualLayout>
          <c:layoutTarget val="inner"/>
          <c:xMode val="edge"/>
          <c:yMode val="edge"/>
          <c:x val="0.15686033950617331"/>
          <c:y val="0.12370023148148182"/>
          <c:w val="0.80906728395061656"/>
          <c:h val="0.74031365740740762"/>
        </c:manualLayout>
      </c:layout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exp'!$J$5:$J$10</c:f>
              <c:numCache>
                <c:formatCode>0.0000000</c:formatCode>
                <c:ptCount val="6"/>
                <c:pt idx="0">
                  <c:v>2.2689425959857058E-2</c:v>
                </c:pt>
                <c:pt idx="1">
                  <c:v>2.0494730187754034E-2</c:v>
                </c:pt>
                <c:pt idx="2">
                  <c:v>1.8771556194259471E-2</c:v>
                </c:pt>
                <c:pt idx="3">
                  <c:v>1.730971096290412E-2</c:v>
                </c:pt>
                <c:pt idx="4">
                  <c:v>1.6223487143110164E-2</c:v>
                </c:pt>
                <c:pt idx="5">
                  <c:v>1.5370124172307044E-2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exp'!$K$5:$K$10</c:f>
              <c:numCache>
                <c:formatCode>0.0000000</c:formatCode>
                <c:ptCount val="6"/>
                <c:pt idx="0">
                  <c:v>4.4691984429176025E-2</c:v>
                </c:pt>
                <c:pt idx="1">
                  <c:v>4.0484342462307525E-2</c:v>
                </c:pt>
                <c:pt idx="2">
                  <c:v>3.7155586266706377E-2</c:v>
                </c:pt>
                <c:pt idx="3">
                  <c:v>3.4315926734454973E-2</c:v>
                </c:pt>
                <c:pt idx="4">
                  <c:v>3.2197309016628921E-2</c:v>
                </c:pt>
                <c:pt idx="5">
                  <c:v>3.0528073514367884E-2</c:v>
                </c:pt>
              </c:numCache>
            </c:numRef>
          </c:yVal>
        </c:ser>
        <c:ser>
          <c:idx val="2"/>
          <c:order val="2"/>
          <c:tx>
            <c:v>teorico n=1</c:v>
          </c:tx>
          <c:spPr>
            <a:ln w="28575">
              <a:noFill/>
            </a:ln>
          </c:spPr>
          <c:marker>
            <c:spPr>
              <a:solidFill>
                <a:srgbClr val="9BBB59">
                  <a:alpha val="70000"/>
                </a:srgbClr>
              </a:solidFill>
            </c:spPr>
          </c:marker>
          <c:xVal>
            <c:numRef>
              <c:f>'Tablas teo'!$B$5:$B$10</c:f>
              <c:numCache>
                <c:formatCode>0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'Tablas teo'!$J$5:$J$10</c:f>
              <c:numCache>
                <c:formatCode>0.0000000</c:formatCode>
                <c:ptCount val="6"/>
                <c:pt idx="0">
                  <c:v>2.291287972336957E-2</c:v>
                </c:pt>
                <c:pt idx="1">
                  <c:v>2.0515045848308669E-2</c:v>
                </c:pt>
                <c:pt idx="2">
                  <c:v>1.8740459397035048E-2</c:v>
                </c:pt>
                <c:pt idx="3">
                  <c:v>1.7358806605804366E-2</c:v>
                </c:pt>
                <c:pt idx="4">
                  <c:v>1.6243649573895527E-2</c:v>
                </c:pt>
                <c:pt idx="5">
                  <c:v>1.5319039939910736E-2</c:v>
                </c:pt>
              </c:numCache>
            </c:numRef>
          </c:yVal>
        </c:ser>
        <c:ser>
          <c:idx val="3"/>
          <c:order val="3"/>
          <c:tx>
            <c:v>teorico n=2</c:v>
          </c:tx>
          <c:spPr>
            <a:ln w="28575">
              <a:noFill/>
            </a:ln>
          </c:spPr>
          <c:xVal>
            <c:numRef>
              <c:f>'Tablas teo'!$B$5:$B$10</c:f>
              <c:numCache>
                <c:formatCode>0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'Tablas teo'!$K$5:$K$10</c:f>
              <c:numCache>
                <c:formatCode>0.0000000</c:formatCode>
                <c:ptCount val="6"/>
                <c:pt idx="0">
                  <c:v>4.5118233508682021E-2</c:v>
                </c:pt>
                <c:pt idx="1">
                  <c:v>4.0523460599275501E-2</c:v>
                </c:pt>
                <c:pt idx="2">
                  <c:v>3.7095325579665044E-2</c:v>
                </c:pt>
                <c:pt idx="3">
                  <c:v>3.441151650987577E-2</c:v>
                </c:pt>
                <c:pt idx="4">
                  <c:v>3.223669817659288E-2</c:v>
                </c:pt>
                <c:pt idx="5">
                  <c:v>3.0428020996572245E-2</c:v>
                </c:pt>
              </c:numCache>
            </c:numRef>
          </c:yVal>
        </c:ser>
        <c:axId val="90126976"/>
        <c:axId val="90157824"/>
      </c:scatterChart>
      <c:valAx>
        <c:axId val="9012697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</c:title>
        <c:numFmt formatCode="0.00" sourceLinked="1"/>
        <c:tickLblPos val="nextTo"/>
        <c:crossAx val="90157824"/>
        <c:crosses val="autoZero"/>
        <c:crossBetween val="midCat"/>
      </c:valAx>
      <c:valAx>
        <c:axId val="90157824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</c:title>
        <c:numFmt formatCode="0.0000000" sourceLinked="1"/>
        <c:tickLblPos val="nextTo"/>
        <c:crossAx val="9012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871635802469168"/>
          <c:y val="0.22166319444444443"/>
          <c:w val="0.12432376543209876"/>
          <c:h val="0.2126416666666667"/>
        </c:manualLayout>
      </c:layout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diámetros  (d3 = </a:t>
            </a:r>
            <a:r>
              <a:rPr lang="es-AR" sz="1800" b="1" i="0" u="none" strike="noStrike" baseline="0"/>
              <a:t>2,039E-10</a:t>
            </a:r>
            <a:r>
              <a:rPr lang="es-AR" baseline="0"/>
              <a:t>)</a:t>
            </a:r>
            <a:endParaRPr lang="es-AR"/>
          </a:p>
        </c:rich>
      </c:tx>
    </c:title>
    <c:plotArea>
      <c:layout>
        <c:manualLayout>
          <c:layoutTarget val="inner"/>
          <c:xMode val="edge"/>
          <c:yMode val="edge"/>
          <c:x val="0.15686033950617331"/>
          <c:y val="0.12370023148148182"/>
          <c:w val="0.80906728395061656"/>
          <c:h val="0.74031365740740762"/>
        </c:manualLayout>
      </c:layout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exp'!$F$17:$F$22</c:f>
              <c:numCache>
                <c:formatCode>0.0000000</c:formatCode>
                <c:ptCount val="6"/>
                <c:pt idx="0">
                  <c:v>2.3785705664260068E-2</c:v>
                </c:pt>
                <c:pt idx="1">
                  <c:v>2.148699418431705E-2</c:v>
                </c:pt>
                <c:pt idx="2">
                  <c:v>1.9681710049313211E-2</c:v>
                </c:pt>
                <c:pt idx="3">
                  <c:v>1.8149930672482759E-2</c:v>
                </c:pt>
                <c:pt idx="4">
                  <c:v>1.7011591071894618E-2</c:v>
                </c:pt>
                <c:pt idx="5">
                  <c:v>1.6117200453338393E-2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exp'!$G$17:$G$22</c:f>
              <c:numCache>
                <c:formatCode>0.0000000</c:formatCode>
                <c:ptCount val="6"/>
                <c:pt idx="0">
                  <c:v>4.6779173575227082E-2</c:v>
                </c:pt>
                <c:pt idx="1">
                  <c:v>4.2391343149004744E-2</c:v>
                </c:pt>
                <c:pt idx="2">
                  <c:v>3.8916394002834365E-2</c:v>
                </c:pt>
                <c:pt idx="3">
                  <c:v>3.5949755303533198E-2</c:v>
                </c:pt>
                <c:pt idx="4">
                  <c:v>3.3735165976150637E-2</c:v>
                </c:pt>
                <c:pt idx="5">
                  <c:v>3.1989629501593987E-2</c:v>
                </c:pt>
              </c:numCache>
            </c:numRef>
          </c:yVal>
        </c:ser>
        <c:ser>
          <c:idx val="2"/>
          <c:order val="2"/>
          <c:tx>
            <c:v>teorico n=1</c:v>
          </c:tx>
          <c:spPr>
            <a:ln w="28575">
              <a:noFill/>
            </a:ln>
          </c:spPr>
          <c:marker>
            <c:spPr>
              <a:solidFill>
                <a:srgbClr val="9BBB59">
                  <a:alpha val="70000"/>
                </a:srgbClr>
              </a:solidFill>
            </c:spPr>
          </c:marker>
          <c:xVal>
            <c:numRef>
              <c:f>'Tablas teo'!$B$17:$B$22</c:f>
              <c:numCache>
                <c:formatCode>0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'Tablas teo'!$F$17:$F$22</c:f>
              <c:numCache>
                <c:formatCode>0.0000000</c:formatCode>
                <c:ptCount val="6"/>
                <c:pt idx="0">
                  <c:v>2.4019711904628725E-2</c:v>
                </c:pt>
                <c:pt idx="1">
                  <c:v>2.1508275666346791E-2</c:v>
                </c:pt>
                <c:pt idx="2">
                  <c:v>1.964912814724706E-2</c:v>
                </c:pt>
                <c:pt idx="3">
                  <c:v>1.8201378909552608E-2</c:v>
                </c:pt>
                <c:pt idx="4">
                  <c:v>1.7032721987878079E-2</c:v>
                </c:pt>
                <c:pt idx="5">
                  <c:v>1.6063657961261586E-2</c:v>
                </c:pt>
              </c:numCache>
            </c:numRef>
          </c:yVal>
        </c:ser>
        <c:ser>
          <c:idx val="3"/>
          <c:order val="3"/>
          <c:tx>
            <c:v>teorico n=2</c:v>
          </c:tx>
          <c:spPr>
            <a:ln w="28575">
              <a:noFill/>
            </a:ln>
          </c:spPr>
          <c:xVal>
            <c:numRef>
              <c:f>'Tablas teo'!$B$17:$B$22</c:f>
              <c:numCache>
                <c:formatCode>0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'Tablas teo'!$G$17:$G$22</c:f>
              <c:numCache>
                <c:formatCode>0.0000000</c:formatCode>
                <c:ptCount val="6"/>
                <c:pt idx="0">
                  <c:v>4.7223364307284292E-2</c:v>
                </c:pt>
                <c:pt idx="1">
                  <c:v>4.2432161020084111E-2</c:v>
                </c:pt>
                <c:pt idx="2">
                  <c:v>3.88534595200868E-2</c:v>
                </c:pt>
                <c:pt idx="3">
                  <c:v>3.6049651143168243E-2</c:v>
                </c:pt>
                <c:pt idx="4">
                  <c:v>3.3776348504841298E-2</c:v>
                </c:pt>
                <c:pt idx="5">
                  <c:v>3.1884985276924245E-2</c:v>
                </c:pt>
              </c:numCache>
            </c:numRef>
          </c:yVal>
        </c:ser>
        <c:axId val="90250240"/>
        <c:axId val="90276992"/>
      </c:scatterChart>
      <c:valAx>
        <c:axId val="902502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</c:title>
        <c:numFmt formatCode="0.00" sourceLinked="1"/>
        <c:tickLblPos val="nextTo"/>
        <c:crossAx val="90276992"/>
        <c:crosses val="autoZero"/>
        <c:crossBetween val="midCat"/>
      </c:valAx>
      <c:valAx>
        <c:axId val="90276992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</c:title>
        <c:numFmt formatCode="0.0000000" sourceLinked="1"/>
        <c:tickLblPos val="nextTo"/>
        <c:crossAx val="90250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871635802469168"/>
          <c:y val="0.22166319444444443"/>
          <c:w val="0.12432376543209876"/>
          <c:h val="0.2126416666666667"/>
        </c:manualLayout>
      </c:layout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diámetros  (d4 = </a:t>
            </a:r>
            <a:r>
              <a:rPr lang="es-AR" sz="1800" b="1" i="0" u="none" strike="noStrike" baseline="0"/>
              <a:t>1,6811E-10</a:t>
            </a:r>
            <a:r>
              <a:rPr lang="es-AR" baseline="0"/>
              <a:t>)</a:t>
            </a:r>
            <a:endParaRPr lang="es-AR"/>
          </a:p>
        </c:rich>
      </c:tx>
    </c:title>
    <c:plotArea>
      <c:layout>
        <c:manualLayout>
          <c:layoutTarget val="inner"/>
          <c:xMode val="edge"/>
          <c:yMode val="edge"/>
          <c:x val="0.15686033950617331"/>
          <c:y val="0.12370023148148182"/>
          <c:w val="0.80906728395061656"/>
          <c:h val="0.74031365740740762"/>
        </c:manualLayout>
      </c:layout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exp'!$J$17:$J$22</c:f>
              <c:numCache>
                <c:formatCode>0.0000000</c:formatCode>
                <c:ptCount val="6"/>
                <c:pt idx="0">
                  <c:v>2.8773996099739404E-2</c:v>
                </c:pt>
                <c:pt idx="1">
                  <c:v>2.6005918094784884E-2</c:v>
                </c:pt>
                <c:pt idx="2">
                  <c:v>2.3829243358261889E-2</c:v>
                </c:pt>
                <c:pt idx="3">
                  <c:v>2.198060327678604E-2</c:v>
                </c:pt>
                <c:pt idx="4">
                  <c:v>2.0605839156427209E-2</c:v>
                </c:pt>
                <c:pt idx="5">
                  <c:v>1.9525161067626227E-2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exp'!$K$17:$K$22</c:f>
              <c:numCache>
                <c:formatCode>0.0000000</c:formatCode>
                <c:ptCount val="6"/>
                <c:pt idx="0">
                  <c:v>5.6136998647710309E-2</c:v>
                </c:pt>
                <c:pt idx="1">
                  <c:v>5.0973773315562895E-2</c:v>
                </c:pt>
                <c:pt idx="2">
                  <c:v>4.6861852892662467E-2</c:v>
                </c:pt>
                <c:pt idx="3">
                  <c:v>4.3337172886626051E-2</c:v>
                </c:pt>
                <c:pt idx="4">
                  <c:v>4.0698247305265743E-2</c:v>
                </c:pt>
                <c:pt idx="5">
                  <c:v>3.8613939104679217E-2</c:v>
                </c:pt>
              </c:numCache>
            </c:numRef>
          </c:yVal>
        </c:ser>
        <c:ser>
          <c:idx val="2"/>
          <c:order val="2"/>
          <c:tx>
            <c:v>teorico n=1</c:v>
          </c:tx>
          <c:spPr>
            <a:ln w="28575">
              <a:noFill/>
            </a:ln>
          </c:spPr>
          <c:marker>
            <c:spPr>
              <a:solidFill>
                <a:srgbClr val="9BBB59">
                  <a:alpha val="70000"/>
                </a:srgbClr>
              </a:solidFill>
            </c:spPr>
          </c:marker>
          <c:xVal>
            <c:numRef>
              <c:f>'Tablas teo'!$B$17:$B$22</c:f>
              <c:numCache>
                <c:formatCode>0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'Tablas teo'!$J$17:$J$22</c:f>
              <c:numCache>
                <c:formatCode>0.0000000</c:formatCode>
                <c:ptCount val="6"/>
                <c:pt idx="0">
                  <c:v>2.905554514062943E-2</c:v>
                </c:pt>
                <c:pt idx="1">
                  <c:v>2.60315636831417E-2</c:v>
                </c:pt>
                <c:pt idx="2">
                  <c:v>2.3789937677519243E-2</c:v>
                </c:pt>
                <c:pt idx="3">
                  <c:v>2.2042718338769762E-2</c:v>
                </c:pt>
                <c:pt idx="4">
                  <c:v>2.0631365805811246E-2</c:v>
                </c:pt>
                <c:pt idx="5">
                  <c:v>1.9460452372033022E-2</c:v>
                </c:pt>
              </c:numCache>
            </c:numRef>
          </c:yVal>
        </c:ser>
        <c:ser>
          <c:idx val="3"/>
          <c:order val="3"/>
          <c:tx>
            <c:v>teorico n=2</c:v>
          </c:tx>
          <c:spPr>
            <a:ln w="28575">
              <a:noFill/>
            </a:ln>
          </c:spPr>
          <c:xVal>
            <c:numRef>
              <c:f>'Tablas teo'!$B$17:$B$22</c:f>
              <c:numCache>
                <c:formatCode>0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'Tablas teo'!$K$17:$K$22</c:f>
              <c:numCache>
                <c:formatCode>0.0000000</c:formatCode>
                <c:ptCount val="6"/>
                <c:pt idx="0">
                  <c:v>5.6657723836105858E-2</c:v>
                </c:pt>
                <c:pt idx="1">
                  <c:v>5.1021958517361798E-2</c:v>
                </c:pt>
                <c:pt idx="2">
                  <c:v>4.6787211009223631E-2</c:v>
                </c:pt>
                <c:pt idx="3">
                  <c:v>4.345605849256888E-2</c:v>
                </c:pt>
                <c:pt idx="4">
                  <c:v>4.0747377797722181E-2</c:v>
                </c:pt>
                <c:pt idx="5">
                  <c:v>3.8488870721281203E-2</c:v>
                </c:pt>
              </c:numCache>
            </c:numRef>
          </c:yVal>
        </c:ser>
        <c:axId val="90320256"/>
        <c:axId val="90330624"/>
      </c:scatterChart>
      <c:valAx>
        <c:axId val="903202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</c:title>
        <c:numFmt formatCode="0.00" sourceLinked="1"/>
        <c:tickLblPos val="nextTo"/>
        <c:crossAx val="90330624"/>
        <c:crosses val="autoZero"/>
        <c:crossBetween val="midCat"/>
      </c:valAx>
      <c:valAx>
        <c:axId val="90330624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</c:title>
        <c:numFmt formatCode="0.0000000" sourceLinked="1"/>
        <c:tickLblPos val="nextTo"/>
        <c:crossAx val="90320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675648148148201"/>
          <c:y val="0.21578356481481481"/>
          <c:w val="0.12432376543209876"/>
          <c:h val="0.2126416666666667"/>
        </c:manualLayout>
      </c:layout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diámetros  (d5 = </a:t>
            </a:r>
            <a:r>
              <a:rPr lang="es-AR" sz="1800" b="1" i="0" u="none" strike="noStrike" baseline="0"/>
              <a:t>1,234E-10</a:t>
            </a:r>
            <a:r>
              <a:rPr lang="es-AR" baseline="0"/>
              <a:t>)</a:t>
            </a:r>
            <a:endParaRPr lang="es-AR"/>
          </a:p>
        </c:rich>
      </c:tx>
    </c:title>
    <c:plotArea>
      <c:layout>
        <c:manualLayout>
          <c:layoutTarget val="inner"/>
          <c:xMode val="edge"/>
          <c:yMode val="edge"/>
          <c:x val="0.15686033950617331"/>
          <c:y val="0.12370023148148182"/>
          <c:w val="0.80906728395061656"/>
          <c:h val="0.74031365740740762"/>
        </c:manualLayout>
      </c:layout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exp'!$F$29:$F$34</c:f>
              <c:numCache>
                <c:formatCode>0.0000000</c:formatCode>
                <c:ptCount val="6"/>
                <c:pt idx="0">
                  <c:v>3.8924437115104182E-2</c:v>
                </c:pt>
                <c:pt idx="1">
                  <c:v>3.5226182349847417E-2</c:v>
                </c:pt>
                <c:pt idx="2">
                  <c:v>3.2307923601073339E-2</c:v>
                </c:pt>
                <c:pt idx="3">
                  <c:v>2.982311842203194E-2</c:v>
                </c:pt>
                <c:pt idx="4">
                  <c:v>2.7971795300211304E-2</c:v>
                </c:pt>
                <c:pt idx="5">
                  <c:v>2.6514571420519325E-2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exp'!$G$29:$G$34</c:f>
              <c:numCache>
                <c:formatCode>0.0000000</c:formatCode>
                <c:ptCount val="6"/>
                <c:pt idx="0">
                  <c:v>7.4299080714564397E-2</c:v>
                </c:pt>
                <c:pt idx="1">
                  <c:v>6.7838352476485869E-2</c:v>
                </c:pt>
                <c:pt idx="2">
                  <c:v>6.2608465317889841E-2</c:v>
                </c:pt>
                <c:pt idx="3">
                  <c:v>5.8072972024283263E-2</c:v>
                </c:pt>
                <c:pt idx="4">
                  <c:v>5.4648712522384055E-2</c:v>
                </c:pt>
                <c:pt idx="5">
                  <c:v>5.1928294494444811E-2</c:v>
                </c:pt>
              </c:numCache>
            </c:numRef>
          </c:yVal>
        </c:ser>
        <c:ser>
          <c:idx val="2"/>
          <c:order val="2"/>
          <c:tx>
            <c:v>teorico n=1</c:v>
          </c:tx>
          <c:spPr>
            <a:ln w="28575">
              <a:noFill/>
            </a:ln>
          </c:spPr>
          <c:marker>
            <c:spPr>
              <a:solidFill>
                <a:srgbClr val="9BBB59">
                  <a:alpha val="70000"/>
                </a:srgbClr>
              </a:solidFill>
            </c:spPr>
          </c:marker>
          <c:xVal>
            <c:numRef>
              <c:f>'Tablas teo'!$B$29:$B$34</c:f>
              <c:numCache>
                <c:formatCode>0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'Tablas teo'!$F$29:$F$34</c:f>
              <c:numCache>
                <c:formatCode>0.0000000</c:formatCode>
                <c:ptCount val="6"/>
                <c:pt idx="0">
                  <c:v>3.9299727248047596E-2</c:v>
                </c:pt>
                <c:pt idx="1">
                  <c:v>3.5260514148968233E-2</c:v>
                </c:pt>
                <c:pt idx="2">
                  <c:v>3.2255150360413688E-2</c:v>
                </c:pt>
                <c:pt idx="3">
                  <c:v>2.9906697746375593E-2</c:v>
                </c:pt>
                <c:pt idx="4">
                  <c:v>2.8006196250875727E-2</c:v>
                </c:pt>
                <c:pt idx="5">
                  <c:v>2.6427264373100397E-2</c:v>
                </c:pt>
              </c:numCache>
            </c:numRef>
          </c:yVal>
        </c:ser>
        <c:ser>
          <c:idx val="3"/>
          <c:order val="3"/>
          <c:tx>
            <c:v>teorico n=2</c:v>
          </c:tx>
          <c:spPr>
            <a:ln w="28575">
              <a:noFill/>
            </a:ln>
          </c:spPr>
          <c:xVal>
            <c:numRef>
              <c:f>'Tablas teo'!$B$29:$B$34</c:f>
              <c:numCache>
                <c:formatCode>0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'Tablas teo'!$G$29:$G$34</c:f>
              <c:numCache>
                <c:formatCode>0.0000000</c:formatCode>
                <c:ptCount val="6"/>
                <c:pt idx="0">
                  <c:v>7.4943428217581751E-2</c:v>
                </c:pt>
                <c:pt idx="1">
                  <c:v>6.7899216155023243E-2</c:v>
                </c:pt>
                <c:pt idx="2">
                  <c:v>6.2512898548904308E-2</c:v>
                </c:pt>
                <c:pt idx="3">
                  <c:v>5.8226682661422252E-2</c:v>
                </c:pt>
                <c:pt idx="4">
                  <c:v>5.4712673299529412E-2</c:v>
                </c:pt>
                <c:pt idx="5">
                  <c:v>5.1764635046613584E-2</c:v>
                </c:pt>
              </c:numCache>
            </c:numRef>
          </c:yVal>
        </c:ser>
        <c:axId val="90186112"/>
        <c:axId val="90187648"/>
      </c:scatterChart>
      <c:valAx>
        <c:axId val="901861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</c:title>
        <c:numFmt formatCode="0.00" sourceLinked="1"/>
        <c:tickLblPos val="nextTo"/>
        <c:crossAx val="90187648"/>
        <c:crosses val="autoZero"/>
        <c:crossBetween val="midCat"/>
      </c:valAx>
      <c:valAx>
        <c:axId val="90187648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</c:title>
        <c:numFmt formatCode="0.0000000" sourceLinked="1"/>
        <c:tickLblPos val="nextTo"/>
        <c:crossAx val="90186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871635802469168"/>
          <c:y val="0.22166319444444443"/>
          <c:w val="0.12432376543209876"/>
          <c:h val="0.2126416666666667"/>
        </c:manualLayout>
      </c:layout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diámetros  (d6 = </a:t>
            </a:r>
            <a:r>
              <a:rPr lang="es-AR" sz="1800" b="1" i="0" u="none" strike="noStrike" baseline="0"/>
              <a:t>1,1603E-10</a:t>
            </a:r>
            <a:r>
              <a:rPr lang="es-AR" baseline="0"/>
              <a:t>)</a:t>
            </a:r>
            <a:endParaRPr lang="es-AR"/>
          </a:p>
        </c:rich>
      </c:tx>
    </c:title>
    <c:plotArea>
      <c:layout>
        <c:manualLayout>
          <c:layoutTarget val="inner"/>
          <c:xMode val="edge"/>
          <c:yMode val="edge"/>
          <c:x val="0.15686033950617331"/>
          <c:y val="0.12370023148148182"/>
          <c:w val="0.80906728395061656"/>
          <c:h val="0.74031365740740762"/>
        </c:manualLayout>
      </c:layout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exp'!$J$29:$J$34</c:f>
              <c:numCache>
                <c:formatCode>0.0000000</c:formatCode>
                <c:ptCount val="6"/>
                <c:pt idx="0">
                  <c:v>4.1313859816301569E-2</c:v>
                </c:pt>
                <c:pt idx="1">
                  <c:v>3.7402645300143721E-2</c:v>
                </c:pt>
                <c:pt idx="2">
                  <c:v>3.4313227396881398E-2</c:v>
                </c:pt>
                <c:pt idx="3">
                  <c:v>3.1680743641617548E-2</c:v>
                </c:pt>
                <c:pt idx="4">
                  <c:v>2.9718331982018339E-2</c:v>
                </c:pt>
                <c:pt idx="5">
                  <c:v>2.8173078258047695E-2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exp'!$K$29:$K$34</c:f>
              <c:numCache>
                <c:formatCode>0.0000000</c:formatCode>
                <c:ptCount val="6"/>
                <c:pt idx="0">
                  <c:v>7.8363685807216574E-2</c:v>
                </c:pt>
                <c:pt idx="1">
                  <c:v>7.1664479016994437E-2</c:v>
                </c:pt>
                <c:pt idx="2">
                  <c:v>6.621406925383716E-2</c:v>
                </c:pt>
                <c:pt idx="3">
                  <c:v>6.1470527404469996E-2</c:v>
                </c:pt>
                <c:pt idx="4">
                  <c:v>5.7880149563706698E-2</c:v>
                </c:pt>
                <c:pt idx="5">
                  <c:v>5.5022778144097131E-2</c:v>
                </c:pt>
              </c:numCache>
            </c:numRef>
          </c:yVal>
        </c:ser>
        <c:ser>
          <c:idx val="2"/>
          <c:order val="2"/>
          <c:tx>
            <c:v>teorico n=1</c:v>
          </c:tx>
          <c:spPr>
            <a:ln w="28575">
              <a:noFill/>
            </a:ln>
          </c:spPr>
          <c:marker>
            <c:spPr>
              <a:solidFill>
                <a:srgbClr val="9BBB59">
                  <a:alpha val="70000"/>
                </a:srgbClr>
              </a:solidFill>
            </c:spPr>
          </c:marker>
          <c:xVal>
            <c:numRef>
              <c:f>'Tablas teo'!$B$29:$B$34</c:f>
              <c:numCache>
                <c:formatCode>0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'Tablas teo'!$J$29:$J$34</c:f>
              <c:numCache>
                <c:formatCode>0.0000000</c:formatCode>
                <c:ptCount val="6"/>
                <c:pt idx="0">
                  <c:v>4.1710493572713676E-2</c:v>
                </c:pt>
                <c:pt idx="1">
                  <c:v>3.7438975043212044E-2</c:v>
                </c:pt>
                <c:pt idx="2">
                  <c:v>3.425733558954798E-2</c:v>
                </c:pt>
                <c:pt idx="3">
                  <c:v>3.1769317458356185E-2</c:v>
                </c:pt>
                <c:pt idx="4">
                  <c:v>2.9754804953030744E-2</c:v>
                </c:pt>
                <c:pt idx="5">
                  <c:v>2.8080481330534358E-2</c:v>
                </c:pt>
              </c:numCache>
            </c:numRef>
          </c:yVal>
        </c:ser>
        <c:ser>
          <c:idx val="3"/>
          <c:order val="3"/>
          <c:tx>
            <c:v>teorico n=2</c:v>
          </c:tx>
          <c:spPr>
            <a:ln w="28575">
              <a:noFill/>
            </a:ln>
          </c:spPr>
          <c:xVal>
            <c:numRef>
              <c:f>'Tablas teo'!$B$29:$B$34</c:f>
              <c:numCache>
                <c:formatCode>0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'Tablas teo'!$K$29:$K$34</c:f>
              <c:numCache>
                <c:formatCode>0.0000000</c:formatCode>
                <c:ptCount val="6"/>
                <c:pt idx="0">
                  <c:v>7.9029473650075233E-2</c:v>
                </c:pt>
                <c:pt idx="1">
                  <c:v>7.1727774069787822E-2</c:v>
                </c:pt>
                <c:pt idx="2">
                  <c:v>6.6114271009020023E-2</c:v>
                </c:pt>
                <c:pt idx="3">
                  <c:v>6.1631520426966714E-2</c:v>
                </c:pt>
                <c:pt idx="4">
                  <c:v>5.7947279033214193E-2</c:v>
                </c:pt>
                <c:pt idx="5">
                  <c:v>5.4850747702368592E-2</c:v>
                </c:pt>
              </c:numCache>
            </c:numRef>
          </c:yVal>
        </c:ser>
        <c:axId val="90235264"/>
        <c:axId val="90237184"/>
      </c:scatterChart>
      <c:valAx>
        <c:axId val="9023526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</c:title>
        <c:numFmt formatCode="0.00" sourceLinked="1"/>
        <c:tickLblPos val="nextTo"/>
        <c:crossAx val="90237184"/>
        <c:crosses val="autoZero"/>
        <c:crossBetween val="midCat"/>
      </c:valAx>
      <c:valAx>
        <c:axId val="90237184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</c:title>
        <c:numFmt formatCode="0.0000000" sourceLinked="1"/>
        <c:tickLblPos val="nextTo"/>
        <c:crossAx val="90235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871635802469168"/>
          <c:y val="0.21872337962962971"/>
          <c:w val="0.12432376543209876"/>
          <c:h val="0.2126416666666667"/>
        </c:manualLayout>
      </c:layout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diámetros  (d2 = </a:t>
            </a:r>
            <a:r>
              <a:rPr lang="es-AR" sz="1800" b="1" i="0" u="none" strike="noStrike" baseline="0"/>
              <a:t>2,1386E-10</a:t>
            </a:r>
            <a:r>
              <a:rPr lang="es-AR" baseline="0"/>
              <a:t>)</a:t>
            </a:r>
            <a:endParaRPr lang="es-AR"/>
          </a:p>
        </c:rich>
      </c:tx>
    </c:title>
    <c:plotArea>
      <c:layout>
        <c:manualLayout>
          <c:layoutTarget val="inner"/>
          <c:xMode val="edge"/>
          <c:yMode val="edge"/>
          <c:x val="0.15686033950617306"/>
          <c:y val="0.12370023148148165"/>
          <c:w val="0.80906728395061689"/>
          <c:h val="0.74031365740740762"/>
        </c:manualLayout>
      </c:layout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exp'!$J$5:$J$10</c:f>
              <c:numCache>
                <c:formatCode>0.0000000</c:formatCode>
                <c:ptCount val="6"/>
                <c:pt idx="0">
                  <c:v>2.2689425959857058E-2</c:v>
                </c:pt>
                <c:pt idx="1">
                  <c:v>2.0494730187754034E-2</c:v>
                </c:pt>
                <c:pt idx="2">
                  <c:v>1.8771556194259471E-2</c:v>
                </c:pt>
                <c:pt idx="3">
                  <c:v>1.730971096290412E-2</c:v>
                </c:pt>
                <c:pt idx="4">
                  <c:v>1.6223487143110164E-2</c:v>
                </c:pt>
                <c:pt idx="5">
                  <c:v>1.5370124172307044E-2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exp'!$K$5:$K$10</c:f>
              <c:numCache>
                <c:formatCode>0.0000000</c:formatCode>
                <c:ptCount val="6"/>
                <c:pt idx="0">
                  <c:v>4.4691984429176025E-2</c:v>
                </c:pt>
                <c:pt idx="1">
                  <c:v>4.0484342462307525E-2</c:v>
                </c:pt>
                <c:pt idx="2">
                  <c:v>3.7155586266706377E-2</c:v>
                </c:pt>
                <c:pt idx="3">
                  <c:v>3.4315926734454973E-2</c:v>
                </c:pt>
                <c:pt idx="4">
                  <c:v>3.2197309016628921E-2</c:v>
                </c:pt>
                <c:pt idx="5">
                  <c:v>3.0528073514367884E-2</c:v>
                </c:pt>
              </c:numCache>
            </c:numRef>
          </c:yVal>
        </c:ser>
        <c:ser>
          <c:idx val="2"/>
          <c:order val="2"/>
          <c:tx>
            <c:v>anillo chico</c:v>
          </c:tx>
          <c:spPr>
            <a:ln w="28575">
              <a:noFill/>
            </a:ln>
          </c:spPr>
          <c:marker>
            <c:spPr>
              <a:solidFill>
                <a:srgbClr val="9BBB59">
                  <a:alpha val="60000"/>
                </a:srgbClr>
              </a:solidFill>
            </c:spPr>
          </c:marker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m'!$E$29:$E$34</c:f>
              <c:numCache>
                <c:formatCode>0.0000</c:formatCode>
                <c:ptCount val="6"/>
                <c:pt idx="0">
                  <c:v>2.3300000000000001E-2</c:v>
                </c:pt>
                <c:pt idx="1">
                  <c:v>2.0549999999999999E-2</c:v>
                </c:pt>
                <c:pt idx="2">
                  <c:v>1.9200000000000002E-2</c:v>
                </c:pt>
                <c:pt idx="3">
                  <c:v>1.8200000000000001E-2</c:v>
                </c:pt>
                <c:pt idx="4">
                  <c:v>1.7550000000000003E-2</c:v>
                </c:pt>
                <c:pt idx="5">
                  <c:v>1.6400000000000001E-2</c:v>
                </c:pt>
              </c:numCache>
            </c:numRef>
          </c:yVal>
        </c:ser>
        <c:ser>
          <c:idx val="3"/>
          <c:order val="3"/>
          <c:tx>
            <c:v>anillo grande</c:v>
          </c:tx>
          <c:spPr>
            <a:ln w="28575">
              <a:noFill/>
            </a:ln>
          </c:spPr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m'!$H$29:$H$34</c:f>
              <c:numCache>
                <c:formatCode>0.0000</c:formatCode>
                <c:ptCount val="6"/>
                <c:pt idx="0">
                  <c:v>4.6600000000000003E-2</c:v>
                </c:pt>
                <c:pt idx="1">
                  <c:v>4.2450000000000002E-2</c:v>
                </c:pt>
                <c:pt idx="2">
                  <c:v>3.3850000000000005E-2</c:v>
                </c:pt>
                <c:pt idx="3">
                  <c:v>3.1800000000000002E-2</c:v>
                </c:pt>
                <c:pt idx="4">
                  <c:v>2.98E-2</c:v>
                </c:pt>
                <c:pt idx="5">
                  <c:v>2.835E-2</c:v>
                </c:pt>
              </c:numCache>
            </c:numRef>
          </c:yVal>
        </c:ser>
        <c:axId val="85736448"/>
        <c:axId val="85746816"/>
      </c:scatterChart>
      <c:valAx>
        <c:axId val="857364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</c:title>
        <c:numFmt formatCode="0.00" sourceLinked="1"/>
        <c:tickLblPos val="nextTo"/>
        <c:crossAx val="85746816"/>
        <c:crosses val="autoZero"/>
        <c:crossBetween val="midCat"/>
      </c:valAx>
      <c:valAx>
        <c:axId val="85746816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</c:title>
        <c:numFmt formatCode="0.0000000" sourceLinked="1"/>
        <c:tickLblPos val="nextTo"/>
        <c:crossAx val="85736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416953703703705"/>
          <c:y val="0.20402430555555556"/>
          <c:w val="0.13702376543209879"/>
          <c:h val="0.2126416666666667"/>
        </c:manualLayout>
      </c:layout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diámetros  (d3 = </a:t>
            </a:r>
            <a:r>
              <a:rPr lang="es-AR" sz="1800" b="1" i="0" u="none" strike="noStrike" baseline="0"/>
              <a:t>2,039E-10</a:t>
            </a:r>
            <a:r>
              <a:rPr lang="es-AR" baseline="0"/>
              <a:t>)</a:t>
            </a:r>
            <a:endParaRPr lang="es-AR"/>
          </a:p>
        </c:rich>
      </c:tx>
    </c:title>
    <c:plotArea>
      <c:layout>
        <c:manualLayout>
          <c:layoutTarget val="inner"/>
          <c:xMode val="edge"/>
          <c:yMode val="edge"/>
          <c:x val="0.15686033950617306"/>
          <c:y val="0.12370023148148165"/>
          <c:w val="0.80906728395061689"/>
          <c:h val="0.74031365740740762"/>
        </c:manualLayout>
      </c:layout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exp'!$F$17:$F$22</c:f>
              <c:numCache>
                <c:formatCode>0.0000000</c:formatCode>
                <c:ptCount val="6"/>
                <c:pt idx="0">
                  <c:v>2.3785705664260068E-2</c:v>
                </c:pt>
                <c:pt idx="1">
                  <c:v>2.148699418431705E-2</c:v>
                </c:pt>
                <c:pt idx="2">
                  <c:v>1.9681710049313211E-2</c:v>
                </c:pt>
                <c:pt idx="3">
                  <c:v>1.8149930672482759E-2</c:v>
                </c:pt>
                <c:pt idx="4">
                  <c:v>1.7011591071894618E-2</c:v>
                </c:pt>
                <c:pt idx="5">
                  <c:v>1.6117200453338393E-2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exp'!$G$17:$G$22</c:f>
              <c:numCache>
                <c:formatCode>0.0000000</c:formatCode>
                <c:ptCount val="6"/>
                <c:pt idx="0">
                  <c:v>4.6779173575227082E-2</c:v>
                </c:pt>
                <c:pt idx="1">
                  <c:v>4.2391343149004744E-2</c:v>
                </c:pt>
                <c:pt idx="2">
                  <c:v>3.8916394002834365E-2</c:v>
                </c:pt>
                <c:pt idx="3">
                  <c:v>3.5949755303533198E-2</c:v>
                </c:pt>
                <c:pt idx="4">
                  <c:v>3.3735165976150637E-2</c:v>
                </c:pt>
                <c:pt idx="5">
                  <c:v>3.1989629501593987E-2</c:v>
                </c:pt>
              </c:numCache>
            </c:numRef>
          </c:yVal>
        </c:ser>
        <c:ser>
          <c:idx val="2"/>
          <c:order val="2"/>
          <c:tx>
            <c:v>anillo chico</c:v>
          </c:tx>
          <c:spPr>
            <a:ln w="28575">
              <a:noFill/>
            </a:ln>
          </c:spPr>
          <c:marker>
            <c:spPr>
              <a:solidFill>
                <a:srgbClr val="9BBB59">
                  <a:alpha val="60000"/>
                </a:srgbClr>
              </a:solidFill>
            </c:spPr>
          </c:marker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m'!$E$29:$E$34</c:f>
              <c:numCache>
                <c:formatCode>0.0000</c:formatCode>
                <c:ptCount val="6"/>
                <c:pt idx="0">
                  <c:v>2.3300000000000001E-2</c:v>
                </c:pt>
                <c:pt idx="1">
                  <c:v>2.0549999999999999E-2</c:v>
                </c:pt>
                <c:pt idx="2">
                  <c:v>1.9200000000000002E-2</c:v>
                </c:pt>
                <c:pt idx="3">
                  <c:v>1.8200000000000001E-2</c:v>
                </c:pt>
                <c:pt idx="4">
                  <c:v>1.7550000000000003E-2</c:v>
                </c:pt>
                <c:pt idx="5">
                  <c:v>1.6400000000000001E-2</c:v>
                </c:pt>
              </c:numCache>
            </c:numRef>
          </c:yVal>
        </c:ser>
        <c:ser>
          <c:idx val="3"/>
          <c:order val="3"/>
          <c:tx>
            <c:v>anillo grande</c:v>
          </c:tx>
          <c:spPr>
            <a:ln w="28575">
              <a:noFill/>
            </a:ln>
          </c:spPr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m'!$H$29:$H$34</c:f>
              <c:numCache>
                <c:formatCode>0.0000</c:formatCode>
                <c:ptCount val="6"/>
                <c:pt idx="0">
                  <c:v>4.6600000000000003E-2</c:v>
                </c:pt>
                <c:pt idx="1">
                  <c:v>4.2450000000000002E-2</c:v>
                </c:pt>
                <c:pt idx="2">
                  <c:v>3.3850000000000005E-2</c:v>
                </c:pt>
                <c:pt idx="3">
                  <c:v>3.1800000000000002E-2</c:v>
                </c:pt>
                <c:pt idx="4">
                  <c:v>2.98E-2</c:v>
                </c:pt>
                <c:pt idx="5">
                  <c:v>2.835E-2</c:v>
                </c:pt>
              </c:numCache>
            </c:numRef>
          </c:yVal>
        </c:ser>
        <c:axId val="85765504"/>
        <c:axId val="83559936"/>
      </c:scatterChart>
      <c:valAx>
        <c:axId val="857655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</c:title>
        <c:numFmt formatCode="0.00" sourceLinked="1"/>
        <c:tickLblPos val="nextTo"/>
        <c:crossAx val="83559936"/>
        <c:crosses val="autoZero"/>
        <c:crossBetween val="midCat"/>
      </c:valAx>
      <c:valAx>
        <c:axId val="83559936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</c:title>
        <c:numFmt formatCode="0.0000000" sourceLinked="1"/>
        <c:tickLblPos val="nextTo"/>
        <c:crossAx val="85765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993611111111129"/>
          <c:y val="0.20696412037037051"/>
          <c:w val="0.13702376543209879"/>
          <c:h val="0.2126416666666667"/>
        </c:manualLayout>
      </c:layout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diámetros  (d4 = </a:t>
            </a:r>
            <a:r>
              <a:rPr lang="es-AR" sz="1800" b="1" i="0" u="none" strike="noStrike" baseline="0"/>
              <a:t>1,6811E-10</a:t>
            </a:r>
            <a:r>
              <a:rPr lang="es-AR" baseline="0"/>
              <a:t>)</a:t>
            </a:r>
            <a:endParaRPr lang="es-AR"/>
          </a:p>
        </c:rich>
      </c:tx>
    </c:title>
    <c:plotArea>
      <c:layout>
        <c:manualLayout>
          <c:layoutTarget val="inner"/>
          <c:xMode val="edge"/>
          <c:yMode val="edge"/>
          <c:x val="0.15686033950617306"/>
          <c:y val="0.12370023148148165"/>
          <c:w val="0.80906728395061689"/>
          <c:h val="0.74031365740740762"/>
        </c:manualLayout>
      </c:layout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exp'!$J$17:$J$22</c:f>
              <c:numCache>
                <c:formatCode>0.0000000</c:formatCode>
                <c:ptCount val="6"/>
                <c:pt idx="0">
                  <c:v>2.8773996099739404E-2</c:v>
                </c:pt>
                <c:pt idx="1">
                  <c:v>2.6005918094784884E-2</c:v>
                </c:pt>
                <c:pt idx="2">
                  <c:v>2.3829243358261889E-2</c:v>
                </c:pt>
                <c:pt idx="3">
                  <c:v>2.198060327678604E-2</c:v>
                </c:pt>
                <c:pt idx="4">
                  <c:v>2.0605839156427209E-2</c:v>
                </c:pt>
                <c:pt idx="5">
                  <c:v>1.9525161067626227E-2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exp'!$K$17:$K$22</c:f>
              <c:numCache>
                <c:formatCode>0.0000000</c:formatCode>
                <c:ptCount val="6"/>
                <c:pt idx="0">
                  <c:v>5.6136998647710309E-2</c:v>
                </c:pt>
                <c:pt idx="1">
                  <c:v>5.0973773315562895E-2</c:v>
                </c:pt>
                <c:pt idx="2">
                  <c:v>4.6861852892662467E-2</c:v>
                </c:pt>
                <c:pt idx="3">
                  <c:v>4.3337172886626051E-2</c:v>
                </c:pt>
                <c:pt idx="4">
                  <c:v>4.0698247305265743E-2</c:v>
                </c:pt>
                <c:pt idx="5">
                  <c:v>3.8613939104679217E-2</c:v>
                </c:pt>
              </c:numCache>
            </c:numRef>
          </c:yVal>
        </c:ser>
        <c:ser>
          <c:idx val="2"/>
          <c:order val="2"/>
          <c:tx>
            <c:v>anillo chico</c:v>
          </c:tx>
          <c:spPr>
            <a:ln w="28575">
              <a:noFill/>
            </a:ln>
          </c:spPr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m'!$E$29:$E$34</c:f>
              <c:numCache>
                <c:formatCode>0.0000</c:formatCode>
                <c:ptCount val="6"/>
                <c:pt idx="0">
                  <c:v>2.3300000000000001E-2</c:v>
                </c:pt>
                <c:pt idx="1">
                  <c:v>2.0549999999999999E-2</c:v>
                </c:pt>
                <c:pt idx="2">
                  <c:v>1.9200000000000002E-2</c:v>
                </c:pt>
                <c:pt idx="3">
                  <c:v>1.8200000000000001E-2</c:v>
                </c:pt>
                <c:pt idx="4">
                  <c:v>1.7550000000000003E-2</c:v>
                </c:pt>
                <c:pt idx="5">
                  <c:v>1.6400000000000001E-2</c:v>
                </c:pt>
              </c:numCache>
            </c:numRef>
          </c:yVal>
        </c:ser>
        <c:ser>
          <c:idx val="3"/>
          <c:order val="3"/>
          <c:tx>
            <c:v>anillo grande</c:v>
          </c:tx>
          <c:spPr>
            <a:ln w="28575">
              <a:noFill/>
            </a:ln>
          </c:spPr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m'!$H$29:$H$34</c:f>
              <c:numCache>
                <c:formatCode>0.0000</c:formatCode>
                <c:ptCount val="6"/>
                <c:pt idx="0">
                  <c:v>4.6600000000000003E-2</c:v>
                </c:pt>
                <c:pt idx="1">
                  <c:v>4.2450000000000002E-2</c:v>
                </c:pt>
                <c:pt idx="2">
                  <c:v>3.3850000000000005E-2</c:v>
                </c:pt>
                <c:pt idx="3">
                  <c:v>3.1800000000000002E-2</c:v>
                </c:pt>
                <c:pt idx="4">
                  <c:v>2.98E-2</c:v>
                </c:pt>
                <c:pt idx="5">
                  <c:v>2.835E-2</c:v>
                </c:pt>
              </c:numCache>
            </c:numRef>
          </c:yVal>
        </c:ser>
        <c:axId val="83611648"/>
        <c:axId val="83613568"/>
      </c:scatterChart>
      <c:valAx>
        <c:axId val="836116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</c:title>
        <c:numFmt formatCode="0.00" sourceLinked="1"/>
        <c:tickLblPos val="nextTo"/>
        <c:crossAx val="83613568"/>
        <c:crosses val="autoZero"/>
        <c:crossBetween val="midCat"/>
      </c:valAx>
      <c:valAx>
        <c:axId val="83613568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</c:title>
        <c:numFmt formatCode="0.0000000" sourceLinked="1"/>
        <c:tickLblPos val="nextTo"/>
        <c:crossAx val="83611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581574074074074"/>
          <c:y val="0.20696412037037051"/>
          <c:w val="0.13702376543209879"/>
          <c:h val="0.2126416666666667"/>
        </c:manualLayout>
      </c:layout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diámetros  (d5 = </a:t>
            </a:r>
            <a:r>
              <a:rPr lang="es-AR" sz="1800" b="1" i="0" u="none" strike="noStrike" baseline="0"/>
              <a:t>1,234E-10</a:t>
            </a:r>
            <a:r>
              <a:rPr lang="es-AR" baseline="0"/>
              <a:t>)</a:t>
            </a:r>
            <a:endParaRPr lang="es-AR"/>
          </a:p>
        </c:rich>
      </c:tx>
    </c:title>
    <c:plotArea>
      <c:layout>
        <c:manualLayout>
          <c:layoutTarget val="inner"/>
          <c:xMode val="edge"/>
          <c:yMode val="edge"/>
          <c:x val="0.15686033950617306"/>
          <c:y val="0.12370023148148165"/>
          <c:w val="0.80906728395061689"/>
          <c:h val="0.74031365740740762"/>
        </c:manualLayout>
      </c:layout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exp'!$F$29:$F$34</c:f>
              <c:numCache>
                <c:formatCode>0.0000000</c:formatCode>
                <c:ptCount val="6"/>
                <c:pt idx="0">
                  <c:v>3.8924437115104182E-2</c:v>
                </c:pt>
                <c:pt idx="1">
                  <c:v>3.5226182349847417E-2</c:v>
                </c:pt>
                <c:pt idx="2">
                  <c:v>3.2307923601073339E-2</c:v>
                </c:pt>
                <c:pt idx="3">
                  <c:v>2.982311842203194E-2</c:v>
                </c:pt>
                <c:pt idx="4">
                  <c:v>2.7971795300211304E-2</c:v>
                </c:pt>
                <c:pt idx="5">
                  <c:v>2.6514571420519325E-2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exp'!$G$29:$G$34</c:f>
              <c:numCache>
                <c:formatCode>0.0000000</c:formatCode>
                <c:ptCount val="6"/>
                <c:pt idx="0">
                  <c:v>7.4299080714564397E-2</c:v>
                </c:pt>
                <c:pt idx="1">
                  <c:v>6.7838352476485869E-2</c:v>
                </c:pt>
                <c:pt idx="2">
                  <c:v>6.2608465317889841E-2</c:v>
                </c:pt>
                <c:pt idx="3">
                  <c:v>5.8072972024283263E-2</c:v>
                </c:pt>
                <c:pt idx="4">
                  <c:v>5.4648712522384055E-2</c:v>
                </c:pt>
                <c:pt idx="5">
                  <c:v>5.1928294494444811E-2</c:v>
                </c:pt>
              </c:numCache>
            </c:numRef>
          </c:yVal>
        </c:ser>
        <c:ser>
          <c:idx val="2"/>
          <c:order val="2"/>
          <c:tx>
            <c:v>anillo chico</c:v>
          </c:tx>
          <c:spPr>
            <a:ln w="28575">
              <a:noFill/>
            </a:ln>
          </c:spPr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m'!$E$29:$E$34</c:f>
              <c:numCache>
                <c:formatCode>0.0000</c:formatCode>
                <c:ptCount val="6"/>
                <c:pt idx="0">
                  <c:v>2.3300000000000001E-2</c:v>
                </c:pt>
                <c:pt idx="1">
                  <c:v>2.0549999999999999E-2</c:v>
                </c:pt>
                <c:pt idx="2">
                  <c:v>1.9200000000000002E-2</c:v>
                </c:pt>
                <c:pt idx="3">
                  <c:v>1.8200000000000001E-2</c:v>
                </c:pt>
                <c:pt idx="4">
                  <c:v>1.7550000000000003E-2</c:v>
                </c:pt>
                <c:pt idx="5">
                  <c:v>1.6400000000000001E-2</c:v>
                </c:pt>
              </c:numCache>
            </c:numRef>
          </c:yVal>
        </c:ser>
        <c:ser>
          <c:idx val="3"/>
          <c:order val="3"/>
          <c:tx>
            <c:v>anillo grande</c:v>
          </c:tx>
          <c:spPr>
            <a:ln w="28575">
              <a:noFill/>
            </a:ln>
          </c:spPr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m'!$H$29:$H$34</c:f>
              <c:numCache>
                <c:formatCode>0.0000</c:formatCode>
                <c:ptCount val="6"/>
                <c:pt idx="0">
                  <c:v>4.6600000000000003E-2</c:v>
                </c:pt>
                <c:pt idx="1">
                  <c:v>4.2450000000000002E-2</c:v>
                </c:pt>
                <c:pt idx="2">
                  <c:v>3.3850000000000005E-2</c:v>
                </c:pt>
                <c:pt idx="3">
                  <c:v>3.1800000000000002E-2</c:v>
                </c:pt>
                <c:pt idx="4">
                  <c:v>2.98E-2</c:v>
                </c:pt>
                <c:pt idx="5">
                  <c:v>2.835E-2</c:v>
                </c:pt>
              </c:numCache>
            </c:numRef>
          </c:yVal>
        </c:ser>
        <c:axId val="87658880"/>
        <c:axId val="87660800"/>
      </c:scatterChart>
      <c:valAx>
        <c:axId val="876588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</c:title>
        <c:numFmt formatCode="0.00" sourceLinked="1"/>
        <c:tickLblPos val="nextTo"/>
        <c:crossAx val="87660800"/>
        <c:crosses val="autoZero"/>
        <c:crossBetween val="midCat"/>
      </c:valAx>
      <c:valAx>
        <c:axId val="87660800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</c:title>
        <c:numFmt formatCode="0.0000000" sourceLinked="1"/>
        <c:tickLblPos val="nextTo"/>
        <c:crossAx val="87658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189598765432112"/>
          <c:y val="0.20696412037037051"/>
          <c:w val="0.13702376543209879"/>
          <c:h val="0.2126416666666667"/>
        </c:manualLayout>
      </c:layout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diámetros  (d6 = </a:t>
            </a:r>
            <a:r>
              <a:rPr lang="es-AR" sz="1800" b="1" i="0" u="none" strike="noStrike" baseline="0"/>
              <a:t>1,1603E-10</a:t>
            </a:r>
            <a:r>
              <a:rPr lang="es-AR" baseline="0"/>
              <a:t>)</a:t>
            </a:r>
            <a:endParaRPr lang="es-AR"/>
          </a:p>
        </c:rich>
      </c:tx>
    </c:title>
    <c:plotArea>
      <c:layout>
        <c:manualLayout>
          <c:layoutTarget val="inner"/>
          <c:xMode val="edge"/>
          <c:yMode val="edge"/>
          <c:x val="0.15686033950617306"/>
          <c:y val="0.12370023148148165"/>
          <c:w val="0.80906728395061689"/>
          <c:h val="0.74031365740740762"/>
        </c:manualLayout>
      </c:layout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exp'!$J$29:$J$34</c:f>
              <c:numCache>
                <c:formatCode>0.0000000</c:formatCode>
                <c:ptCount val="6"/>
                <c:pt idx="0">
                  <c:v>4.1313859816301569E-2</c:v>
                </c:pt>
                <c:pt idx="1">
                  <c:v>3.7402645300143721E-2</c:v>
                </c:pt>
                <c:pt idx="2">
                  <c:v>3.4313227396881398E-2</c:v>
                </c:pt>
                <c:pt idx="3">
                  <c:v>3.1680743641617548E-2</c:v>
                </c:pt>
                <c:pt idx="4">
                  <c:v>2.9718331982018339E-2</c:v>
                </c:pt>
                <c:pt idx="5">
                  <c:v>2.8173078258047695E-2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exp'!$K$29:$K$34</c:f>
              <c:numCache>
                <c:formatCode>0.0000000</c:formatCode>
                <c:ptCount val="6"/>
                <c:pt idx="0">
                  <c:v>7.8363685807216574E-2</c:v>
                </c:pt>
                <c:pt idx="1">
                  <c:v>7.1664479016994437E-2</c:v>
                </c:pt>
                <c:pt idx="2">
                  <c:v>6.621406925383716E-2</c:v>
                </c:pt>
                <c:pt idx="3">
                  <c:v>6.1470527404469996E-2</c:v>
                </c:pt>
                <c:pt idx="4">
                  <c:v>5.7880149563706698E-2</c:v>
                </c:pt>
                <c:pt idx="5">
                  <c:v>5.5022778144097131E-2</c:v>
                </c:pt>
              </c:numCache>
            </c:numRef>
          </c:yVal>
        </c:ser>
        <c:ser>
          <c:idx val="2"/>
          <c:order val="2"/>
          <c:tx>
            <c:v>anillo chico</c:v>
          </c:tx>
          <c:spPr>
            <a:ln w="28575">
              <a:noFill/>
            </a:ln>
          </c:spPr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m'!$E$29:$E$34</c:f>
              <c:numCache>
                <c:formatCode>0.0000</c:formatCode>
                <c:ptCount val="6"/>
                <c:pt idx="0">
                  <c:v>2.3300000000000001E-2</c:v>
                </c:pt>
                <c:pt idx="1">
                  <c:v>2.0549999999999999E-2</c:v>
                </c:pt>
                <c:pt idx="2">
                  <c:v>1.9200000000000002E-2</c:v>
                </c:pt>
                <c:pt idx="3">
                  <c:v>1.8200000000000001E-2</c:v>
                </c:pt>
                <c:pt idx="4">
                  <c:v>1.7550000000000003E-2</c:v>
                </c:pt>
                <c:pt idx="5">
                  <c:v>1.6400000000000001E-2</c:v>
                </c:pt>
              </c:numCache>
            </c:numRef>
          </c:yVal>
        </c:ser>
        <c:ser>
          <c:idx val="3"/>
          <c:order val="3"/>
          <c:tx>
            <c:v>anillo grande</c:v>
          </c:tx>
          <c:spPr>
            <a:ln w="28575">
              <a:noFill/>
            </a:ln>
          </c:spPr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m'!$H$29:$H$34</c:f>
              <c:numCache>
                <c:formatCode>0.0000</c:formatCode>
                <c:ptCount val="6"/>
                <c:pt idx="0">
                  <c:v>4.6600000000000003E-2</c:v>
                </c:pt>
                <c:pt idx="1">
                  <c:v>4.2450000000000002E-2</c:v>
                </c:pt>
                <c:pt idx="2">
                  <c:v>3.3850000000000005E-2</c:v>
                </c:pt>
                <c:pt idx="3">
                  <c:v>3.1800000000000002E-2</c:v>
                </c:pt>
                <c:pt idx="4">
                  <c:v>2.98E-2</c:v>
                </c:pt>
                <c:pt idx="5">
                  <c:v>2.835E-2</c:v>
                </c:pt>
              </c:numCache>
            </c:numRef>
          </c:yVal>
        </c:ser>
        <c:axId val="87827200"/>
        <c:axId val="87829120"/>
      </c:scatterChart>
      <c:valAx>
        <c:axId val="8782720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</c:title>
        <c:numFmt formatCode="0.00" sourceLinked="1"/>
        <c:tickLblPos val="nextTo"/>
        <c:crossAx val="87829120"/>
        <c:crosses val="autoZero"/>
        <c:crossBetween val="midCat"/>
      </c:valAx>
      <c:valAx>
        <c:axId val="87829120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</c:title>
        <c:numFmt formatCode="0.0000000" sourceLinked="1"/>
        <c:tickLblPos val="nextTo"/>
        <c:crossAx val="87827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581574074074074"/>
          <c:y val="0.20108449074074086"/>
          <c:w val="0.13702376543209879"/>
          <c:h val="0.2126416666666667"/>
        </c:manualLayout>
      </c:layout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diámetros  (d1 = </a:t>
            </a:r>
            <a:r>
              <a:rPr lang="es-AR" sz="1800" b="1" i="0" u="none" strike="noStrike" baseline="0"/>
              <a:t>3,3756E-10</a:t>
            </a:r>
            <a:r>
              <a:rPr lang="es-AR" baseline="0"/>
              <a:t>)</a:t>
            </a:r>
            <a:endParaRPr lang="es-AR"/>
          </a:p>
        </c:rich>
      </c:tx>
    </c:title>
    <c:plotArea>
      <c:layout/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exp'!$F$5:$F$10</c:f>
              <c:numCache>
                <c:formatCode>0.0000000</c:formatCode>
                <c:ptCount val="6"/>
                <c:pt idx="0">
                  <c:v>1.4418336243067003E-2</c:v>
                </c:pt>
                <c:pt idx="1">
                  <c:v>1.3016361427838975E-2</c:v>
                </c:pt>
                <c:pt idx="2">
                  <c:v>1.1917193794663598E-2</c:v>
                </c:pt>
                <c:pt idx="3">
                  <c:v>1.098572090802682E-2</c:v>
                </c:pt>
                <c:pt idx="4">
                  <c:v>1.0294137067179099E-2</c:v>
                </c:pt>
                <c:pt idx="5">
                  <c:v>9.7511172469116371E-3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exp'!$G$5:$G$10</c:f>
              <c:numCache>
                <c:formatCode>0.0000000</c:formatCode>
                <c:ptCount val="6"/>
                <c:pt idx="0">
                  <c:v>2.8661635374646603E-2</c:v>
                </c:pt>
                <c:pt idx="1">
                  <c:v>2.5904052588636324E-2</c:v>
                </c:pt>
                <c:pt idx="2">
                  <c:v>2.3735699579017767E-2</c:v>
                </c:pt>
                <c:pt idx="3">
                  <c:v>2.1894170120045048E-2</c:v>
                </c:pt>
                <c:pt idx="4">
                  <c:v>2.0524717413571432E-2</c:v>
                </c:pt>
                <c:pt idx="5">
                  <c:v>1.9448227627033569E-2</c:v>
                </c:pt>
              </c:numCache>
            </c:numRef>
          </c:yVal>
        </c:ser>
        <c:axId val="88481792"/>
        <c:axId val="88483712"/>
      </c:scatterChart>
      <c:valAx>
        <c:axId val="884817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</c:title>
        <c:numFmt formatCode="0.00" sourceLinked="1"/>
        <c:tickLblPos val="nextTo"/>
        <c:crossAx val="88483712"/>
        <c:crosses val="autoZero"/>
        <c:crossBetween val="midCat"/>
      </c:valAx>
      <c:valAx>
        <c:axId val="88483712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</c:title>
        <c:numFmt formatCode="0.0000000" sourceLinked="1"/>
        <c:tickLblPos val="nextTo"/>
        <c:crossAx val="8848179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diámetros  (d2 = </a:t>
            </a:r>
            <a:r>
              <a:rPr lang="es-AR" sz="1800" b="1" i="0" u="none" strike="noStrike" baseline="0"/>
              <a:t>2,1386E-10</a:t>
            </a:r>
            <a:r>
              <a:rPr lang="es-AR" baseline="0"/>
              <a:t>)</a:t>
            </a:r>
            <a:endParaRPr lang="es-AR"/>
          </a:p>
        </c:rich>
      </c:tx>
    </c:title>
    <c:plotArea>
      <c:layout/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exp'!$J$5:$J$10</c:f>
              <c:numCache>
                <c:formatCode>0.0000000</c:formatCode>
                <c:ptCount val="6"/>
                <c:pt idx="0">
                  <c:v>2.2689425959857058E-2</c:v>
                </c:pt>
                <c:pt idx="1">
                  <c:v>2.0494730187754034E-2</c:v>
                </c:pt>
                <c:pt idx="2">
                  <c:v>1.8771556194259471E-2</c:v>
                </c:pt>
                <c:pt idx="3">
                  <c:v>1.730971096290412E-2</c:v>
                </c:pt>
                <c:pt idx="4">
                  <c:v>1.6223487143110164E-2</c:v>
                </c:pt>
                <c:pt idx="5">
                  <c:v>1.5370124172307044E-2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exp'!$K$5:$K$10</c:f>
              <c:numCache>
                <c:formatCode>0.0000000</c:formatCode>
                <c:ptCount val="6"/>
                <c:pt idx="0">
                  <c:v>4.4691984429176025E-2</c:v>
                </c:pt>
                <c:pt idx="1">
                  <c:v>4.0484342462307525E-2</c:v>
                </c:pt>
                <c:pt idx="2">
                  <c:v>3.7155586266706377E-2</c:v>
                </c:pt>
                <c:pt idx="3">
                  <c:v>3.4315926734454973E-2</c:v>
                </c:pt>
                <c:pt idx="4">
                  <c:v>3.2197309016628921E-2</c:v>
                </c:pt>
                <c:pt idx="5">
                  <c:v>3.0528073514367884E-2</c:v>
                </c:pt>
              </c:numCache>
            </c:numRef>
          </c:yVal>
        </c:ser>
        <c:axId val="88496768"/>
        <c:axId val="88519424"/>
      </c:scatterChart>
      <c:valAx>
        <c:axId val="8849676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</c:title>
        <c:numFmt formatCode="0.00" sourceLinked="1"/>
        <c:tickLblPos val="nextTo"/>
        <c:crossAx val="88519424"/>
        <c:crosses val="autoZero"/>
        <c:crossBetween val="midCat"/>
      </c:valAx>
      <c:valAx>
        <c:axId val="88519424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</c:title>
        <c:numFmt formatCode="0.0000000" sourceLinked="1"/>
        <c:tickLblPos val="nextTo"/>
        <c:crossAx val="8849676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diámetros  (d3 = </a:t>
            </a:r>
            <a:r>
              <a:rPr lang="es-AR" sz="1800" b="1" i="0" u="none" strike="noStrike" baseline="0"/>
              <a:t>2,039E-10</a:t>
            </a:r>
            <a:r>
              <a:rPr lang="es-AR" baseline="0"/>
              <a:t>)</a:t>
            </a:r>
            <a:endParaRPr lang="es-AR"/>
          </a:p>
        </c:rich>
      </c:tx>
    </c:title>
    <c:plotArea>
      <c:layout/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exp'!$F$17:$F$22</c:f>
              <c:numCache>
                <c:formatCode>0.0000000</c:formatCode>
                <c:ptCount val="6"/>
                <c:pt idx="0">
                  <c:v>2.3785705664260068E-2</c:v>
                </c:pt>
                <c:pt idx="1">
                  <c:v>2.148699418431705E-2</c:v>
                </c:pt>
                <c:pt idx="2">
                  <c:v>1.9681710049313211E-2</c:v>
                </c:pt>
                <c:pt idx="3">
                  <c:v>1.8149930672482759E-2</c:v>
                </c:pt>
                <c:pt idx="4">
                  <c:v>1.7011591071894618E-2</c:v>
                </c:pt>
                <c:pt idx="5">
                  <c:v>1.6117200453338393E-2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exp'!$G$17:$G$22</c:f>
              <c:numCache>
                <c:formatCode>0.0000000</c:formatCode>
                <c:ptCount val="6"/>
                <c:pt idx="0">
                  <c:v>4.6779173575227082E-2</c:v>
                </c:pt>
                <c:pt idx="1">
                  <c:v>4.2391343149004744E-2</c:v>
                </c:pt>
                <c:pt idx="2">
                  <c:v>3.8916394002834365E-2</c:v>
                </c:pt>
                <c:pt idx="3">
                  <c:v>3.5949755303533198E-2</c:v>
                </c:pt>
                <c:pt idx="4">
                  <c:v>3.3735165976150637E-2</c:v>
                </c:pt>
                <c:pt idx="5">
                  <c:v>3.1989629501593987E-2</c:v>
                </c:pt>
              </c:numCache>
            </c:numRef>
          </c:yVal>
        </c:ser>
        <c:axId val="87774720"/>
        <c:axId val="87776640"/>
      </c:scatterChart>
      <c:valAx>
        <c:axId val="8777472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</c:title>
        <c:numFmt formatCode="0.00" sourceLinked="1"/>
        <c:tickLblPos val="nextTo"/>
        <c:crossAx val="87776640"/>
        <c:crosses val="autoZero"/>
        <c:crossBetween val="midCat"/>
      </c:valAx>
      <c:valAx>
        <c:axId val="87776640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</c:title>
        <c:numFmt formatCode="0.0000000" sourceLinked="1"/>
        <c:tickLblPos val="nextTo"/>
        <c:crossAx val="877747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88725</xdr:colOff>
      <xdr:row>19</xdr:row>
      <xdr:rowOff>205200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9525</xdr:rowOff>
    </xdr:from>
    <xdr:to>
      <xdr:col>24</xdr:col>
      <xdr:colOff>88725</xdr:colOff>
      <xdr:row>19</xdr:row>
      <xdr:rowOff>214725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12</xdr:col>
      <xdr:colOff>88725</xdr:colOff>
      <xdr:row>40</xdr:row>
      <xdr:rowOff>205200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24</xdr:col>
      <xdr:colOff>88725</xdr:colOff>
      <xdr:row>40</xdr:row>
      <xdr:rowOff>205200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12</xdr:col>
      <xdr:colOff>88725</xdr:colOff>
      <xdr:row>61</xdr:row>
      <xdr:rowOff>205200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24</xdr:col>
      <xdr:colOff>88725</xdr:colOff>
      <xdr:row>61</xdr:row>
      <xdr:rowOff>205200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88725</xdr:colOff>
      <xdr:row>19</xdr:row>
      <xdr:rowOff>205200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9525</xdr:rowOff>
    </xdr:from>
    <xdr:to>
      <xdr:col>24</xdr:col>
      <xdr:colOff>88725</xdr:colOff>
      <xdr:row>19</xdr:row>
      <xdr:rowOff>214725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12</xdr:col>
      <xdr:colOff>88725</xdr:colOff>
      <xdr:row>40</xdr:row>
      <xdr:rowOff>205200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24</xdr:col>
      <xdr:colOff>88725</xdr:colOff>
      <xdr:row>40</xdr:row>
      <xdr:rowOff>205200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12</xdr:col>
      <xdr:colOff>88725</xdr:colOff>
      <xdr:row>61</xdr:row>
      <xdr:rowOff>205200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24</xdr:col>
      <xdr:colOff>88725</xdr:colOff>
      <xdr:row>61</xdr:row>
      <xdr:rowOff>205200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88725</xdr:colOff>
      <xdr:row>19</xdr:row>
      <xdr:rowOff>205200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9525</xdr:rowOff>
    </xdr:from>
    <xdr:to>
      <xdr:col>24</xdr:col>
      <xdr:colOff>88725</xdr:colOff>
      <xdr:row>19</xdr:row>
      <xdr:rowOff>214725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12</xdr:col>
      <xdr:colOff>88725</xdr:colOff>
      <xdr:row>40</xdr:row>
      <xdr:rowOff>205200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24</xdr:col>
      <xdr:colOff>88725</xdr:colOff>
      <xdr:row>40</xdr:row>
      <xdr:rowOff>205200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12</xdr:col>
      <xdr:colOff>88725</xdr:colOff>
      <xdr:row>61</xdr:row>
      <xdr:rowOff>205200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24</xdr:col>
      <xdr:colOff>88725</xdr:colOff>
      <xdr:row>61</xdr:row>
      <xdr:rowOff>205200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ni/Documents/FIUBA/Fisica%20III%20D/TP%20-%20Datos,%20tablas%20y%20graficos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k/Desktop/TP%20-%20Datos,%20tablas%20y%20grafico2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os"/>
      <sheetName val="Tablas teo"/>
      <sheetName val="Diametros medidos"/>
      <sheetName val="Graficos"/>
      <sheetName val="Hoja1"/>
      <sheetName val="Hoja2"/>
      <sheetName val="Tablas exp"/>
      <sheetName val="Hoja3"/>
    </sheetNames>
    <sheetDataSet>
      <sheetData sheetId="0">
        <row r="8">
          <cell r="C8">
            <v>4.08</v>
          </cell>
          <cell r="G8">
            <v>3.3756000000000002E-10</v>
          </cell>
        </row>
        <row r="9">
          <cell r="C9">
            <v>5.01</v>
          </cell>
          <cell r="G9">
            <v>2.1386E-10</v>
          </cell>
        </row>
        <row r="10">
          <cell r="C10">
            <v>5.98</v>
          </cell>
          <cell r="G10">
            <v>2.0390000000000001E-10</v>
          </cell>
        </row>
        <row r="11">
          <cell r="C11">
            <v>7.04</v>
          </cell>
          <cell r="G11">
            <v>1.6811E-10</v>
          </cell>
        </row>
        <row r="12">
          <cell r="C12">
            <v>8.02</v>
          </cell>
          <cell r="G12">
            <v>1.2340000000000001E-10</v>
          </cell>
          <cell r="Q12">
            <v>0.127</v>
          </cell>
        </row>
        <row r="13">
          <cell r="C13">
            <v>8.94</v>
          </cell>
          <cell r="G13">
            <v>1.1603000000000001E-10</v>
          </cell>
        </row>
        <row r="25">
          <cell r="C25">
            <v>1.9200442309962973E-11</v>
          </cell>
        </row>
        <row r="26">
          <cell r="C26">
            <v>1.7326963152814802E-11</v>
          </cell>
        </row>
        <row r="27">
          <cell r="C27">
            <v>1.5859544964668928E-11</v>
          </cell>
        </row>
        <row r="28">
          <cell r="C28">
            <v>1.4616890205012538E-11</v>
          </cell>
        </row>
        <row r="29">
          <cell r="C29">
            <v>1.369475067619152E-11</v>
          </cell>
        </row>
        <row r="30">
          <cell r="C30">
            <v>1.2970972976567375E-11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H5">
            <v>2.8443878995750922E-2</v>
          </cell>
          <cell r="K5">
            <v>5.6910803273324838E-2</v>
          </cell>
          <cell r="T5">
            <v>4.490530424891568E-2</v>
          </cell>
          <cell r="W5">
            <v>8.9901480399470698E-2</v>
          </cell>
          <cell r="AF5">
            <v>4.7100400549488643E-2</v>
          </cell>
          <cell r="AI5">
            <v>9.4305698529887655E-2</v>
          </cell>
        </row>
        <row r="6">
          <cell r="H6">
            <v>2.5667830767893748E-2</v>
          </cell>
          <cell r="K6">
            <v>5.1352591992264718E-2</v>
          </cell>
          <cell r="T6">
            <v>4.0521148807983597E-2</v>
          </cell>
          <cell r="W6">
            <v>8.110902374018325E-2</v>
          </cell>
          <cell r="AF6">
            <v>4.2501669445939805E-2</v>
          </cell>
          <cell r="AI6">
            <v>8.5080357233520962E-2</v>
          </cell>
        </row>
        <row r="7">
          <cell r="H7">
            <v>2.3493607067583813E-2</v>
          </cell>
          <cell r="K7">
            <v>4.7000193962075464E-2</v>
          </cell>
          <cell r="T7">
            <v>3.7087770869161943E-2</v>
          </cell>
          <cell r="W7">
            <v>7.4226679240878154E-2</v>
          </cell>
          <cell r="AF7">
            <v>3.8900307841866523E-2</v>
          </cell>
          <cell r="AI7">
            <v>7.785963735689673E-2</v>
          </cell>
        </row>
        <row r="8">
          <cell r="H8">
            <v>2.1652494976061504E-2</v>
          </cell>
          <cell r="K8">
            <v>4.331514964033651E-2</v>
          </cell>
          <cell r="T8">
            <v>3.4180624665518078E-2</v>
          </cell>
          <cell r="W8">
            <v>6.8401264928557415E-2</v>
          </cell>
          <cell r="AF8">
            <v>3.5850960851218548E-2</v>
          </cell>
          <cell r="AI8">
            <v>7.1748104572025892E-2</v>
          </cell>
        </row>
        <row r="9">
          <cell r="H9">
            <v>2.0286304702731052E-2</v>
          </cell>
          <cell r="K9">
            <v>4.0580963930725689E-2</v>
          </cell>
          <cell r="T9">
            <v>3.2023500485978386E-2</v>
          </cell>
          <cell r="W9">
            <v>6.4079900288268321E-2</v>
          </cell>
          <cell r="AF9">
            <v>3.3588342402398566E-2</v>
          </cell>
          <cell r="AI9">
            <v>6.7214653391885662E-2</v>
          </cell>
        </row>
        <row r="10">
          <cell r="H10">
            <v>1.9214022858225384E-2</v>
          </cell>
          <cell r="K10">
            <v>3.8435143710458849E-2</v>
          </cell>
          <cell r="T10">
            <v>3.0330501125339367E-2</v>
          </cell>
          <cell r="W10">
            <v>6.0688949481535609E-2</v>
          </cell>
          <cell r="AF10">
            <v>3.1812557846128679E-2</v>
          </cell>
          <cell r="AI10">
            <v>6.3657368384342078E-2</v>
          </cell>
        </row>
        <row r="17">
          <cell r="H17">
            <v>5.7137867128729043E-2</v>
          </cell>
          <cell r="K17">
            <v>0.11446334779258088</v>
          </cell>
          <cell r="T17">
            <v>7.7876270587083712E-2</v>
          </cell>
          <cell r="W17">
            <v>0.15622991911076617</v>
          </cell>
          <cell r="AF17">
            <v>8.2833823237455001E-2</v>
          </cell>
          <cell r="AI17">
            <v>0.16624293560566494</v>
          </cell>
        </row>
        <row r="18">
          <cell r="H18">
            <v>5.1557438189382063E-2</v>
          </cell>
          <cell r="K18">
            <v>0.10325256606754596</v>
          </cell>
          <cell r="T18">
            <v>7.0264298131418171E-2</v>
          </cell>
          <cell r="W18">
            <v>0.14087852633684941</v>
          </cell>
          <cell r="AF18">
            <v>7.4735427448305608E-2</v>
          </cell>
          <cell r="AI18">
            <v>0.14989241202044953</v>
          </cell>
        </row>
        <row r="19">
          <cell r="H19">
            <v>4.7187651442281646E-2</v>
          </cell>
          <cell r="K19">
            <v>9.4480785873768E-2</v>
          </cell>
          <cell r="T19">
            <v>6.4305026216929337E-2</v>
          </cell>
          <cell r="W19">
            <v>0.12887790447002953</v>
          </cell>
          <cell r="AF19">
            <v>6.8395746001124358E-2</v>
          </cell>
          <cell r="AI19">
            <v>0.13711409242629838</v>
          </cell>
        </row>
        <row r="20">
          <cell r="H20">
            <v>4.3487890242276103E-2</v>
          </cell>
          <cell r="K20">
            <v>8.7058297969712498E-2</v>
          </cell>
          <cell r="T20">
            <v>5.9260327975454129E-2</v>
          </cell>
          <cell r="W20">
            <v>0.1187300545232205</v>
          </cell>
          <cell r="AF20">
            <v>6.3029271535277209E-2</v>
          </cell>
          <cell r="AI20">
            <v>0.12631069497147168</v>
          </cell>
        </row>
        <row r="21">
          <cell r="H21">
            <v>4.0742788155224717E-2</v>
          </cell>
          <cell r="K21">
            <v>8.1553405501542345E-2</v>
          </cell>
          <cell r="T21">
            <v>5.5517780611368646E-2</v>
          </cell>
          <cell r="W21">
            <v>0.11120760877078757</v>
          </cell>
          <cell r="AF21">
            <v>5.9048143256869558E-2</v>
          </cell>
          <cell r="AI21">
            <v>0.11830343465639946</v>
          </cell>
        </row>
        <row r="22">
          <cell r="H22">
            <v>3.8588402352913602E-2</v>
          </cell>
          <cell r="K22">
            <v>7.7234415565286069E-2</v>
          </cell>
          <cell r="T22">
            <v>5.2580842019186183E-2</v>
          </cell>
          <cell r="W22">
            <v>0.10530776432975918</v>
          </cell>
          <cell r="AF22">
            <v>5.5924056555324259E-2</v>
          </cell>
          <cell r="AI22">
            <v>0.11202397951915245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os"/>
      <sheetName val="Tablas teo"/>
      <sheetName val="Tablas exp"/>
      <sheetName val="Diametros medidos en m"/>
      <sheetName val="Graficos"/>
      <sheetName val="Graficos comparatorios"/>
      <sheetName val="Tablas exp con errores"/>
      <sheetName val="Graficos exp vs medidos"/>
      <sheetName val="numeros exp vs medidos"/>
      <sheetName val="numeros exp vs medidos cruzados"/>
    </sheetNames>
    <sheetDataSet>
      <sheetData sheetId="0">
        <row r="8">
          <cell r="C8">
            <v>4.08</v>
          </cell>
          <cell r="F8">
            <v>3.3756000000000002E-10</v>
          </cell>
        </row>
        <row r="9">
          <cell r="C9">
            <v>5.01</v>
          </cell>
          <cell r="F9">
            <v>2.1386E-10</v>
          </cell>
        </row>
        <row r="10">
          <cell r="C10">
            <v>5.98</v>
          </cell>
          <cell r="F10">
            <v>2.0390000000000001E-10</v>
          </cell>
        </row>
        <row r="11">
          <cell r="C11">
            <v>7.04</v>
          </cell>
          <cell r="F11">
            <v>1.6811E-10</v>
          </cell>
        </row>
        <row r="12">
          <cell r="C12">
            <v>8.02</v>
          </cell>
          <cell r="F12">
            <v>1.2340000000000001E-10</v>
          </cell>
        </row>
        <row r="13">
          <cell r="C13">
            <v>8.94</v>
          </cell>
          <cell r="F13">
            <v>1.1603000000000001E-10</v>
          </cell>
        </row>
        <row r="25">
          <cell r="C25">
            <v>1.9200442309962973E-11</v>
          </cell>
        </row>
        <row r="26">
          <cell r="C26">
            <v>1.7326963152814802E-11</v>
          </cell>
        </row>
        <row r="27">
          <cell r="C27">
            <v>1.5859544964668928E-11</v>
          </cell>
        </row>
        <row r="28">
          <cell r="C28">
            <v>1.4616890205012538E-11</v>
          </cell>
        </row>
        <row r="29">
          <cell r="C29">
            <v>1.369475067619152E-11</v>
          </cell>
        </row>
        <row r="30">
          <cell r="C30">
            <v>1.2970972976567375E-11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A16" sqref="A16"/>
    </sheetView>
  </sheetViews>
  <sheetFormatPr defaultColWidth="12.7109375" defaultRowHeight="15.95" customHeight="1"/>
  <cols>
    <col min="1" max="1" width="12.7109375" style="1"/>
    <col min="2" max="3" width="12.7109375" style="1" customWidth="1"/>
    <col min="4" max="4" width="3.7109375" style="1" customWidth="1"/>
    <col min="5" max="6" width="12.7109375" style="1"/>
    <col min="7" max="7" width="3.7109375" style="1" customWidth="1"/>
    <col min="8" max="9" width="12.7109375" style="1"/>
    <col min="10" max="10" width="3.7109375" style="1" customWidth="1"/>
    <col min="11" max="13" width="12.7109375" style="1"/>
    <col min="14" max="14" width="3.7109375" style="1" customWidth="1"/>
    <col min="15" max="16384" width="12.7109375" style="1"/>
  </cols>
  <sheetData>
    <row r="1" spans="1:17" ht="15.95" customHeight="1">
      <c r="A1" s="12" t="s">
        <v>23</v>
      </c>
    </row>
    <row r="2" spans="1:17" customFormat="1" ht="15.95" customHeight="1"/>
    <row r="4" spans="1:17" ht="15.95" customHeight="1">
      <c r="A4" s="185" t="s">
        <v>45</v>
      </c>
      <c r="B4" s="185"/>
      <c r="C4" s="185"/>
      <c r="E4" s="185" t="s">
        <v>31</v>
      </c>
      <c r="F4" s="185"/>
      <c r="H4" s="185" t="s">
        <v>30</v>
      </c>
      <c r="I4" s="185"/>
      <c r="K4" s="185" t="s">
        <v>32</v>
      </c>
      <c r="L4" s="185"/>
      <c r="M4" s="185"/>
      <c r="O4" s="185" t="s">
        <v>33</v>
      </c>
      <c r="P4" s="185"/>
      <c r="Q4" s="185"/>
    </row>
    <row r="5" spans="1:17" customFormat="1" ht="15.95" customHeight="1"/>
    <row r="7" spans="1:17" ht="15.95" customHeight="1">
      <c r="A7" s="2"/>
      <c r="B7" s="10" t="s">
        <v>21</v>
      </c>
      <c r="C7" s="11" t="s">
        <v>22</v>
      </c>
    </row>
    <row r="8" spans="1:17" ht="15.95" customHeight="1">
      <c r="A8" s="3" t="s">
        <v>3</v>
      </c>
      <c r="B8" s="3">
        <v>4</v>
      </c>
      <c r="C8" s="3">
        <v>4.08</v>
      </c>
      <c r="E8" s="3" t="s">
        <v>24</v>
      </c>
      <c r="F8" s="19">
        <f>3.3756*10^-10</f>
        <v>3.3756000000000002E-10</v>
      </c>
      <c r="H8" s="3" t="s">
        <v>13</v>
      </c>
      <c r="I8" s="3">
        <v>1</v>
      </c>
      <c r="K8" s="3" t="s">
        <v>8</v>
      </c>
      <c r="L8" s="6">
        <f>9.10938215*(10^-31)</f>
        <v>9.109382150000001E-31</v>
      </c>
      <c r="M8" s="8" t="s">
        <v>9</v>
      </c>
      <c r="O8" s="3" t="s">
        <v>0</v>
      </c>
      <c r="P8" s="13">
        <f>6.62606896*10^(-34)</f>
        <v>6.6260689600000005E-34</v>
      </c>
      <c r="Q8" s="8" t="s">
        <v>1</v>
      </c>
    </row>
    <row r="9" spans="1:17" ht="15.95" customHeight="1">
      <c r="A9" s="4" t="s">
        <v>4</v>
      </c>
      <c r="B9" s="4">
        <v>5</v>
      </c>
      <c r="C9" s="4">
        <v>5.01</v>
      </c>
      <c r="E9" s="4" t="s">
        <v>25</v>
      </c>
      <c r="F9" s="20">
        <f>2.1386*10^-10</f>
        <v>2.1386E-10</v>
      </c>
      <c r="H9" s="5" t="s">
        <v>14</v>
      </c>
      <c r="I9" s="5">
        <v>2</v>
      </c>
      <c r="K9" s="5" t="s">
        <v>11</v>
      </c>
      <c r="L9" s="7">
        <f>1.602176487*10^(-19)</f>
        <v>1.6021764869999998E-19</v>
      </c>
      <c r="M9" s="9" t="s">
        <v>12</v>
      </c>
      <c r="O9" s="5" t="s">
        <v>5</v>
      </c>
      <c r="P9" s="14">
        <v>299792458</v>
      </c>
      <c r="Q9" s="9" t="s">
        <v>6</v>
      </c>
    </row>
    <row r="10" spans="1:17" ht="15.95" customHeight="1">
      <c r="A10" s="4" t="s">
        <v>16</v>
      </c>
      <c r="B10" s="4">
        <v>6</v>
      </c>
      <c r="C10" s="4">
        <v>5.98</v>
      </c>
      <c r="E10" s="4" t="s">
        <v>26</v>
      </c>
      <c r="F10" s="20">
        <f>2.039*10^-10</f>
        <v>2.0390000000000001E-10</v>
      </c>
    </row>
    <row r="11" spans="1:17" ht="15.95" customHeight="1">
      <c r="A11" s="4" t="s">
        <v>17</v>
      </c>
      <c r="B11" s="4">
        <v>7</v>
      </c>
      <c r="C11" s="4">
        <v>7.04</v>
      </c>
      <c r="E11" s="4" t="s">
        <v>27</v>
      </c>
      <c r="F11" s="20">
        <f>1.6811*10^-10</f>
        <v>1.6811E-10</v>
      </c>
    </row>
    <row r="12" spans="1:17" ht="15.95" customHeight="1">
      <c r="A12" s="4" t="s">
        <v>18</v>
      </c>
      <c r="B12" s="4">
        <v>8</v>
      </c>
      <c r="C12" s="4">
        <v>8.02</v>
      </c>
      <c r="E12" s="4" t="s">
        <v>28</v>
      </c>
      <c r="F12" s="20">
        <f>1.234*10^-10</f>
        <v>1.2340000000000001E-10</v>
      </c>
      <c r="O12" s="10" t="s">
        <v>46</v>
      </c>
      <c r="P12" s="10">
        <v>0.127</v>
      </c>
      <c r="Q12" s="39" t="s">
        <v>8</v>
      </c>
    </row>
    <row r="13" spans="1:17" ht="15.95" customHeight="1">
      <c r="A13" s="5" t="s">
        <v>19</v>
      </c>
      <c r="B13" s="5">
        <v>9</v>
      </c>
      <c r="C13" s="5">
        <v>8.94</v>
      </c>
      <c r="E13" s="5" t="s">
        <v>29</v>
      </c>
      <c r="F13" s="21">
        <f>1.1603*10^-10</f>
        <v>1.1603000000000001E-10</v>
      </c>
    </row>
    <row r="16" spans="1:17" s="22" customFormat="1" ht="15.95" customHeight="1"/>
    <row r="17" spans="1:17" customFormat="1" ht="15.95" customHeight="1"/>
    <row r="19" spans="1:17" ht="15.95" customHeight="1">
      <c r="A19" s="12" t="s">
        <v>37</v>
      </c>
    </row>
    <row r="21" spans="1:17" customFormat="1" ht="15.95" customHeight="1"/>
    <row r="22" spans="1:17" ht="15.95" customHeight="1">
      <c r="A22" s="185" t="s">
        <v>38</v>
      </c>
      <c r="B22" s="185"/>
      <c r="C22" s="185"/>
      <c r="O22" s="185" t="s">
        <v>33</v>
      </c>
      <c r="P22" s="185"/>
      <c r="Q22" s="185"/>
    </row>
    <row r="24" spans="1:17" ht="15.95" customHeight="1">
      <c r="A24" s="2"/>
      <c r="B24" s="23" t="s">
        <v>40</v>
      </c>
      <c r="C24" s="10" t="s">
        <v>39</v>
      </c>
      <c r="O24" s="3" t="s">
        <v>2</v>
      </c>
      <c r="P24" s="13">
        <f>P8*P9</f>
        <v>1.9864455003959039E-25</v>
      </c>
      <c r="Q24" s="8" t="s">
        <v>34</v>
      </c>
    </row>
    <row r="25" spans="1:17" ht="15.95" customHeight="1">
      <c r="A25" s="4" t="s">
        <v>3</v>
      </c>
      <c r="B25" s="24">
        <f>$P$24 / (SQRT(   ($P$26*B8*1000*$L$9)   +   (B8*$L$9)^2   )   )</f>
        <v>1.9391496193579687E-11</v>
      </c>
      <c r="C25" s="25">
        <f>$P$24 / (SQRT(   ($P$26*C8*1000*$L$9)   +   (C8*$L$9)^2   )   )</f>
        <v>1.9200442309962973E-11</v>
      </c>
      <c r="O25" s="4" t="s">
        <v>7</v>
      </c>
      <c r="P25" s="16">
        <f>P9*P9</f>
        <v>8.987551787368176E+16</v>
      </c>
      <c r="Q25" s="18" t="s">
        <v>35</v>
      </c>
    </row>
    <row r="26" spans="1:17" ht="15.95" customHeight="1">
      <c r="A26" s="4" t="s">
        <v>4</v>
      </c>
      <c r="B26" s="24">
        <f t="shared" ref="B26:C30" si="0">$P$24 / (SQRT(   ($P$26*B9*1000*$L$9)   +   (B9*$L$9)^2   )   )</f>
        <v>1.7344281461223561E-11</v>
      </c>
      <c r="C26" s="25">
        <f t="shared" si="0"/>
        <v>1.7326963152814802E-11</v>
      </c>
      <c r="O26" s="5" t="s">
        <v>10</v>
      </c>
      <c r="P26" s="17">
        <f>2*L8*P25</f>
        <v>1.6374208764810454E-13</v>
      </c>
      <c r="Q26" s="9" t="s">
        <v>36</v>
      </c>
    </row>
    <row r="27" spans="1:17" ht="15.95" customHeight="1">
      <c r="A27" s="4" t="s">
        <v>16</v>
      </c>
      <c r="B27" s="24">
        <f t="shared" si="0"/>
        <v>1.5833090325638536E-11</v>
      </c>
      <c r="C27" s="25">
        <f t="shared" si="0"/>
        <v>1.5859544964668928E-11</v>
      </c>
    </row>
    <row r="28" spans="1:17" ht="15.95" customHeight="1">
      <c r="A28" s="4" t="s">
        <v>17</v>
      </c>
      <c r="B28" s="24">
        <f t="shared" si="0"/>
        <v>1.4658593257818949E-11</v>
      </c>
      <c r="C28" s="25">
        <f t="shared" si="0"/>
        <v>1.4616890205012538E-11</v>
      </c>
    </row>
    <row r="29" spans="1:17" ht="15.95" customHeight="1">
      <c r="A29" s="4" t="s">
        <v>18</v>
      </c>
      <c r="B29" s="24">
        <f t="shared" si="0"/>
        <v>1.371185842899988E-11</v>
      </c>
      <c r="C29" s="25">
        <f t="shared" si="0"/>
        <v>1.369475067619152E-11</v>
      </c>
    </row>
    <row r="30" spans="1:17" ht="15.95" customHeight="1">
      <c r="A30" s="5" t="s">
        <v>19</v>
      </c>
      <c r="B30" s="15">
        <f t="shared" si="0"/>
        <v>1.2927664097429612E-11</v>
      </c>
      <c r="C30" s="15">
        <f t="shared" si="0"/>
        <v>1.2970972976567375E-11</v>
      </c>
    </row>
  </sheetData>
  <mergeCells count="7">
    <mergeCell ref="O22:Q22"/>
    <mergeCell ref="A22:C22"/>
    <mergeCell ref="H4:I4"/>
    <mergeCell ref="E4:F4"/>
    <mergeCell ref="A4:C4"/>
    <mergeCell ref="K4:M4"/>
    <mergeCell ref="O4:Q4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1:R23"/>
  <sheetViews>
    <sheetView topLeftCell="A4" workbookViewId="0">
      <selection activeCell="B12" sqref="B12"/>
    </sheetView>
  </sheetViews>
  <sheetFormatPr defaultColWidth="11.7109375" defaultRowHeight="18" customHeight="1"/>
  <cols>
    <col min="1" max="1" width="3.7109375" style="1" customWidth="1"/>
    <col min="2" max="16384" width="11.7109375" style="1"/>
  </cols>
  <sheetData>
    <row r="1" spans="2:18" ht="12" customHeight="1" thickBot="1"/>
    <row r="2" spans="2:18" ht="18" customHeight="1" thickTop="1">
      <c r="B2" s="190" t="s">
        <v>41</v>
      </c>
      <c r="C2" s="193" t="s">
        <v>20</v>
      </c>
      <c r="D2" s="196">
        <f>[2]Datos!$F$8</f>
        <v>3.3756000000000002E-10</v>
      </c>
      <c r="E2" s="197"/>
      <c r="F2" s="196">
        <f>[2]Datos!$F$9</f>
        <v>2.1386E-10</v>
      </c>
      <c r="G2" s="197"/>
      <c r="H2" s="196">
        <f>[2]Datos!$F$10</f>
        <v>2.0390000000000001E-10</v>
      </c>
      <c r="I2" s="198"/>
      <c r="J2" s="196">
        <f>[2]Datos!$F$11</f>
        <v>1.6811E-10</v>
      </c>
      <c r="K2" s="198"/>
      <c r="L2" s="196">
        <f>[2]Datos!$F$12</f>
        <v>1.2340000000000001E-10</v>
      </c>
      <c r="M2" s="198"/>
      <c r="N2" s="196">
        <f>[2]Datos!$F$13</f>
        <v>1.1603000000000001E-10</v>
      </c>
      <c r="O2" s="214"/>
    </row>
    <row r="3" spans="2:18" ht="18" customHeight="1">
      <c r="B3" s="191"/>
      <c r="C3" s="194"/>
      <c r="D3" s="187" t="s">
        <v>42</v>
      </c>
      <c r="E3" s="189"/>
      <c r="F3" s="187" t="s">
        <v>42</v>
      </c>
      <c r="G3" s="189"/>
      <c r="H3" s="187" t="s">
        <v>42</v>
      </c>
      <c r="I3" s="189"/>
      <c r="J3" s="187" t="s">
        <v>42</v>
      </c>
      <c r="K3" s="189"/>
      <c r="L3" s="187" t="s">
        <v>42</v>
      </c>
      <c r="M3" s="189"/>
      <c r="N3" s="187" t="s">
        <v>42</v>
      </c>
      <c r="O3" s="188"/>
    </row>
    <row r="4" spans="2:18" ht="18" customHeight="1" thickBot="1">
      <c r="B4" s="192"/>
      <c r="C4" s="195"/>
      <c r="D4" s="27" t="s">
        <v>43</v>
      </c>
      <c r="E4" s="28" t="s">
        <v>44</v>
      </c>
      <c r="F4" s="27" t="s">
        <v>43</v>
      </c>
      <c r="G4" s="28" t="s">
        <v>44</v>
      </c>
      <c r="H4" s="27" t="s">
        <v>43</v>
      </c>
      <c r="I4" s="28" t="s">
        <v>44</v>
      </c>
      <c r="J4" s="27" t="s">
        <v>43</v>
      </c>
      <c r="K4" s="28" t="s">
        <v>44</v>
      </c>
      <c r="L4" s="59" t="s">
        <v>43</v>
      </c>
      <c r="M4" s="48" t="s">
        <v>44</v>
      </c>
      <c r="N4" s="42" t="s">
        <v>43</v>
      </c>
      <c r="O4" s="43" t="s">
        <v>44</v>
      </c>
      <c r="Q4" s="163" t="s">
        <v>51</v>
      </c>
      <c r="R4" s="181" t="s">
        <v>52</v>
      </c>
    </row>
    <row r="5" spans="2:18" ht="18" customHeight="1">
      <c r="B5" s="32">
        <f>[2]Datos!C8</f>
        <v>4.08</v>
      </c>
      <c r="C5" s="98">
        <f>[2]Datos!C25</f>
        <v>1.9200442309962973E-11</v>
      </c>
      <c r="D5" s="160">
        <v>1.4418336243067003E-2</v>
      </c>
      <c r="E5" s="170">
        <v>2.8661635374646603E-2</v>
      </c>
      <c r="F5" s="167">
        <v>2.2689425959857058E-2</v>
      </c>
      <c r="G5" s="170">
        <v>4.4691984429176025E-2</v>
      </c>
      <c r="H5" s="167">
        <v>2.3785705664260068E-2</v>
      </c>
      <c r="I5" s="170">
        <v>4.6779173575227082E-2</v>
      </c>
      <c r="J5" s="167">
        <v>2.8773996099739404E-2</v>
      </c>
      <c r="K5" s="170">
        <v>5.6136998647710309E-2</v>
      </c>
      <c r="L5" s="173">
        <v>7.7876270587083712E-2</v>
      </c>
      <c r="M5" s="176">
        <v>0.15622991911076617</v>
      </c>
      <c r="N5" s="173">
        <v>4.1313859816301569E-2</v>
      </c>
      <c r="O5" s="161">
        <v>7.8363685807216574E-2</v>
      </c>
      <c r="Q5" s="182">
        <v>2.3300000000000001E-2</v>
      </c>
      <c r="R5" s="179">
        <v>4.6600000000000003E-2</v>
      </c>
    </row>
    <row r="6" spans="2:18" ht="18" customHeight="1">
      <c r="B6" s="33">
        <f>[2]Datos!C9</f>
        <v>5.01</v>
      </c>
      <c r="C6" s="99">
        <f>[2]Datos!C26</f>
        <v>1.7326963152814802E-11</v>
      </c>
      <c r="D6" s="162">
        <v>1.3016361427838975E-2</v>
      </c>
      <c r="E6" s="171">
        <v>2.5904052588636324E-2</v>
      </c>
      <c r="F6" s="168">
        <v>2.0494730187754034E-2</v>
      </c>
      <c r="G6" s="171">
        <v>4.0484342462307525E-2</v>
      </c>
      <c r="H6" s="168">
        <v>2.148699418431705E-2</v>
      </c>
      <c r="I6" s="171">
        <v>4.2391343149004744E-2</v>
      </c>
      <c r="J6" s="168">
        <v>2.6005918094784884E-2</v>
      </c>
      <c r="K6" s="171">
        <v>5.0973773315562895E-2</v>
      </c>
      <c r="L6" s="174">
        <v>7.0264298131418171E-2</v>
      </c>
      <c r="M6" s="177">
        <v>0.14087852633684941</v>
      </c>
      <c r="N6" s="174">
        <v>3.7402645300143721E-2</v>
      </c>
      <c r="O6" s="164">
        <v>7.1664479016994437E-2</v>
      </c>
      <c r="Q6" s="182">
        <v>2.0549999999999999E-2</v>
      </c>
      <c r="R6" s="179">
        <v>4.2450000000000002E-2</v>
      </c>
    </row>
    <row r="7" spans="2:18" ht="18" customHeight="1">
      <c r="B7" s="33">
        <f>[2]Datos!C10</f>
        <v>5.98</v>
      </c>
      <c r="C7" s="99">
        <f>[2]Datos!C27</f>
        <v>1.5859544964668928E-11</v>
      </c>
      <c r="D7" s="162">
        <v>1.1917193794663598E-2</v>
      </c>
      <c r="E7" s="171">
        <v>2.3735699579017767E-2</v>
      </c>
      <c r="F7" s="168">
        <v>1.8771556194259471E-2</v>
      </c>
      <c r="G7" s="171">
        <v>3.7155586266706377E-2</v>
      </c>
      <c r="H7" s="168">
        <v>1.9681710049313211E-2</v>
      </c>
      <c r="I7" s="171">
        <v>3.8916394002834365E-2</v>
      </c>
      <c r="J7" s="168">
        <v>2.3829243358261889E-2</v>
      </c>
      <c r="K7" s="171">
        <v>4.6861852892662467E-2</v>
      </c>
      <c r="L7" s="174">
        <v>6.4305026216929337E-2</v>
      </c>
      <c r="M7" s="177">
        <v>0.12887790447002953</v>
      </c>
      <c r="N7" s="174">
        <v>3.4313227396881398E-2</v>
      </c>
      <c r="O7" s="164">
        <v>6.621406925383716E-2</v>
      </c>
      <c r="Q7" s="182">
        <v>1.9200000000000002E-2</v>
      </c>
      <c r="R7" s="179">
        <v>3.3850000000000005E-2</v>
      </c>
    </row>
    <row r="8" spans="2:18" ht="18" customHeight="1">
      <c r="B8" s="33">
        <f>[2]Datos!C11</f>
        <v>7.04</v>
      </c>
      <c r="C8" s="99">
        <f>[2]Datos!C28</f>
        <v>1.4616890205012538E-11</v>
      </c>
      <c r="D8" s="162">
        <v>1.098572090802682E-2</v>
      </c>
      <c r="E8" s="171">
        <v>2.1894170120045048E-2</v>
      </c>
      <c r="F8" s="168">
        <v>1.730971096290412E-2</v>
      </c>
      <c r="G8" s="171">
        <v>3.4315926734454973E-2</v>
      </c>
      <c r="H8" s="168">
        <v>1.8149930672482759E-2</v>
      </c>
      <c r="I8" s="171">
        <v>3.5949755303533198E-2</v>
      </c>
      <c r="J8" s="168">
        <v>2.198060327678604E-2</v>
      </c>
      <c r="K8" s="171">
        <v>4.3337172886626051E-2</v>
      </c>
      <c r="L8" s="174">
        <v>5.9260327975454129E-2</v>
      </c>
      <c r="M8" s="177">
        <v>0.1187300545232205</v>
      </c>
      <c r="N8" s="174">
        <v>3.1680743641617548E-2</v>
      </c>
      <c r="O8" s="164">
        <v>6.1470527404469996E-2</v>
      </c>
      <c r="Q8" s="182">
        <v>1.8200000000000001E-2</v>
      </c>
      <c r="R8" s="179">
        <v>3.1800000000000002E-2</v>
      </c>
    </row>
    <row r="9" spans="2:18" ht="18" customHeight="1">
      <c r="B9" s="33">
        <f>[2]Datos!C12</f>
        <v>8.02</v>
      </c>
      <c r="C9" s="99">
        <f>[2]Datos!C29</f>
        <v>1.369475067619152E-11</v>
      </c>
      <c r="D9" s="162">
        <v>1.0294137067179099E-2</v>
      </c>
      <c r="E9" s="171">
        <v>2.0524717413571432E-2</v>
      </c>
      <c r="F9" s="168">
        <v>1.6223487143110164E-2</v>
      </c>
      <c r="G9" s="171">
        <v>3.2197309016628921E-2</v>
      </c>
      <c r="H9" s="168">
        <v>1.7011591071894618E-2</v>
      </c>
      <c r="I9" s="171">
        <v>3.3735165976150637E-2</v>
      </c>
      <c r="J9" s="168">
        <v>2.0605839156427209E-2</v>
      </c>
      <c r="K9" s="171">
        <v>4.0698247305265743E-2</v>
      </c>
      <c r="L9" s="174">
        <v>5.5517780611368646E-2</v>
      </c>
      <c r="M9" s="177">
        <v>0.11120760877078757</v>
      </c>
      <c r="N9" s="174">
        <v>2.9718331982018339E-2</v>
      </c>
      <c r="O9" s="164">
        <v>5.7880149563706698E-2</v>
      </c>
      <c r="Q9" s="182">
        <v>1.7550000000000003E-2</v>
      </c>
      <c r="R9" s="179">
        <v>2.98E-2</v>
      </c>
    </row>
    <row r="10" spans="2:18" ht="18" customHeight="1" thickBot="1">
      <c r="B10" s="34">
        <f>[2]Datos!C13</f>
        <v>8.94</v>
      </c>
      <c r="C10" s="100">
        <f>[2]Datos!C30</f>
        <v>1.2970972976567375E-11</v>
      </c>
      <c r="D10" s="165">
        <v>9.7511172469116371E-3</v>
      </c>
      <c r="E10" s="172">
        <v>1.9448227627033569E-2</v>
      </c>
      <c r="F10" s="169">
        <v>1.5370124172307044E-2</v>
      </c>
      <c r="G10" s="172">
        <v>3.0528073514367884E-2</v>
      </c>
      <c r="H10" s="169">
        <v>1.6117200453338393E-2</v>
      </c>
      <c r="I10" s="172">
        <v>3.1989629501593987E-2</v>
      </c>
      <c r="J10" s="169">
        <v>1.9525161067626227E-2</v>
      </c>
      <c r="K10" s="172">
        <v>3.8613939104679217E-2</v>
      </c>
      <c r="L10" s="175">
        <v>5.2580842019186183E-2</v>
      </c>
      <c r="M10" s="178">
        <v>0.10530776432975918</v>
      </c>
      <c r="N10" s="175">
        <v>2.8173078258047695E-2</v>
      </c>
      <c r="O10" s="166">
        <v>5.5022778144097131E-2</v>
      </c>
      <c r="Q10" s="183">
        <v>1.6400000000000001E-2</v>
      </c>
      <c r="R10" s="180">
        <v>2.835E-2</v>
      </c>
    </row>
    <row r="11" spans="2:18" ht="18" customHeight="1" thickTop="1"/>
    <row r="13" spans="2:18" ht="18" customHeight="1" thickBot="1"/>
    <row r="14" spans="2:18" ht="18" customHeight="1" thickTop="1">
      <c r="B14" s="190" t="s">
        <v>41</v>
      </c>
      <c r="C14" s="193" t="s">
        <v>20</v>
      </c>
      <c r="D14" s="196">
        <f>[2]Datos!$F$8</f>
        <v>3.3756000000000002E-10</v>
      </c>
      <c r="E14" s="197"/>
      <c r="F14" s="196">
        <f>[2]Datos!$F$9</f>
        <v>2.1386E-10</v>
      </c>
      <c r="G14" s="197"/>
      <c r="H14" s="196">
        <f>[2]Datos!$F$10</f>
        <v>2.0390000000000001E-10</v>
      </c>
      <c r="I14" s="198"/>
      <c r="J14" s="196">
        <f>[2]Datos!$F$11</f>
        <v>1.6811E-10</v>
      </c>
      <c r="K14" s="198"/>
      <c r="L14" s="196">
        <f>[2]Datos!$F$12</f>
        <v>1.2340000000000001E-10</v>
      </c>
      <c r="M14" s="198"/>
      <c r="N14" s="196">
        <f>[2]Datos!$F$13</f>
        <v>1.1603000000000001E-10</v>
      </c>
      <c r="O14" s="214"/>
    </row>
    <row r="15" spans="2:18" ht="18" customHeight="1">
      <c r="B15" s="191"/>
      <c r="C15" s="194"/>
      <c r="D15" s="187" t="s">
        <v>66</v>
      </c>
      <c r="E15" s="189"/>
      <c r="F15" s="187" t="s">
        <v>66</v>
      </c>
      <c r="G15" s="189"/>
      <c r="H15" s="187" t="s">
        <v>66</v>
      </c>
      <c r="I15" s="189"/>
      <c r="J15" s="187" t="s">
        <v>66</v>
      </c>
      <c r="K15" s="189"/>
      <c r="L15" s="187" t="s">
        <v>66</v>
      </c>
      <c r="M15" s="189"/>
      <c r="N15" s="199" t="s">
        <v>66</v>
      </c>
      <c r="O15" s="213"/>
    </row>
    <row r="16" spans="2:18" ht="18" customHeight="1" thickBot="1">
      <c r="B16" s="192"/>
      <c r="C16" s="195"/>
      <c r="D16" s="27" t="s">
        <v>43</v>
      </c>
      <c r="E16" s="28" t="s">
        <v>44</v>
      </c>
      <c r="F16" s="27" t="s">
        <v>43</v>
      </c>
      <c r="G16" s="28" t="s">
        <v>44</v>
      </c>
      <c r="H16" s="27" t="s">
        <v>43</v>
      </c>
      <c r="I16" s="28" t="s">
        <v>44</v>
      </c>
      <c r="J16" s="27" t="s">
        <v>43</v>
      </c>
      <c r="K16" s="28" t="s">
        <v>44</v>
      </c>
      <c r="L16" s="59" t="s">
        <v>43</v>
      </c>
      <c r="M16" s="48" t="s">
        <v>44</v>
      </c>
      <c r="N16" s="42" t="s">
        <v>43</v>
      </c>
      <c r="O16" s="43" t="s">
        <v>44</v>
      </c>
    </row>
    <row r="17" spans="2:15" ht="18" customHeight="1">
      <c r="B17" s="32">
        <f t="shared" ref="B17:C22" si="0">B5</f>
        <v>4.08</v>
      </c>
      <c r="C17" s="98">
        <f t="shared" si="0"/>
        <v>1.9200442309962973E-11</v>
      </c>
      <c r="D17" s="184">
        <f>ABS(D5-R5)</f>
        <v>3.2181663756933002E-2</v>
      </c>
      <c r="E17" s="170">
        <f>ABS(E5-Q5)</f>
        <v>5.3616353746466019E-3</v>
      </c>
      <c r="F17" s="167">
        <f>ABS(F5-R5)</f>
        <v>2.3910574040142945E-2</v>
      </c>
      <c r="G17" s="170">
        <f>ABS(G5-Q5)</f>
        <v>2.1391984429176024E-2</v>
      </c>
      <c r="H17" s="167">
        <f>ABS(H5-R5)</f>
        <v>2.2814294335739935E-2</v>
      </c>
      <c r="I17" s="170">
        <f>ABS(I5-Q5)</f>
        <v>2.347917357522708E-2</v>
      </c>
      <c r="J17" s="167">
        <f>ABS(J5-R5)</f>
        <v>1.7826003900260599E-2</v>
      </c>
      <c r="K17" s="170">
        <f>ABS(K5-Q5)</f>
        <v>3.2836998647710308E-2</v>
      </c>
      <c r="L17" s="173">
        <f>ABS(L5-R5)</f>
        <v>3.127627058708371E-2</v>
      </c>
      <c r="M17" s="176">
        <f>ABS(M5-Q5)</f>
        <v>0.13292991911076618</v>
      </c>
      <c r="N17" s="173">
        <f>ABS(N5-R5)</f>
        <v>5.2861401836984331E-3</v>
      </c>
      <c r="O17" s="161">
        <f>ABS(O5-Q5)</f>
        <v>5.5063685807216572E-2</v>
      </c>
    </row>
    <row r="18" spans="2:15" ht="18" customHeight="1">
      <c r="B18" s="33">
        <f t="shared" si="0"/>
        <v>5.01</v>
      </c>
      <c r="C18" s="99">
        <f t="shared" si="0"/>
        <v>1.7326963152814802E-11</v>
      </c>
      <c r="D18" s="162">
        <f t="shared" ref="D18:D22" si="1">ABS(D6-R6)</f>
        <v>2.9433638572161025E-2</v>
      </c>
      <c r="E18" s="171">
        <f t="shared" ref="E18:F22" si="2">ABS(E6-Q6)</f>
        <v>5.3540525886363252E-3</v>
      </c>
      <c r="F18" s="168">
        <f t="shared" si="2"/>
        <v>2.1955269812245968E-2</v>
      </c>
      <c r="G18" s="171">
        <f t="shared" ref="G18:H22" si="3">ABS(G6-Q6)</f>
        <v>1.9934342462307526E-2</v>
      </c>
      <c r="H18" s="168">
        <f t="shared" si="3"/>
        <v>2.0963005815682952E-2</v>
      </c>
      <c r="I18" s="171">
        <f t="shared" ref="I18:J22" si="4">ABS(I6-Q6)</f>
        <v>2.1841343149004745E-2</v>
      </c>
      <c r="J18" s="168">
        <f t="shared" si="4"/>
        <v>1.6444081905215117E-2</v>
      </c>
      <c r="K18" s="171">
        <f t="shared" ref="K18:L22" si="5">ABS(K6-Q6)</f>
        <v>3.0423773315562896E-2</v>
      </c>
      <c r="L18" s="174">
        <f t="shared" si="5"/>
        <v>2.7814298131418169E-2</v>
      </c>
      <c r="M18" s="177">
        <f t="shared" ref="M18:N22" si="6">ABS(M6-Q6)</f>
        <v>0.12032852633684941</v>
      </c>
      <c r="N18" s="174">
        <f t="shared" si="6"/>
        <v>5.047354699856281E-3</v>
      </c>
      <c r="O18" s="164">
        <f t="shared" ref="O18:O22" si="7">ABS(O6-Q6)</f>
        <v>5.1114479016994438E-2</v>
      </c>
    </row>
    <row r="19" spans="2:15" ht="18" customHeight="1">
      <c r="B19" s="33">
        <f t="shared" si="0"/>
        <v>5.98</v>
      </c>
      <c r="C19" s="99">
        <f t="shared" si="0"/>
        <v>1.5859544964668928E-11</v>
      </c>
      <c r="D19" s="162">
        <f t="shared" si="1"/>
        <v>2.1932806205336407E-2</v>
      </c>
      <c r="E19" s="171">
        <f t="shared" si="2"/>
        <v>4.535699579017765E-3</v>
      </c>
      <c r="F19" s="168">
        <f t="shared" si="2"/>
        <v>1.5078443805740534E-2</v>
      </c>
      <c r="G19" s="171">
        <f t="shared" si="3"/>
        <v>1.7955586266706375E-2</v>
      </c>
      <c r="H19" s="168">
        <f t="shared" si="3"/>
        <v>1.4168289950686794E-2</v>
      </c>
      <c r="I19" s="171">
        <f t="shared" si="4"/>
        <v>1.9716394002834363E-2</v>
      </c>
      <c r="J19" s="168">
        <f t="shared" si="4"/>
        <v>1.0020756641738116E-2</v>
      </c>
      <c r="K19" s="171">
        <f t="shared" si="5"/>
        <v>2.7661852892662465E-2</v>
      </c>
      <c r="L19" s="174">
        <f t="shared" si="5"/>
        <v>3.0455026216929332E-2</v>
      </c>
      <c r="M19" s="177">
        <f t="shared" si="6"/>
        <v>0.10967790447002954</v>
      </c>
      <c r="N19" s="174">
        <f t="shared" si="6"/>
        <v>4.6322739688139242E-4</v>
      </c>
      <c r="O19" s="164">
        <f t="shared" si="7"/>
        <v>4.7014069253837158E-2</v>
      </c>
    </row>
    <row r="20" spans="2:15" ht="18" customHeight="1">
      <c r="B20" s="33">
        <f t="shared" si="0"/>
        <v>7.04</v>
      </c>
      <c r="C20" s="99">
        <f t="shared" si="0"/>
        <v>1.4616890205012538E-11</v>
      </c>
      <c r="D20" s="162">
        <f t="shared" si="1"/>
        <v>2.0814279091973184E-2</v>
      </c>
      <c r="E20" s="171">
        <f t="shared" si="2"/>
        <v>3.6941701200450469E-3</v>
      </c>
      <c r="F20" s="168">
        <f t="shared" si="2"/>
        <v>1.4490289037095882E-2</v>
      </c>
      <c r="G20" s="171">
        <f t="shared" si="3"/>
        <v>1.6115926734454972E-2</v>
      </c>
      <c r="H20" s="168">
        <f t="shared" si="3"/>
        <v>1.3650069327517243E-2</v>
      </c>
      <c r="I20" s="171">
        <f t="shared" si="4"/>
        <v>1.7749755303533198E-2</v>
      </c>
      <c r="J20" s="168">
        <f t="shared" si="4"/>
        <v>9.819396723213962E-3</v>
      </c>
      <c r="K20" s="171">
        <f t="shared" si="5"/>
        <v>2.513717288662605E-2</v>
      </c>
      <c r="L20" s="174">
        <f t="shared" si="5"/>
        <v>2.7460327975454127E-2</v>
      </c>
      <c r="M20" s="177">
        <f t="shared" si="6"/>
        <v>0.1005300545232205</v>
      </c>
      <c r="N20" s="174">
        <f t="shared" si="6"/>
        <v>1.192563583824538E-4</v>
      </c>
      <c r="O20" s="164">
        <f t="shared" si="7"/>
        <v>4.3270527404469995E-2</v>
      </c>
    </row>
    <row r="21" spans="2:15" ht="18" customHeight="1">
      <c r="B21" s="33">
        <f t="shared" si="0"/>
        <v>8.02</v>
      </c>
      <c r="C21" s="99">
        <f t="shared" si="0"/>
        <v>1.369475067619152E-11</v>
      </c>
      <c r="D21" s="162">
        <f t="shared" si="1"/>
        <v>1.9505862932820903E-2</v>
      </c>
      <c r="E21" s="171">
        <f t="shared" si="2"/>
        <v>2.9747174135714288E-3</v>
      </c>
      <c r="F21" s="168">
        <f t="shared" si="2"/>
        <v>1.3576512856889836E-2</v>
      </c>
      <c r="G21" s="171">
        <f t="shared" si="3"/>
        <v>1.4647309016628918E-2</v>
      </c>
      <c r="H21" s="168">
        <f t="shared" si="3"/>
        <v>1.2788408928105382E-2</v>
      </c>
      <c r="I21" s="171">
        <f t="shared" si="4"/>
        <v>1.6185165976150634E-2</v>
      </c>
      <c r="J21" s="168">
        <f t="shared" si="4"/>
        <v>9.1941608435727913E-3</v>
      </c>
      <c r="K21" s="171">
        <f t="shared" si="5"/>
        <v>2.314824730526574E-2</v>
      </c>
      <c r="L21" s="174">
        <f t="shared" si="5"/>
        <v>2.5717780611368646E-2</v>
      </c>
      <c r="M21" s="177">
        <f t="shared" si="6"/>
        <v>9.3657608770787576E-2</v>
      </c>
      <c r="N21" s="174">
        <f t="shared" si="6"/>
        <v>8.1668017981661317E-5</v>
      </c>
      <c r="O21" s="164">
        <f t="shared" si="7"/>
        <v>4.0330149563706695E-2</v>
      </c>
    </row>
    <row r="22" spans="2:15" ht="18" customHeight="1" thickBot="1">
      <c r="B22" s="34">
        <f t="shared" si="0"/>
        <v>8.94</v>
      </c>
      <c r="C22" s="100">
        <f t="shared" si="0"/>
        <v>1.2970972976567375E-11</v>
      </c>
      <c r="D22" s="165">
        <f t="shared" si="1"/>
        <v>1.8598882753088363E-2</v>
      </c>
      <c r="E22" s="172">
        <f t="shared" si="2"/>
        <v>3.048227627033568E-3</v>
      </c>
      <c r="F22" s="169">
        <f t="shared" si="2"/>
        <v>1.2979875827692956E-2</v>
      </c>
      <c r="G22" s="172">
        <f t="shared" si="3"/>
        <v>1.4128073514367883E-2</v>
      </c>
      <c r="H22" s="169">
        <f t="shared" si="3"/>
        <v>1.2232799546661607E-2</v>
      </c>
      <c r="I22" s="172">
        <f t="shared" si="4"/>
        <v>1.5589629501593986E-2</v>
      </c>
      <c r="J22" s="169">
        <f t="shared" si="4"/>
        <v>8.8248389323737735E-3</v>
      </c>
      <c r="K22" s="172">
        <f t="shared" si="5"/>
        <v>2.2213939104679215E-2</v>
      </c>
      <c r="L22" s="175">
        <f t="shared" si="5"/>
        <v>2.4230842019186183E-2</v>
      </c>
      <c r="M22" s="178">
        <f t="shared" si="6"/>
        <v>8.8907764329759179E-2</v>
      </c>
      <c r="N22" s="175">
        <f t="shared" si="6"/>
        <v>1.7692174195230517E-4</v>
      </c>
      <c r="O22" s="166">
        <f t="shared" si="7"/>
        <v>3.8622778144097134E-2</v>
      </c>
    </row>
    <row r="23" spans="2:15" ht="18" customHeight="1" thickTop="1"/>
  </sheetData>
  <mergeCells count="28">
    <mergeCell ref="B2:B4"/>
    <mergeCell ref="C2:C4"/>
    <mergeCell ref="D2:E2"/>
    <mergeCell ref="F2:G2"/>
    <mergeCell ref="H2:I2"/>
    <mergeCell ref="L2:M2"/>
    <mergeCell ref="N2:O2"/>
    <mergeCell ref="D3:E3"/>
    <mergeCell ref="F3:G3"/>
    <mergeCell ref="H3:I3"/>
    <mergeCell ref="J3:K3"/>
    <mergeCell ref="L3:M3"/>
    <mergeCell ref="N3:O3"/>
    <mergeCell ref="J2:K2"/>
    <mergeCell ref="B14:B16"/>
    <mergeCell ref="C14:C16"/>
    <mergeCell ref="D14:E14"/>
    <mergeCell ref="F14:G14"/>
    <mergeCell ref="H14:I14"/>
    <mergeCell ref="L14:M14"/>
    <mergeCell ref="N14:O14"/>
    <mergeCell ref="D15:E15"/>
    <mergeCell ref="F15:G15"/>
    <mergeCell ref="H15:I15"/>
    <mergeCell ref="J15:K15"/>
    <mergeCell ref="L15:M15"/>
    <mergeCell ref="N15:O15"/>
    <mergeCell ref="J14:K14"/>
  </mergeCells>
  <conditionalFormatting sqref="D17:O2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K35"/>
  <sheetViews>
    <sheetView workbookViewId="0">
      <selection activeCell="B12" sqref="B12"/>
    </sheetView>
  </sheetViews>
  <sheetFormatPr defaultColWidth="11.7109375" defaultRowHeight="18" customHeight="1"/>
  <cols>
    <col min="1" max="1" width="3.7109375" style="1" customWidth="1"/>
    <col min="2" max="16384" width="11.7109375" style="1"/>
  </cols>
  <sheetData>
    <row r="1" spans="2:11" ht="8.1" customHeight="1" thickBot="1"/>
    <row r="2" spans="2:11" ht="18" customHeight="1" thickTop="1">
      <c r="B2" s="190" t="s">
        <v>41</v>
      </c>
      <c r="C2" s="193" t="s">
        <v>20</v>
      </c>
      <c r="D2" s="202">
        <f>Datos!$F$8</f>
        <v>3.3756000000000002E-10</v>
      </c>
      <c r="E2" s="203"/>
      <c r="F2" s="203"/>
      <c r="G2" s="206"/>
      <c r="H2" s="205">
        <f>Datos!$F$9</f>
        <v>2.1386E-10</v>
      </c>
      <c r="I2" s="203"/>
      <c r="J2" s="203"/>
      <c r="K2" s="204"/>
    </row>
    <row r="3" spans="2:11" ht="18" customHeight="1">
      <c r="B3" s="191"/>
      <c r="C3" s="194"/>
      <c r="D3" s="186" t="s">
        <v>15</v>
      </c>
      <c r="E3" s="187"/>
      <c r="F3" s="187" t="s">
        <v>42</v>
      </c>
      <c r="G3" s="189"/>
      <c r="H3" s="186" t="s">
        <v>15</v>
      </c>
      <c r="I3" s="187"/>
      <c r="J3" s="187" t="s">
        <v>42</v>
      </c>
      <c r="K3" s="188"/>
    </row>
    <row r="4" spans="2:11" ht="18" customHeight="1" thickBot="1">
      <c r="B4" s="192"/>
      <c r="C4" s="195"/>
      <c r="D4" s="26" t="s">
        <v>43</v>
      </c>
      <c r="E4" s="27" t="s">
        <v>44</v>
      </c>
      <c r="F4" s="27" t="s">
        <v>43</v>
      </c>
      <c r="G4" s="28" t="s">
        <v>44</v>
      </c>
      <c r="H4" s="26" t="s">
        <v>43</v>
      </c>
      <c r="I4" s="27" t="s">
        <v>44</v>
      </c>
      <c r="J4" s="27" t="s">
        <v>43</v>
      </c>
      <c r="K4" s="31" t="s">
        <v>44</v>
      </c>
    </row>
    <row r="5" spans="2:11" ht="18" customHeight="1">
      <c r="B5" s="36">
        <f>Datos!B8</f>
        <v>4</v>
      </c>
      <c r="C5" s="29">
        <f>Datos!B25</f>
        <v>1.9391496193579687E-11</v>
      </c>
      <c r="D5" s="86">
        <f>ASIN((1*C5)   /   (2*$D$2))</f>
        <v>2.8726987137239722E-2</v>
      </c>
      <c r="E5" s="87">
        <f>ASIN((2*C5)   /   (2*$D$2))</f>
        <v>5.7477715226159937E-2</v>
      </c>
      <c r="F5" s="87">
        <f>Datos!$P$12  *  SIN( 4*'Tablas teo'!D5 )</f>
        <v>1.4561216048488687E-2</v>
      </c>
      <c r="G5" s="88">
        <f>Datos!$P$12  *  SIN( 4*'Tablas teo'!E5 )</f>
        <v>2.8942122822768437E-2</v>
      </c>
      <c r="H5" s="86">
        <f>ASIN((1*C5)   /   (2*$H$2))</f>
        <v>4.535243929532512E-2</v>
      </c>
      <c r="I5" s="87">
        <f>ASIN((2*C5)   /   (2*$H$2))</f>
        <v>9.0798498772040034E-2</v>
      </c>
      <c r="J5" s="87">
        <f>Datos!$P$12  *  SIN( 4*'Tablas teo'!H5 )</f>
        <v>2.291287972336957E-2</v>
      </c>
      <c r="K5" s="89">
        <f>Datos!$P$12  *  SIN( 4*'Tablas teo'!I5 )</f>
        <v>4.5118233508682021E-2</v>
      </c>
    </row>
    <row r="6" spans="2:11" ht="18" customHeight="1">
      <c r="B6" s="37">
        <f>Datos!B9</f>
        <v>5</v>
      </c>
      <c r="C6" s="30">
        <f>Datos!B26</f>
        <v>1.7344281461223561E-11</v>
      </c>
      <c r="D6" s="90">
        <f t="shared" ref="D6:D10" si="0">ASIN((1*C6)   /   (2*$D$2))</f>
        <v>2.5693491421791611E-2</v>
      </c>
      <c r="E6" s="91">
        <f t="shared" ref="E6:E10" si="1">ASIN((2*C6)   /   (2*$D$2))</f>
        <v>5.1403964167243382E-2</v>
      </c>
      <c r="F6" s="91">
        <f>Datos!$P$12  *  SIN( 4*'Tablas teo'!D6 )</f>
        <v>1.3029328324958728E-2</v>
      </c>
      <c r="G6" s="92">
        <f>Datos!$P$12  *  SIN( 4*'Tablas teo'!E6 )</f>
        <v>2.5929600477359451E-2</v>
      </c>
      <c r="H6" s="90">
        <f t="shared" ref="H6:H10" si="2">ASIN((1*C6)   /   (2*$H$2))</f>
        <v>4.0561671931523817E-2</v>
      </c>
      <c r="I6" s="91">
        <f t="shared" ref="I6:I10" si="3">ASIN((2*C6)   /   (2*$H$2))</f>
        <v>8.1190270762177177E-2</v>
      </c>
      <c r="J6" s="91">
        <f>Datos!$P$12  *  SIN( 4*'Tablas teo'!H6 )</f>
        <v>2.0515045848308669E-2</v>
      </c>
      <c r="K6" s="93">
        <f>Datos!$P$12  *  SIN( 4*'Tablas teo'!I6 )</f>
        <v>4.0523460599275501E-2</v>
      </c>
    </row>
    <row r="7" spans="2:11" ht="18" customHeight="1">
      <c r="B7" s="37">
        <f>Datos!B10</f>
        <v>6</v>
      </c>
      <c r="C7" s="30">
        <f>Datos!B27</f>
        <v>1.5833090325638536E-11</v>
      </c>
      <c r="D7" s="90">
        <f t="shared" si="0"/>
        <v>2.3454411177454764E-2</v>
      </c>
      <c r="E7" s="91">
        <f t="shared" si="1"/>
        <v>4.6921737283260823E-2</v>
      </c>
      <c r="F7" s="91">
        <f>Datos!$P$12  *  SIN( 4*'Tablas teo'!D7 )</f>
        <v>1.1897369992610627E-2</v>
      </c>
      <c r="G7" s="92">
        <f>Datos!$P$12  *  SIN( 4*'Tablas teo'!E7 )</f>
        <v>2.3696544686816711E-2</v>
      </c>
      <c r="H7" s="90">
        <f t="shared" si="2"/>
        <v>3.702587801098986E-2</v>
      </c>
      <c r="I7" s="91">
        <f t="shared" si="3"/>
        <v>7.4102637523552561E-2</v>
      </c>
      <c r="J7" s="91">
        <f>Datos!$P$12  *  SIN( 4*'Tablas teo'!H7 )</f>
        <v>1.8740459397035048E-2</v>
      </c>
      <c r="K7" s="93">
        <f>Datos!$P$12  *  SIN( 4*'Tablas teo'!I7 )</f>
        <v>3.7095325579665044E-2</v>
      </c>
    </row>
    <row r="8" spans="2:11" ht="18" customHeight="1">
      <c r="B8" s="37">
        <f>Datos!B11</f>
        <v>7</v>
      </c>
      <c r="C8" s="30">
        <f>Datos!B28</f>
        <v>1.4658593257818949E-11</v>
      </c>
      <c r="D8" s="90">
        <f t="shared" si="0"/>
        <v>2.1714280819292043E-2</v>
      </c>
      <c r="E8" s="91">
        <f t="shared" si="1"/>
        <v>4.343880859596308E-2</v>
      </c>
      <c r="F8" s="91">
        <f>Datos!$P$12  *  SIN( 4*'Tablas teo'!D8 )</f>
        <v>1.1016990131882759E-2</v>
      </c>
      <c r="G8" s="92">
        <f>Datos!$P$12  *  SIN( 4*'Tablas teo'!E8 )</f>
        <v>2.1956045659580276E-2</v>
      </c>
      <c r="H8" s="90">
        <f t="shared" si="2"/>
        <v>3.4278182636830155E-2</v>
      </c>
      <c r="I8" s="91">
        <f t="shared" si="3"/>
        <v>6.8596724959510372E-2</v>
      </c>
      <c r="J8" s="91">
        <f>Datos!$P$12  *  SIN( 4*'Tablas teo'!H8 )</f>
        <v>1.7358806605804366E-2</v>
      </c>
      <c r="K8" s="93">
        <f>Datos!$P$12  *  SIN( 4*'Tablas teo'!I8 )</f>
        <v>3.441151650987577E-2</v>
      </c>
    </row>
    <row r="9" spans="2:11" ht="18" customHeight="1">
      <c r="B9" s="37">
        <f>Datos!B12</f>
        <v>8</v>
      </c>
      <c r="C9" s="30">
        <f>Datos!B29</f>
        <v>1.371185842899988E-11</v>
      </c>
      <c r="D9" s="90">
        <f t="shared" si="0"/>
        <v>2.0311650238377867E-2</v>
      </c>
      <c r="E9" s="91">
        <f t="shared" si="1"/>
        <v>4.0631686370493733E-2</v>
      </c>
      <c r="F9" s="91">
        <f>Datos!$P$12  *  SIN( 4*'Tablas teo'!D9 )</f>
        <v>1.0306970179846893E-2</v>
      </c>
      <c r="G9" s="92">
        <f>Datos!$P$12  *  SIN( 4*'Tablas teo'!E9 )</f>
        <v>2.0550145267316338E-2</v>
      </c>
      <c r="H9" s="90">
        <f t="shared" si="2"/>
        <v>3.206351858093192E-2</v>
      </c>
      <c r="I9" s="91">
        <f t="shared" si="3"/>
        <v>6.4160060118653564E-2</v>
      </c>
      <c r="J9" s="91">
        <f>Datos!$P$12  *  SIN( 4*'Tablas teo'!H9 )</f>
        <v>1.6243649573895527E-2</v>
      </c>
      <c r="K9" s="93">
        <f>Datos!$P$12  *  SIN( 4*'Tablas teo'!I9 )</f>
        <v>3.223669817659288E-2</v>
      </c>
    </row>
    <row r="10" spans="2:11" ht="18" customHeight="1" thickBot="1">
      <c r="B10" s="38">
        <f>Datos!B13</f>
        <v>9</v>
      </c>
      <c r="C10" s="35">
        <f>Datos!B30</f>
        <v>1.2927664097429612E-11</v>
      </c>
      <c r="D10" s="94">
        <f t="shared" si="0"/>
        <v>1.9149861156526716E-2</v>
      </c>
      <c r="E10" s="95">
        <f t="shared" si="1"/>
        <v>3.830674940660396E-2</v>
      </c>
      <c r="F10" s="95">
        <f>Datos!$P$12  *  SIN( 4*'Tablas teo'!D10 )</f>
        <v>9.7186189987928384E-3</v>
      </c>
      <c r="G10" s="96">
        <f>Datos!$P$12  *  SIN( 4*'Tablas teo'!E10 )</f>
        <v>1.9383770067788297E-2</v>
      </c>
      <c r="H10" s="94">
        <f t="shared" si="2"/>
        <v>3.0229199476981512E-2</v>
      </c>
      <c r="I10" s="95">
        <f t="shared" si="3"/>
        <v>6.0486066796173375E-2</v>
      </c>
      <c r="J10" s="95">
        <f>Datos!$P$12  *  SIN( 4*'Tablas teo'!H10 )</f>
        <v>1.5319039939910736E-2</v>
      </c>
      <c r="K10" s="97">
        <f>Datos!$P$12  *  SIN( 4*'Tablas teo'!I10 )</f>
        <v>3.0428020996572245E-2</v>
      </c>
    </row>
    <row r="11" spans="2:11" ht="18" customHeight="1" thickTop="1"/>
    <row r="13" spans="2:11" ht="18" customHeight="1" thickBot="1"/>
    <row r="14" spans="2:11" ht="18" customHeight="1" thickTop="1">
      <c r="B14" s="190" t="s">
        <v>41</v>
      </c>
      <c r="C14" s="193" t="s">
        <v>20</v>
      </c>
      <c r="D14" s="202">
        <f>Datos!$F$10</f>
        <v>2.0390000000000001E-10</v>
      </c>
      <c r="E14" s="203"/>
      <c r="F14" s="203"/>
      <c r="G14" s="207"/>
      <c r="H14" s="202">
        <f>Datos!$F$11</f>
        <v>1.6811E-10</v>
      </c>
      <c r="I14" s="203"/>
      <c r="J14" s="203"/>
      <c r="K14" s="204"/>
    </row>
    <row r="15" spans="2:11" ht="18" customHeight="1">
      <c r="B15" s="191"/>
      <c r="C15" s="194"/>
      <c r="D15" s="186" t="s">
        <v>15</v>
      </c>
      <c r="E15" s="187"/>
      <c r="F15" s="187" t="s">
        <v>42</v>
      </c>
      <c r="G15" s="189"/>
      <c r="H15" s="186" t="s">
        <v>15</v>
      </c>
      <c r="I15" s="187"/>
      <c r="J15" s="187" t="s">
        <v>42</v>
      </c>
      <c r="K15" s="188"/>
    </row>
    <row r="16" spans="2:11" ht="18" customHeight="1" thickBot="1">
      <c r="B16" s="192"/>
      <c r="C16" s="195"/>
      <c r="D16" s="26" t="s">
        <v>43</v>
      </c>
      <c r="E16" s="27" t="s">
        <v>44</v>
      </c>
      <c r="F16" s="27" t="s">
        <v>43</v>
      </c>
      <c r="G16" s="28" t="s">
        <v>44</v>
      </c>
      <c r="H16" s="26" t="s">
        <v>43</v>
      </c>
      <c r="I16" s="27" t="s">
        <v>44</v>
      </c>
      <c r="J16" s="27" t="s">
        <v>43</v>
      </c>
      <c r="K16" s="31" t="s">
        <v>44</v>
      </c>
    </row>
    <row r="17" spans="2:11" ht="18" customHeight="1">
      <c r="B17" s="36">
        <f>Datos!B8</f>
        <v>4</v>
      </c>
      <c r="C17" s="29">
        <f>Datos!B25</f>
        <v>1.9391496193579687E-11</v>
      </c>
      <c r="D17" s="86">
        <f t="shared" ref="D17:D22" si="4">ASIN((1*C5)   /   (2*$D$14))</f>
        <v>4.7569424881175826E-2</v>
      </c>
      <c r="E17" s="87">
        <f t="shared" ref="E17:E22" si="5">ASIN((2*C5)   /   (2*$D$14))</f>
        <v>9.5246920645830596E-2</v>
      </c>
      <c r="F17" s="87">
        <f>Datos!$P$12  *  SIN( 4*'Tablas teo'!D17 )</f>
        <v>2.4019711904628725E-2</v>
      </c>
      <c r="G17" s="88">
        <f>Datos!$P$12  *  SIN( 4*'Tablas teo'!E17 )</f>
        <v>4.7223364307284292E-2</v>
      </c>
      <c r="H17" s="86">
        <f t="shared" ref="H17:H22" si="6">ASIN((1*C29)   /   (2*$H$14))</f>
        <v>5.7707045952713497E-2</v>
      </c>
      <c r="I17" s="87">
        <f t="shared" ref="I17:I22" si="7">ASIN((2*C29)   /   (2*$H$14))</f>
        <v>0.11560739052034014</v>
      </c>
      <c r="J17" s="87">
        <f>Datos!$P$12  *  SIN( 4*'Tablas teo'!H17 )</f>
        <v>2.905554514062943E-2</v>
      </c>
      <c r="K17" s="89">
        <f>Datos!$P$12  *  SIN( 4*'Tablas teo'!I17 )</f>
        <v>5.6657723836105858E-2</v>
      </c>
    </row>
    <row r="18" spans="2:11" ht="18" customHeight="1">
      <c r="B18" s="37">
        <f>Datos!B9</f>
        <v>5</v>
      </c>
      <c r="C18" s="30">
        <f>Datos!B26</f>
        <v>1.7344281461223561E-11</v>
      </c>
      <c r="D18" s="90">
        <f t="shared" si="4"/>
        <v>4.2544175521684685E-2</v>
      </c>
      <c r="E18" s="91">
        <f t="shared" si="5"/>
        <v>8.5165601186230372E-2</v>
      </c>
      <c r="F18" s="91">
        <f>Datos!$P$12  *  SIN( 4*'Tablas teo'!D18 )</f>
        <v>2.1508275666346791E-2</v>
      </c>
      <c r="G18" s="92">
        <f>Datos!$P$12  *  SIN( 4*'Tablas teo'!E18 )</f>
        <v>4.2432161020084111E-2</v>
      </c>
      <c r="H18" s="90">
        <f t="shared" si="6"/>
        <v>5.1609015652097322E-2</v>
      </c>
      <c r="I18" s="91">
        <f t="shared" si="7"/>
        <v>0.1033561359311828</v>
      </c>
      <c r="J18" s="91">
        <f>Datos!$P$12  *  SIN( 4*'Tablas teo'!H18 )</f>
        <v>2.60315636831417E-2</v>
      </c>
      <c r="K18" s="93">
        <f>Datos!$P$12  *  SIN( 4*'Tablas teo'!I18 )</f>
        <v>5.1021958517361798E-2</v>
      </c>
    </row>
    <row r="19" spans="2:11" ht="18" customHeight="1">
      <c r="B19" s="37">
        <f>Datos!B10</f>
        <v>6</v>
      </c>
      <c r="C19" s="30">
        <f>Datos!B27</f>
        <v>1.5833090325638536E-11</v>
      </c>
      <c r="D19" s="90">
        <f t="shared" si="4"/>
        <v>3.8835387208567634E-2</v>
      </c>
      <c r="E19" s="91">
        <f t="shared" si="5"/>
        <v>7.7729500559046552E-2</v>
      </c>
      <c r="F19" s="91">
        <f>Datos!$P$12  *  SIN( 4*'Tablas teo'!D19 )</f>
        <v>1.964912814724706E-2</v>
      </c>
      <c r="G19" s="92">
        <f>Datos!$P$12  *  SIN( 4*'Tablas teo'!E19 )</f>
        <v>3.88534595200868E-2</v>
      </c>
      <c r="H19" s="90">
        <f t="shared" si="6"/>
        <v>4.7108881380756633E-2</v>
      </c>
      <c r="I19" s="91">
        <f t="shared" si="7"/>
        <v>9.4322717013293492E-2</v>
      </c>
      <c r="J19" s="91">
        <f>Datos!$P$12  *  SIN( 4*'Tablas teo'!H19 )</f>
        <v>2.3789937677519243E-2</v>
      </c>
      <c r="K19" s="93">
        <f>Datos!$P$12  *  SIN( 4*'Tablas teo'!I19 )</f>
        <v>4.6787211009223631E-2</v>
      </c>
    </row>
    <row r="20" spans="2:11" ht="18" customHeight="1">
      <c r="B20" s="37">
        <f>Datos!B11</f>
        <v>7</v>
      </c>
      <c r="C20" s="30">
        <f>Datos!B28</f>
        <v>1.4658593257818949E-11</v>
      </c>
      <c r="D20" s="90">
        <f t="shared" si="4"/>
        <v>3.5953290287474023E-2</v>
      </c>
      <c r="E20" s="91">
        <f t="shared" si="5"/>
        <v>7.1953160634819602E-2</v>
      </c>
      <c r="F20" s="91">
        <f>Datos!$P$12  *  SIN( 4*'Tablas teo'!D20 )</f>
        <v>1.8201378909552608E-2</v>
      </c>
      <c r="G20" s="92">
        <f>Datos!$P$12  *  SIN( 4*'Tablas teo'!E20 )</f>
        <v>3.6049651143168243E-2</v>
      </c>
      <c r="H20" s="90">
        <f t="shared" si="6"/>
        <v>4.3612042972945929E-2</v>
      </c>
      <c r="I20" s="91">
        <f t="shared" si="7"/>
        <v>8.7307313766267575E-2</v>
      </c>
      <c r="J20" s="91">
        <f>Datos!$P$12  *  SIN( 4*'Tablas teo'!H20 )</f>
        <v>2.2042718338769762E-2</v>
      </c>
      <c r="K20" s="93">
        <f>Datos!$P$12  *  SIN( 4*'Tablas teo'!I20 )</f>
        <v>4.345605849256888E-2</v>
      </c>
    </row>
    <row r="21" spans="2:11" ht="18" customHeight="1">
      <c r="B21" s="37">
        <f>Datos!B12</f>
        <v>8</v>
      </c>
      <c r="C21" s="30">
        <f>Datos!B29</f>
        <v>1.371185842899988E-11</v>
      </c>
      <c r="D21" s="90">
        <f t="shared" si="4"/>
        <v>3.3630317438463987E-2</v>
      </c>
      <c r="E21" s="91">
        <f t="shared" si="5"/>
        <v>6.7298746177686899E-2</v>
      </c>
      <c r="F21" s="91">
        <f>Datos!$P$12  *  SIN( 4*'Tablas teo'!D21 )</f>
        <v>1.7032721987878079E-2</v>
      </c>
      <c r="G21" s="92">
        <f>Datos!$P$12  *  SIN( 4*'Tablas teo'!E21 )</f>
        <v>3.3776348504841298E-2</v>
      </c>
      <c r="H21" s="90">
        <f t="shared" si="6"/>
        <v>4.0793713084244142E-2</v>
      </c>
      <c r="I21" s="91">
        <f t="shared" si="7"/>
        <v>8.1655510516249613E-2</v>
      </c>
      <c r="J21" s="91">
        <f>Datos!$P$12  *  SIN( 4*'Tablas teo'!H21 )</f>
        <v>2.0631365805811246E-2</v>
      </c>
      <c r="K21" s="93">
        <f>Datos!$P$12  *  SIN( 4*'Tablas teo'!I21 )</f>
        <v>4.0747377797722181E-2</v>
      </c>
    </row>
    <row r="22" spans="2:11" ht="18" customHeight="1" thickBot="1">
      <c r="B22" s="38">
        <f>Datos!B13</f>
        <v>9</v>
      </c>
      <c r="C22" s="35">
        <f>Datos!B30</f>
        <v>1.2927664097429612E-11</v>
      </c>
      <c r="D22" s="94">
        <f t="shared" si="4"/>
        <v>3.1706302989975316E-2</v>
      </c>
      <c r="E22" s="95">
        <f t="shared" si="5"/>
        <v>6.3444536197347814E-2</v>
      </c>
      <c r="F22" s="95">
        <f>Datos!$P$12  *  SIN( 4*'Tablas teo'!D22 )</f>
        <v>1.6063657961261586E-2</v>
      </c>
      <c r="G22" s="96">
        <f>Datos!$P$12  *  SIN( 4*'Tablas teo'!E22 )</f>
        <v>3.1884985276924245E-2</v>
      </c>
      <c r="H22" s="94">
        <f t="shared" si="6"/>
        <v>3.8459495576724373E-2</v>
      </c>
      <c r="I22" s="95">
        <f t="shared" si="7"/>
        <v>7.6976025587037894E-2</v>
      </c>
      <c r="J22" s="95">
        <f>Datos!$P$12  *  SIN( 4*'Tablas teo'!H22 )</f>
        <v>1.9460452372033022E-2</v>
      </c>
      <c r="K22" s="97">
        <f>Datos!$P$12  *  SIN( 4*'Tablas teo'!I22 )</f>
        <v>3.8488870721281203E-2</v>
      </c>
    </row>
    <row r="23" spans="2:11" ht="18" customHeight="1" thickTop="1"/>
    <row r="25" spans="2:11" ht="18" customHeight="1" thickBot="1"/>
    <row r="26" spans="2:11" ht="18" customHeight="1" thickTop="1">
      <c r="B26" s="190" t="s">
        <v>41</v>
      </c>
      <c r="C26" s="193" t="s">
        <v>20</v>
      </c>
      <c r="D26" s="196">
        <f>Datos!$F$12</f>
        <v>1.2340000000000001E-10</v>
      </c>
      <c r="E26" s="197"/>
      <c r="F26" s="197"/>
      <c r="G26" s="198"/>
      <c r="H26" s="205">
        <f>Datos!$F$13</f>
        <v>1.1603000000000001E-10</v>
      </c>
      <c r="I26" s="203"/>
      <c r="J26" s="203"/>
      <c r="K26" s="204"/>
    </row>
    <row r="27" spans="2:11" ht="18" customHeight="1">
      <c r="B27" s="191"/>
      <c r="C27" s="194"/>
      <c r="D27" s="199" t="s">
        <v>15</v>
      </c>
      <c r="E27" s="186"/>
      <c r="F27" s="200" t="s">
        <v>42</v>
      </c>
      <c r="G27" s="201"/>
      <c r="H27" s="186" t="s">
        <v>15</v>
      </c>
      <c r="I27" s="187"/>
      <c r="J27" s="187" t="s">
        <v>42</v>
      </c>
      <c r="K27" s="188"/>
    </row>
    <row r="28" spans="2:11" ht="18" customHeight="1" thickBot="1">
      <c r="B28" s="192"/>
      <c r="C28" s="195"/>
      <c r="D28" s="26" t="s">
        <v>43</v>
      </c>
      <c r="E28" s="27" t="s">
        <v>44</v>
      </c>
      <c r="F28" s="27" t="s">
        <v>43</v>
      </c>
      <c r="G28" s="28" t="s">
        <v>44</v>
      </c>
      <c r="H28" s="26" t="s">
        <v>43</v>
      </c>
      <c r="I28" s="27" t="s">
        <v>44</v>
      </c>
      <c r="J28" s="27" t="s">
        <v>43</v>
      </c>
      <c r="K28" s="31" t="s">
        <v>44</v>
      </c>
    </row>
    <row r="29" spans="2:11" ht="18" customHeight="1">
      <c r="B29" s="36">
        <f>Datos!B8</f>
        <v>4</v>
      </c>
      <c r="C29" s="29">
        <f>Datos!B25</f>
        <v>1.9391496193579687E-11</v>
      </c>
      <c r="D29" s="86">
        <f t="shared" ref="D29:D34" si="8">ASIN((1*C29)   /   (2*$D$26))</f>
        <v>7.8652771884092226E-2</v>
      </c>
      <c r="E29" s="87">
        <f t="shared" ref="E29:E34" si="9">ASIN((2*C29)   /   (2*$D$26))</f>
        <v>0.1577974506675022</v>
      </c>
      <c r="F29" s="87">
        <f>Datos!$P$12  *  SIN( 4*'Tablas teo'!D29 )</f>
        <v>3.9299727248047596E-2</v>
      </c>
      <c r="G29" s="88">
        <f>Datos!$P$12  *  SIN( 4*'Tablas teo'!E29 )</f>
        <v>7.4943428217581751E-2</v>
      </c>
      <c r="H29" s="86">
        <f t="shared" ref="H29:H34" si="10">ASIN((1*C29)   /   (2*$H$26))</f>
        <v>8.3659979456466013E-2</v>
      </c>
      <c r="I29" s="87">
        <f t="shared" ref="I29:I34" si="11">ASIN((2*C29)   /   (2*$H$26))</f>
        <v>0.16791277887160505</v>
      </c>
      <c r="J29" s="87">
        <f>Datos!$P$12  *  SIN( 4*'Tablas teo'!H29 )</f>
        <v>4.1710493572713676E-2</v>
      </c>
      <c r="K29" s="89">
        <f>Datos!$P$12  *  SIN( 4*'Tablas teo'!I29 )</f>
        <v>7.9029473650075233E-2</v>
      </c>
    </row>
    <row r="30" spans="2:11" ht="18" customHeight="1">
      <c r="B30" s="37">
        <f>Datos!B9</f>
        <v>5</v>
      </c>
      <c r="C30" s="30">
        <f>Datos!B26</f>
        <v>1.7344281461223561E-11</v>
      </c>
      <c r="D30" s="90">
        <f t="shared" si="8"/>
        <v>7.0334643311257716E-2</v>
      </c>
      <c r="E30" s="91">
        <f t="shared" si="9"/>
        <v>0.14102027490374128</v>
      </c>
      <c r="F30" s="91">
        <f>Datos!$P$12  *  SIN( 4*'Tablas teo'!D30 )</f>
        <v>3.5260514148968233E-2</v>
      </c>
      <c r="G30" s="92">
        <f>Datos!$P$12  *  SIN( 4*'Tablas teo'!E30 )</f>
        <v>6.7899216155023243E-2</v>
      </c>
      <c r="H30" s="90">
        <f t="shared" si="10"/>
        <v>7.481026513940793E-2</v>
      </c>
      <c r="I30" s="91">
        <f t="shared" si="11"/>
        <v>0.15004336347960801</v>
      </c>
      <c r="J30" s="91">
        <f>Datos!$P$12  *  SIN( 4*'Tablas teo'!H30 )</f>
        <v>3.7438975043212044E-2</v>
      </c>
      <c r="K30" s="93">
        <f>Datos!$P$12  *  SIN( 4*'Tablas teo'!I30 )</f>
        <v>7.1727774069787822E-2</v>
      </c>
    </row>
    <row r="31" spans="2:11" ht="18" customHeight="1">
      <c r="B31" s="37">
        <f>Datos!B10</f>
        <v>6</v>
      </c>
      <c r="C31" s="30">
        <f>Datos!B27</f>
        <v>1.5833090325638536E-11</v>
      </c>
      <c r="D31" s="90">
        <f t="shared" si="8"/>
        <v>6.4197613986081647E-2</v>
      </c>
      <c r="E31" s="91">
        <f t="shared" si="9"/>
        <v>0.12866173351596258</v>
      </c>
      <c r="F31" s="91">
        <f>Datos!$P$12  *  SIN( 4*'Tablas teo'!D31 )</f>
        <v>3.2255150360413688E-2</v>
      </c>
      <c r="G31" s="92">
        <f>Datos!$P$12  *  SIN( 4*'Tablas teo'!E31 )</f>
        <v>6.2512898548904308E-2</v>
      </c>
      <c r="H31" s="90">
        <f t="shared" si="10"/>
        <v>6.8281480150664736E-2</v>
      </c>
      <c r="I31" s="91">
        <f t="shared" si="11"/>
        <v>0.13688393767769577</v>
      </c>
      <c r="J31" s="91">
        <f>Datos!$P$12  *  SIN( 4*'Tablas teo'!H31 )</f>
        <v>3.425733558954798E-2</v>
      </c>
      <c r="K31" s="93">
        <f>Datos!$P$12  *  SIN( 4*'Tablas teo'!I31 )</f>
        <v>6.6114271009020023E-2</v>
      </c>
    </row>
    <row r="32" spans="2:11" ht="18" customHeight="1">
      <c r="B32" s="37">
        <f>Datos!B11</f>
        <v>7</v>
      </c>
      <c r="C32" s="30">
        <f>Datos!B28</f>
        <v>1.4658593257818949E-11</v>
      </c>
      <c r="D32" s="90">
        <f t="shared" si="8"/>
        <v>5.9429601055660974E-2</v>
      </c>
      <c r="E32" s="91">
        <f t="shared" si="9"/>
        <v>0.11907040770825907</v>
      </c>
      <c r="F32" s="91">
        <f>Datos!$P$12  *  SIN( 4*'Tablas teo'!D32 )</f>
        <v>2.9906697746375593E-2</v>
      </c>
      <c r="G32" s="92">
        <f>Datos!$P$12  *  SIN( 4*'Tablas teo'!E32 )</f>
        <v>5.8226682661422252E-2</v>
      </c>
      <c r="H32" s="90">
        <f t="shared" si="10"/>
        <v>6.320933817512904E-2</v>
      </c>
      <c r="I32" s="91">
        <f t="shared" si="11"/>
        <v>0.12667300575459037</v>
      </c>
      <c r="J32" s="91">
        <f>Datos!$P$12  *  SIN( 4*'Tablas teo'!H32 )</f>
        <v>3.1769317458356185E-2</v>
      </c>
      <c r="K32" s="93">
        <f>Datos!$P$12  *  SIN( 4*'Tablas teo'!I32 )</f>
        <v>6.1631520426966714E-2</v>
      </c>
    </row>
    <row r="33" spans="2:11" ht="18" customHeight="1">
      <c r="B33" s="37">
        <f>Datos!B12</f>
        <v>8</v>
      </c>
      <c r="C33" s="30">
        <f>Datos!B29</f>
        <v>1.371185842899988E-11</v>
      </c>
      <c r="D33" s="90">
        <f t="shared" si="8"/>
        <v>5.5587205995247926E-2</v>
      </c>
      <c r="E33" s="91">
        <f t="shared" si="9"/>
        <v>0.11134710813655714</v>
      </c>
      <c r="F33" s="91">
        <f>Datos!$P$12  *  SIN( 4*'Tablas teo'!D33 )</f>
        <v>2.8006196250875727E-2</v>
      </c>
      <c r="G33" s="92">
        <f>Datos!$P$12  *  SIN( 4*'Tablas teo'!E33 )</f>
        <v>5.4712673299529412E-2</v>
      </c>
      <c r="H33" s="90">
        <f t="shared" si="10"/>
        <v>5.9121993374430956E-2</v>
      </c>
      <c r="I33" s="91">
        <f t="shared" si="11"/>
        <v>0.11845191629512748</v>
      </c>
      <c r="J33" s="91">
        <f>Datos!$P$12  *  SIN( 4*'Tablas teo'!H33 )</f>
        <v>2.9754804953030744E-2</v>
      </c>
      <c r="K33" s="93">
        <f>Datos!$P$12  *  SIN( 4*'Tablas teo'!I33 )</f>
        <v>5.7947279033214193E-2</v>
      </c>
    </row>
    <row r="34" spans="2:11" ht="18" customHeight="1" thickBot="1">
      <c r="B34" s="38">
        <f>Datos!B13</f>
        <v>9</v>
      </c>
      <c r="C34" s="35">
        <f>Datos!B30</f>
        <v>1.2927664097429612E-11</v>
      </c>
      <c r="D34" s="94">
        <f t="shared" si="8"/>
        <v>5.2405118287957242E-2</v>
      </c>
      <c r="E34" s="95">
        <f t="shared" si="9"/>
        <v>0.10495485246399805</v>
      </c>
      <c r="F34" s="95">
        <f>Datos!$P$12  *  SIN( 4*'Tablas teo'!D34 )</f>
        <v>2.6427264373100397E-2</v>
      </c>
      <c r="G34" s="96">
        <f>Datos!$P$12  *  SIN( 4*'Tablas teo'!E34 )</f>
        <v>5.1764635046613584E-2</v>
      </c>
      <c r="H34" s="94">
        <f t="shared" si="10"/>
        <v>5.5737137374646487E-2</v>
      </c>
      <c r="I34" s="95">
        <f t="shared" si="11"/>
        <v>0.11164837719822965</v>
      </c>
      <c r="J34" s="95">
        <f>Datos!$P$12  *  SIN( 4*'Tablas teo'!H34 )</f>
        <v>2.8080481330534358E-2</v>
      </c>
      <c r="K34" s="97">
        <f>Datos!$P$12  *  SIN( 4*'Tablas teo'!I34 )</f>
        <v>5.4850747702368592E-2</v>
      </c>
    </row>
    <row r="35" spans="2:11" ht="18" customHeight="1" thickTop="1"/>
  </sheetData>
  <mergeCells count="24">
    <mergeCell ref="B2:B4"/>
    <mergeCell ref="C2:C4"/>
    <mergeCell ref="D2:G2"/>
    <mergeCell ref="H2:K2"/>
    <mergeCell ref="D14:G14"/>
    <mergeCell ref="D3:E3"/>
    <mergeCell ref="F3:G3"/>
    <mergeCell ref="H3:I3"/>
    <mergeCell ref="J3:K3"/>
    <mergeCell ref="H27:I27"/>
    <mergeCell ref="J27:K27"/>
    <mergeCell ref="F15:G15"/>
    <mergeCell ref="B26:B28"/>
    <mergeCell ref="C26:C28"/>
    <mergeCell ref="B14:B16"/>
    <mergeCell ref="C14:C16"/>
    <mergeCell ref="D26:G26"/>
    <mergeCell ref="D27:E27"/>
    <mergeCell ref="F27:G27"/>
    <mergeCell ref="H14:K14"/>
    <mergeCell ref="H26:K26"/>
    <mergeCell ref="H15:I15"/>
    <mergeCell ref="J15:K15"/>
    <mergeCell ref="D15:E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K35"/>
  <sheetViews>
    <sheetView workbookViewId="0">
      <selection activeCell="B12" sqref="B12"/>
    </sheetView>
  </sheetViews>
  <sheetFormatPr defaultColWidth="11.7109375" defaultRowHeight="18" customHeight="1"/>
  <cols>
    <col min="1" max="1" width="3.7109375" style="1" customWidth="1"/>
    <col min="2" max="16384" width="11.7109375" style="1"/>
  </cols>
  <sheetData>
    <row r="1" spans="2:11" ht="8.1" customHeight="1" thickBot="1"/>
    <row r="2" spans="2:11" ht="18" customHeight="1" thickTop="1">
      <c r="B2" s="190" t="s">
        <v>41</v>
      </c>
      <c r="C2" s="193" t="s">
        <v>20</v>
      </c>
      <c r="D2" s="202">
        <f>Datos!$F$8</f>
        <v>3.3756000000000002E-10</v>
      </c>
      <c r="E2" s="203"/>
      <c r="F2" s="203"/>
      <c r="G2" s="206"/>
      <c r="H2" s="205">
        <f>Datos!$F$9</f>
        <v>2.1386E-10</v>
      </c>
      <c r="I2" s="203"/>
      <c r="J2" s="203"/>
      <c r="K2" s="204"/>
    </row>
    <row r="3" spans="2:11" ht="18" customHeight="1">
      <c r="B3" s="191"/>
      <c r="C3" s="194"/>
      <c r="D3" s="186" t="s">
        <v>15</v>
      </c>
      <c r="E3" s="187"/>
      <c r="F3" s="187" t="s">
        <v>42</v>
      </c>
      <c r="G3" s="189"/>
      <c r="H3" s="186" t="s">
        <v>15</v>
      </c>
      <c r="I3" s="187"/>
      <c r="J3" s="187" t="s">
        <v>42</v>
      </c>
      <c r="K3" s="188"/>
    </row>
    <row r="4" spans="2:11" ht="18" customHeight="1" thickBot="1">
      <c r="B4" s="192"/>
      <c r="C4" s="195"/>
      <c r="D4" s="26" t="s">
        <v>43</v>
      </c>
      <c r="E4" s="27" t="s">
        <v>44</v>
      </c>
      <c r="F4" s="27" t="s">
        <v>43</v>
      </c>
      <c r="G4" s="28" t="s">
        <v>44</v>
      </c>
      <c r="H4" s="26" t="s">
        <v>43</v>
      </c>
      <c r="I4" s="27" t="s">
        <v>44</v>
      </c>
      <c r="J4" s="27" t="s">
        <v>43</v>
      </c>
      <c r="K4" s="31" t="s">
        <v>44</v>
      </c>
    </row>
    <row r="5" spans="2:11" ht="18" customHeight="1">
      <c r="B5" s="32">
        <f>Datos!C8</f>
        <v>4.08</v>
      </c>
      <c r="C5" s="98">
        <f>Datos!C25</f>
        <v>1.9200442309962973E-11</v>
      </c>
      <c r="D5" s="86">
        <f>ASIN((1*C5)   /   (2*$D$2))</f>
        <v>2.8443878995750922E-2</v>
      </c>
      <c r="E5" s="87">
        <f>ASIN((2*C5)   /   (2*$D$2))</f>
        <v>5.6910803273324838E-2</v>
      </c>
      <c r="F5" s="87">
        <f>Datos!$P$12  *  SIN( 4*'Tablas exp'!D5 )</f>
        <v>1.4418336243067003E-2</v>
      </c>
      <c r="G5" s="88">
        <f>Datos!$P$12  *  SIN( 4*'Tablas exp'!E5 )</f>
        <v>2.8661635374646603E-2</v>
      </c>
      <c r="H5" s="86">
        <f>ASIN((1*C5)   /   (2*$H$2))</f>
        <v>4.490530424891568E-2</v>
      </c>
      <c r="I5" s="87">
        <f>ASIN((2*C5)   /   (2*$H$2))</f>
        <v>8.9901480399470698E-2</v>
      </c>
      <c r="J5" s="87">
        <f>Datos!$P$12  *  SIN( 4*'Tablas exp'!H5 )</f>
        <v>2.2689425959857058E-2</v>
      </c>
      <c r="K5" s="89">
        <f>Datos!$P$12  *  SIN( 4*'Tablas exp'!I5 )</f>
        <v>4.4691984429176025E-2</v>
      </c>
    </row>
    <row r="6" spans="2:11" ht="18" customHeight="1">
      <c r="B6" s="33">
        <f>Datos!C9</f>
        <v>5.01</v>
      </c>
      <c r="C6" s="99">
        <f>Datos!C26</f>
        <v>1.7326963152814802E-11</v>
      </c>
      <c r="D6" s="90">
        <f t="shared" ref="D6:D10" si="0">ASIN((1*C6)   /   (2*$D$2))</f>
        <v>2.5667830767893748E-2</v>
      </c>
      <c r="E6" s="91">
        <f t="shared" ref="E6:E10" si="1">ASIN((2*C6)   /   (2*$D$2))</f>
        <v>5.1352591992264718E-2</v>
      </c>
      <c r="F6" s="91">
        <f>Datos!$P$12  *  SIN( 4*'Tablas exp'!D6 )</f>
        <v>1.3016361427838975E-2</v>
      </c>
      <c r="G6" s="92">
        <f>Datos!$P$12  *  SIN( 4*'Tablas exp'!E6 )</f>
        <v>2.5904052588636324E-2</v>
      </c>
      <c r="H6" s="90">
        <f t="shared" ref="H6:H10" si="2">ASIN((1*C6)   /   (2*$H$2))</f>
        <v>4.0521148807983597E-2</v>
      </c>
      <c r="I6" s="91">
        <f t="shared" ref="I6:I10" si="3">ASIN((2*C6)   /   (2*$H$2))</f>
        <v>8.110902374018325E-2</v>
      </c>
      <c r="J6" s="91">
        <f>Datos!$P$12  *  SIN( 4*'Tablas exp'!H6 )</f>
        <v>2.0494730187754034E-2</v>
      </c>
      <c r="K6" s="93">
        <f>Datos!$P$12  *  SIN( 4*'Tablas exp'!I6 )</f>
        <v>4.0484342462307525E-2</v>
      </c>
    </row>
    <row r="7" spans="2:11" ht="18" customHeight="1">
      <c r="B7" s="33">
        <f>Datos!C10</f>
        <v>5.98</v>
      </c>
      <c r="C7" s="99">
        <f>Datos!C27</f>
        <v>1.5859544964668928E-11</v>
      </c>
      <c r="D7" s="90">
        <f t="shared" si="0"/>
        <v>2.3493607067583813E-2</v>
      </c>
      <c r="E7" s="91">
        <f t="shared" si="1"/>
        <v>4.7000193962075464E-2</v>
      </c>
      <c r="F7" s="91">
        <f>Datos!$P$12  *  SIN( 4*'Tablas exp'!D7 )</f>
        <v>1.1917193794663598E-2</v>
      </c>
      <c r="G7" s="92">
        <f>Datos!$P$12  *  SIN( 4*'Tablas exp'!E7 )</f>
        <v>2.3735699579017767E-2</v>
      </c>
      <c r="H7" s="90">
        <f t="shared" si="2"/>
        <v>3.7087770869161943E-2</v>
      </c>
      <c r="I7" s="91">
        <f t="shared" si="3"/>
        <v>7.4226679240878154E-2</v>
      </c>
      <c r="J7" s="91">
        <f>Datos!$P$12  *  SIN( 4*'Tablas exp'!H7 )</f>
        <v>1.8771556194259471E-2</v>
      </c>
      <c r="K7" s="93">
        <f>Datos!$P$12  *  SIN( 4*'Tablas exp'!I7 )</f>
        <v>3.7155586266706377E-2</v>
      </c>
    </row>
    <row r="8" spans="2:11" ht="18" customHeight="1">
      <c r="B8" s="33">
        <f>Datos!C11</f>
        <v>7.04</v>
      </c>
      <c r="C8" s="99">
        <f>Datos!C28</f>
        <v>1.4616890205012538E-11</v>
      </c>
      <c r="D8" s="90">
        <f t="shared" si="0"/>
        <v>2.1652494976061504E-2</v>
      </c>
      <c r="E8" s="91">
        <f t="shared" si="1"/>
        <v>4.331514964033651E-2</v>
      </c>
      <c r="F8" s="91">
        <f>Datos!$P$12  *  SIN( 4*'Tablas exp'!D8 )</f>
        <v>1.098572090802682E-2</v>
      </c>
      <c r="G8" s="92">
        <f>Datos!$P$12  *  SIN( 4*'Tablas exp'!E8 )</f>
        <v>2.1894170120045048E-2</v>
      </c>
      <c r="H8" s="90">
        <f t="shared" si="2"/>
        <v>3.4180624665518078E-2</v>
      </c>
      <c r="I8" s="91">
        <f t="shared" si="3"/>
        <v>6.8401264928557415E-2</v>
      </c>
      <c r="J8" s="91">
        <f>Datos!$P$12  *  SIN( 4*'Tablas exp'!H8 )</f>
        <v>1.730971096290412E-2</v>
      </c>
      <c r="K8" s="93">
        <f>Datos!$P$12  *  SIN( 4*'Tablas exp'!I8 )</f>
        <v>3.4315926734454973E-2</v>
      </c>
    </row>
    <row r="9" spans="2:11" ht="18" customHeight="1">
      <c r="B9" s="33">
        <f>Datos!C12</f>
        <v>8.02</v>
      </c>
      <c r="C9" s="99">
        <f>Datos!C29</f>
        <v>1.369475067619152E-11</v>
      </c>
      <c r="D9" s="90">
        <f t="shared" si="0"/>
        <v>2.0286304702731052E-2</v>
      </c>
      <c r="E9" s="91">
        <f t="shared" si="1"/>
        <v>4.0580963930725689E-2</v>
      </c>
      <c r="F9" s="91">
        <f>Datos!$P$12  *  SIN( 4*'Tablas exp'!D9 )</f>
        <v>1.0294137067179099E-2</v>
      </c>
      <c r="G9" s="92">
        <f>Datos!$P$12  *  SIN( 4*'Tablas exp'!E9 )</f>
        <v>2.0524717413571432E-2</v>
      </c>
      <c r="H9" s="90">
        <f t="shared" si="2"/>
        <v>3.2023500485978386E-2</v>
      </c>
      <c r="I9" s="91">
        <f t="shared" si="3"/>
        <v>6.4079900288268321E-2</v>
      </c>
      <c r="J9" s="91">
        <f>Datos!$P$12  *  SIN( 4*'Tablas exp'!H9 )</f>
        <v>1.6223487143110164E-2</v>
      </c>
      <c r="K9" s="93">
        <f>Datos!$P$12  *  SIN( 4*'Tablas exp'!I9 )</f>
        <v>3.2197309016628921E-2</v>
      </c>
    </row>
    <row r="10" spans="2:11" ht="18" customHeight="1" thickBot="1">
      <c r="B10" s="34">
        <f>Datos!C13</f>
        <v>8.94</v>
      </c>
      <c r="C10" s="100">
        <f>Datos!C30</f>
        <v>1.2970972976567375E-11</v>
      </c>
      <c r="D10" s="94">
        <f t="shared" si="0"/>
        <v>1.9214022858225384E-2</v>
      </c>
      <c r="E10" s="95">
        <f t="shared" si="1"/>
        <v>3.8435143710458849E-2</v>
      </c>
      <c r="F10" s="95">
        <f>Datos!$P$12  *  SIN( 4*'Tablas exp'!D10 )</f>
        <v>9.7511172469116371E-3</v>
      </c>
      <c r="G10" s="96">
        <f>Datos!$P$12  *  SIN( 4*'Tablas exp'!E10 )</f>
        <v>1.9448227627033569E-2</v>
      </c>
      <c r="H10" s="94">
        <f t="shared" si="2"/>
        <v>3.0330501125339367E-2</v>
      </c>
      <c r="I10" s="95">
        <f t="shared" si="3"/>
        <v>6.0688949481535609E-2</v>
      </c>
      <c r="J10" s="95">
        <f>Datos!$P$12  *  SIN( 4*'Tablas exp'!H10 )</f>
        <v>1.5370124172307044E-2</v>
      </c>
      <c r="K10" s="97">
        <f>Datos!$P$12  *  SIN( 4*'Tablas exp'!I10 )</f>
        <v>3.0528073514367884E-2</v>
      </c>
    </row>
    <row r="11" spans="2:11" ht="18" customHeight="1" thickTop="1"/>
    <row r="13" spans="2:11" ht="18" customHeight="1" thickBot="1"/>
    <row r="14" spans="2:11" ht="18" customHeight="1" thickTop="1">
      <c r="B14" s="190" t="s">
        <v>41</v>
      </c>
      <c r="C14" s="193" t="s">
        <v>20</v>
      </c>
      <c r="D14" s="202">
        <f>Datos!$F$10</f>
        <v>2.0390000000000001E-10</v>
      </c>
      <c r="E14" s="203"/>
      <c r="F14" s="203"/>
      <c r="G14" s="207"/>
      <c r="H14" s="202">
        <f>Datos!$F$11</f>
        <v>1.6811E-10</v>
      </c>
      <c r="I14" s="203"/>
      <c r="J14" s="203"/>
      <c r="K14" s="204"/>
    </row>
    <row r="15" spans="2:11" ht="18" customHeight="1">
      <c r="B15" s="191"/>
      <c r="C15" s="194"/>
      <c r="D15" s="186" t="s">
        <v>15</v>
      </c>
      <c r="E15" s="187"/>
      <c r="F15" s="187" t="s">
        <v>42</v>
      </c>
      <c r="G15" s="189"/>
      <c r="H15" s="186" t="s">
        <v>15</v>
      </c>
      <c r="I15" s="187"/>
      <c r="J15" s="187" t="s">
        <v>42</v>
      </c>
      <c r="K15" s="188"/>
    </row>
    <row r="16" spans="2:11" ht="18" customHeight="1" thickBot="1">
      <c r="B16" s="192"/>
      <c r="C16" s="195"/>
      <c r="D16" s="26" t="s">
        <v>43</v>
      </c>
      <c r="E16" s="27" t="s">
        <v>44</v>
      </c>
      <c r="F16" s="27" t="s">
        <v>43</v>
      </c>
      <c r="G16" s="28" t="s">
        <v>44</v>
      </c>
      <c r="H16" s="26" t="s">
        <v>43</v>
      </c>
      <c r="I16" s="27" t="s">
        <v>44</v>
      </c>
      <c r="J16" s="27" t="s">
        <v>43</v>
      </c>
      <c r="K16" s="31" t="s">
        <v>44</v>
      </c>
    </row>
    <row r="17" spans="2:11" ht="18" customHeight="1">
      <c r="B17" s="32">
        <f>Datos!C8</f>
        <v>4.08</v>
      </c>
      <c r="C17" s="98">
        <f>Datos!C25</f>
        <v>1.9200442309962973E-11</v>
      </c>
      <c r="D17" s="86">
        <f t="shared" ref="D17:D22" si="4">ASIN((1*C5)   /   (2*$D$14))</f>
        <v>4.7100400549488643E-2</v>
      </c>
      <c r="E17" s="87">
        <f t="shared" ref="E17:E22" si="5">ASIN((2*C5)   /   (2*$D$14))</f>
        <v>9.4305698529887655E-2</v>
      </c>
      <c r="F17" s="87">
        <f>Datos!$P$12  *  SIN( 4*'Tablas exp'!D17 )</f>
        <v>2.3785705664260068E-2</v>
      </c>
      <c r="G17" s="88">
        <f>Datos!$P$12  *  SIN( 4*'Tablas exp'!E17 )</f>
        <v>4.6779173575227082E-2</v>
      </c>
      <c r="H17" s="86">
        <f t="shared" ref="H17:H22" si="6">ASIN((1*C29)   /   (2*$H$14))</f>
        <v>5.7137867128729043E-2</v>
      </c>
      <c r="I17" s="87">
        <f t="shared" ref="I17:I22" si="7">ASIN((2*C29)   /   (2*$H$14))</f>
        <v>0.11446334779258088</v>
      </c>
      <c r="J17" s="87">
        <f>Datos!$P$12  *  SIN( 4*'Tablas exp'!H17 )</f>
        <v>2.8773996099739404E-2</v>
      </c>
      <c r="K17" s="89">
        <f>Datos!$P$12  *  SIN( 4*'Tablas exp'!I17 )</f>
        <v>5.6136998647710309E-2</v>
      </c>
    </row>
    <row r="18" spans="2:11" ht="18" customHeight="1">
      <c r="B18" s="33">
        <f>Datos!C9</f>
        <v>5.01</v>
      </c>
      <c r="C18" s="99">
        <f>Datos!C26</f>
        <v>1.7326963152814802E-11</v>
      </c>
      <c r="D18" s="90">
        <f t="shared" si="4"/>
        <v>4.2501669445939805E-2</v>
      </c>
      <c r="E18" s="91">
        <f t="shared" si="5"/>
        <v>8.5080357233520962E-2</v>
      </c>
      <c r="F18" s="91">
        <f>Datos!$P$12  *  SIN( 4*'Tablas exp'!D18 )</f>
        <v>2.148699418431705E-2</v>
      </c>
      <c r="G18" s="92">
        <f>Datos!$P$12  *  SIN( 4*'Tablas exp'!E18 )</f>
        <v>4.2391343149004744E-2</v>
      </c>
      <c r="H18" s="90">
        <f t="shared" si="6"/>
        <v>5.1557438189382063E-2</v>
      </c>
      <c r="I18" s="91">
        <f t="shared" si="7"/>
        <v>0.10325256606754596</v>
      </c>
      <c r="J18" s="91">
        <f>Datos!$P$12  *  SIN( 4*'Tablas exp'!H18 )</f>
        <v>2.6005918094784884E-2</v>
      </c>
      <c r="K18" s="93">
        <f>Datos!$P$12  *  SIN( 4*'Tablas exp'!I18 )</f>
        <v>5.0973773315562895E-2</v>
      </c>
    </row>
    <row r="19" spans="2:11" ht="18" customHeight="1">
      <c r="B19" s="33">
        <f>Datos!C10</f>
        <v>5.98</v>
      </c>
      <c r="C19" s="99">
        <f>Datos!C27</f>
        <v>1.5859544964668928E-11</v>
      </c>
      <c r="D19" s="90">
        <f t="shared" si="4"/>
        <v>3.8900307841866523E-2</v>
      </c>
      <c r="E19" s="91">
        <f t="shared" si="5"/>
        <v>7.785963735689673E-2</v>
      </c>
      <c r="F19" s="91">
        <f>Datos!$P$12  *  SIN( 4*'Tablas exp'!D19 )</f>
        <v>1.9681710049313211E-2</v>
      </c>
      <c r="G19" s="92">
        <f>Datos!$P$12  *  SIN( 4*'Tablas exp'!E19 )</f>
        <v>3.8916394002834365E-2</v>
      </c>
      <c r="H19" s="90">
        <f t="shared" si="6"/>
        <v>4.7187651442281646E-2</v>
      </c>
      <c r="I19" s="91">
        <f t="shared" si="7"/>
        <v>9.4480785873768E-2</v>
      </c>
      <c r="J19" s="91">
        <f>Datos!$P$12  *  SIN( 4*'Tablas exp'!H19 )</f>
        <v>2.3829243358261889E-2</v>
      </c>
      <c r="K19" s="93">
        <f>Datos!$P$12  *  SIN( 4*'Tablas exp'!I19 )</f>
        <v>4.6861852892662467E-2</v>
      </c>
    </row>
    <row r="20" spans="2:11" ht="18" customHeight="1">
      <c r="B20" s="33">
        <f>Datos!C11</f>
        <v>7.04</v>
      </c>
      <c r="C20" s="99">
        <f>Datos!C28</f>
        <v>1.4616890205012538E-11</v>
      </c>
      <c r="D20" s="90">
        <f t="shared" si="4"/>
        <v>3.5850960851218548E-2</v>
      </c>
      <c r="E20" s="91">
        <f t="shared" si="5"/>
        <v>7.1748104572025892E-2</v>
      </c>
      <c r="F20" s="91">
        <f>Datos!$P$12  *  SIN( 4*'Tablas exp'!D20 )</f>
        <v>1.8149930672482759E-2</v>
      </c>
      <c r="G20" s="92">
        <f>Datos!$P$12  *  SIN( 4*'Tablas exp'!E20 )</f>
        <v>3.5949755303533198E-2</v>
      </c>
      <c r="H20" s="90">
        <f t="shared" si="6"/>
        <v>4.3487890242276103E-2</v>
      </c>
      <c r="I20" s="91">
        <f t="shared" si="7"/>
        <v>8.7058297969712498E-2</v>
      </c>
      <c r="J20" s="91">
        <f>Datos!$P$12  *  SIN( 4*'Tablas exp'!H20 )</f>
        <v>2.198060327678604E-2</v>
      </c>
      <c r="K20" s="93">
        <f>Datos!$P$12  *  SIN( 4*'Tablas exp'!I20 )</f>
        <v>4.3337172886626051E-2</v>
      </c>
    </row>
    <row r="21" spans="2:11" ht="18" customHeight="1">
      <c r="B21" s="33">
        <f>Datos!C12</f>
        <v>8.02</v>
      </c>
      <c r="C21" s="99">
        <f>Datos!C29</f>
        <v>1.369475067619152E-11</v>
      </c>
      <c r="D21" s="90">
        <f t="shared" si="4"/>
        <v>3.3588342402398566E-2</v>
      </c>
      <c r="E21" s="91">
        <f t="shared" si="5"/>
        <v>6.7214653391885662E-2</v>
      </c>
      <c r="F21" s="91">
        <f>Datos!$P$12  *  SIN( 4*'Tablas exp'!D21 )</f>
        <v>1.7011591071894618E-2</v>
      </c>
      <c r="G21" s="92">
        <f>Datos!$P$12  *  SIN( 4*'Tablas exp'!E21 )</f>
        <v>3.3735165976150637E-2</v>
      </c>
      <c r="H21" s="90">
        <f t="shared" si="6"/>
        <v>4.0742788155224717E-2</v>
      </c>
      <c r="I21" s="91">
        <f t="shared" si="7"/>
        <v>8.1553405501542345E-2</v>
      </c>
      <c r="J21" s="91">
        <f>Datos!$P$12  *  SIN( 4*'Tablas exp'!H21 )</f>
        <v>2.0605839156427209E-2</v>
      </c>
      <c r="K21" s="93">
        <f>Datos!$P$12  *  SIN( 4*'Tablas exp'!I21 )</f>
        <v>4.0698247305265743E-2</v>
      </c>
    </row>
    <row r="22" spans="2:11" ht="18" customHeight="1" thickBot="1">
      <c r="B22" s="34">
        <f>Datos!C13</f>
        <v>8.94</v>
      </c>
      <c r="C22" s="100">
        <f>Datos!C30</f>
        <v>1.2970972976567375E-11</v>
      </c>
      <c r="D22" s="94">
        <f t="shared" si="4"/>
        <v>3.1812557846128679E-2</v>
      </c>
      <c r="E22" s="95">
        <f t="shared" si="5"/>
        <v>6.3657368384342078E-2</v>
      </c>
      <c r="F22" s="95">
        <f>Datos!$P$12  *  SIN( 4*'Tablas exp'!D22 )</f>
        <v>1.6117200453338393E-2</v>
      </c>
      <c r="G22" s="96">
        <f>Datos!$P$12  *  SIN( 4*'Tablas exp'!E22 )</f>
        <v>3.1989629501593987E-2</v>
      </c>
      <c r="H22" s="94">
        <f t="shared" si="6"/>
        <v>3.8588402352913602E-2</v>
      </c>
      <c r="I22" s="95">
        <f t="shared" si="7"/>
        <v>7.7234415565286069E-2</v>
      </c>
      <c r="J22" s="95">
        <f>Datos!$P$12  *  SIN( 4*'Tablas exp'!H22 )</f>
        <v>1.9525161067626227E-2</v>
      </c>
      <c r="K22" s="97">
        <f>Datos!$P$12  *  SIN( 4*'Tablas exp'!I22 )</f>
        <v>3.8613939104679217E-2</v>
      </c>
    </row>
    <row r="23" spans="2:11" ht="18" customHeight="1" thickTop="1"/>
    <row r="25" spans="2:11" ht="18" customHeight="1" thickBot="1"/>
    <row r="26" spans="2:11" ht="18" customHeight="1" thickTop="1">
      <c r="B26" s="190" t="s">
        <v>41</v>
      </c>
      <c r="C26" s="193" t="s">
        <v>20</v>
      </c>
      <c r="D26" s="196">
        <f>Datos!$F$12</f>
        <v>1.2340000000000001E-10</v>
      </c>
      <c r="E26" s="197"/>
      <c r="F26" s="197"/>
      <c r="G26" s="198"/>
      <c r="H26" s="205">
        <f>Datos!$F$13</f>
        <v>1.1603000000000001E-10</v>
      </c>
      <c r="I26" s="203"/>
      <c r="J26" s="203"/>
      <c r="K26" s="204"/>
    </row>
    <row r="27" spans="2:11" ht="18" customHeight="1">
      <c r="B27" s="191"/>
      <c r="C27" s="194"/>
      <c r="D27" s="199" t="s">
        <v>15</v>
      </c>
      <c r="E27" s="186"/>
      <c r="F27" s="200" t="s">
        <v>42</v>
      </c>
      <c r="G27" s="201"/>
      <c r="H27" s="186" t="s">
        <v>15</v>
      </c>
      <c r="I27" s="187"/>
      <c r="J27" s="187" t="s">
        <v>42</v>
      </c>
      <c r="K27" s="188"/>
    </row>
    <row r="28" spans="2:11" ht="18" customHeight="1" thickBot="1">
      <c r="B28" s="192"/>
      <c r="C28" s="195"/>
      <c r="D28" s="26" t="s">
        <v>43</v>
      </c>
      <c r="E28" s="27" t="s">
        <v>44</v>
      </c>
      <c r="F28" s="27" t="s">
        <v>43</v>
      </c>
      <c r="G28" s="28" t="s">
        <v>44</v>
      </c>
      <c r="H28" s="26" t="s">
        <v>43</v>
      </c>
      <c r="I28" s="27" t="s">
        <v>44</v>
      </c>
      <c r="J28" s="27" t="s">
        <v>43</v>
      </c>
      <c r="K28" s="31" t="s">
        <v>44</v>
      </c>
    </row>
    <row r="29" spans="2:11" ht="18" customHeight="1">
      <c r="B29" s="32">
        <f>Datos!C8</f>
        <v>4.08</v>
      </c>
      <c r="C29" s="98">
        <f>Datos!C25</f>
        <v>1.9200442309962973E-11</v>
      </c>
      <c r="D29" s="86">
        <f t="shared" ref="D29:D34" si="8">ASIN((1*C29)   /   (2*$D$26))</f>
        <v>7.7876270587083712E-2</v>
      </c>
      <c r="E29" s="87">
        <f t="shared" ref="E29:E34" si="9">ASIN((2*C29)   /   (2*$D$26))</f>
        <v>0.15622991911076617</v>
      </c>
      <c r="F29" s="87">
        <f>Datos!$P$12  *  SIN( 4*'Tablas exp'!D29 )</f>
        <v>3.8924437115104182E-2</v>
      </c>
      <c r="G29" s="88">
        <f>Datos!$P$12  *  SIN( 4*'Tablas exp'!E29 )</f>
        <v>7.4299080714564397E-2</v>
      </c>
      <c r="H29" s="86">
        <f t="shared" ref="H29:H34" si="10">ASIN((1*C29)   /   (2*$H$26))</f>
        <v>8.2833823237455001E-2</v>
      </c>
      <c r="I29" s="87">
        <f t="shared" ref="I29:I34" si="11">ASIN((2*C29)   /   (2*$H$26))</f>
        <v>0.16624293560566494</v>
      </c>
      <c r="J29" s="87">
        <f>Datos!$P$12  *  SIN( 4*'Tablas exp'!H29 )</f>
        <v>4.1313859816301569E-2</v>
      </c>
      <c r="K29" s="89">
        <f>Datos!$P$12  *  SIN( 4*'Tablas exp'!I29 )</f>
        <v>7.8363685807216574E-2</v>
      </c>
    </row>
    <row r="30" spans="2:11" ht="18" customHeight="1">
      <c r="B30" s="33">
        <f>Datos!C9</f>
        <v>5.01</v>
      </c>
      <c r="C30" s="99">
        <f>Datos!C26</f>
        <v>1.7326963152814802E-11</v>
      </c>
      <c r="D30" s="90">
        <f t="shared" si="8"/>
        <v>7.0264298131418171E-2</v>
      </c>
      <c r="E30" s="91">
        <f t="shared" si="9"/>
        <v>0.14087852633684941</v>
      </c>
      <c r="F30" s="91">
        <f>Datos!$P$12  *  SIN( 4*'Tablas exp'!D30 )</f>
        <v>3.5226182349847417E-2</v>
      </c>
      <c r="G30" s="92">
        <f>Datos!$P$12  *  SIN( 4*'Tablas exp'!E30 )</f>
        <v>6.7838352476485869E-2</v>
      </c>
      <c r="H30" s="90">
        <f t="shared" si="10"/>
        <v>7.4735427448305608E-2</v>
      </c>
      <c r="I30" s="91">
        <f t="shared" si="11"/>
        <v>0.14989241202044953</v>
      </c>
      <c r="J30" s="91">
        <f>Datos!$P$12  *  SIN( 4*'Tablas exp'!H30 )</f>
        <v>3.7402645300143721E-2</v>
      </c>
      <c r="K30" s="93">
        <f>Datos!$P$12  *  SIN( 4*'Tablas exp'!I30 )</f>
        <v>7.1664479016994437E-2</v>
      </c>
    </row>
    <row r="31" spans="2:11" ht="18" customHeight="1">
      <c r="B31" s="33">
        <f>Datos!C10</f>
        <v>5.98</v>
      </c>
      <c r="C31" s="99">
        <f>Datos!C27</f>
        <v>1.5859544964668928E-11</v>
      </c>
      <c r="D31" s="90">
        <f t="shared" si="8"/>
        <v>6.4305026216929337E-2</v>
      </c>
      <c r="E31" s="91">
        <f t="shared" si="9"/>
        <v>0.12887790447002953</v>
      </c>
      <c r="F31" s="91">
        <f>Datos!$P$12  *  SIN( 4*'Tablas exp'!D31 )</f>
        <v>3.2307923601073339E-2</v>
      </c>
      <c r="G31" s="92">
        <f>Datos!$P$12  *  SIN( 4*'Tablas exp'!E31 )</f>
        <v>6.2608465317889841E-2</v>
      </c>
      <c r="H31" s="90">
        <f t="shared" si="10"/>
        <v>6.8395746001124358E-2</v>
      </c>
      <c r="I31" s="91">
        <f t="shared" si="11"/>
        <v>0.13711409242629838</v>
      </c>
      <c r="J31" s="91">
        <f>Datos!$P$12  *  SIN( 4*'Tablas exp'!H31 )</f>
        <v>3.4313227396881398E-2</v>
      </c>
      <c r="K31" s="93">
        <f>Datos!$P$12  *  SIN( 4*'Tablas exp'!I31 )</f>
        <v>6.621406925383716E-2</v>
      </c>
    </row>
    <row r="32" spans="2:11" ht="18" customHeight="1">
      <c r="B32" s="33">
        <f>Datos!C11</f>
        <v>7.04</v>
      </c>
      <c r="C32" s="99">
        <f>Datos!C28</f>
        <v>1.4616890205012538E-11</v>
      </c>
      <c r="D32" s="90">
        <f t="shared" si="8"/>
        <v>5.9260327975454129E-2</v>
      </c>
      <c r="E32" s="91">
        <f t="shared" si="9"/>
        <v>0.1187300545232205</v>
      </c>
      <c r="F32" s="91">
        <f>Datos!$P$12  *  SIN( 4*'Tablas exp'!D32 )</f>
        <v>2.982311842203194E-2</v>
      </c>
      <c r="G32" s="92">
        <f>Datos!$P$12  *  SIN( 4*'Tablas exp'!E32 )</f>
        <v>5.8072972024283263E-2</v>
      </c>
      <c r="H32" s="90">
        <f t="shared" si="10"/>
        <v>6.3029271535277209E-2</v>
      </c>
      <c r="I32" s="91">
        <f t="shared" si="11"/>
        <v>0.12631069497147168</v>
      </c>
      <c r="J32" s="91">
        <f>Datos!$P$12  *  SIN( 4*'Tablas exp'!H32 )</f>
        <v>3.1680743641617548E-2</v>
      </c>
      <c r="K32" s="93">
        <f>Datos!$P$12  *  SIN( 4*'Tablas exp'!I32 )</f>
        <v>6.1470527404469996E-2</v>
      </c>
    </row>
    <row r="33" spans="2:11" ht="18" customHeight="1">
      <c r="B33" s="33">
        <f>Datos!C12</f>
        <v>8.02</v>
      </c>
      <c r="C33" s="99">
        <f>Datos!C29</f>
        <v>1.369475067619152E-11</v>
      </c>
      <c r="D33" s="90">
        <f t="shared" si="8"/>
        <v>5.5517780611368646E-2</v>
      </c>
      <c r="E33" s="91">
        <f t="shared" si="9"/>
        <v>0.11120760877078757</v>
      </c>
      <c r="F33" s="91">
        <f>Datos!$P$12  *  SIN( 4*'Tablas exp'!D33 )</f>
        <v>2.7971795300211304E-2</v>
      </c>
      <c r="G33" s="92">
        <f>Datos!$P$12  *  SIN( 4*'Tablas exp'!E33 )</f>
        <v>5.4648712522384055E-2</v>
      </c>
      <c r="H33" s="90">
        <f t="shared" si="10"/>
        <v>5.9048143256869558E-2</v>
      </c>
      <c r="I33" s="91">
        <f t="shared" si="11"/>
        <v>0.11830343465639946</v>
      </c>
      <c r="J33" s="91">
        <f>Datos!$P$12  *  SIN( 4*'Tablas exp'!H33 )</f>
        <v>2.9718331982018339E-2</v>
      </c>
      <c r="K33" s="93">
        <f>Datos!$P$12  *  SIN( 4*'Tablas exp'!I33 )</f>
        <v>5.7880149563706698E-2</v>
      </c>
    </row>
    <row r="34" spans="2:11" ht="18" customHeight="1" thickBot="1">
      <c r="B34" s="34">
        <f>Datos!C13</f>
        <v>8.94</v>
      </c>
      <c r="C34" s="100">
        <f>Datos!C30</f>
        <v>1.2970972976567375E-11</v>
      </c>
      <c r="D34" s="94">
        <f t="shared" si="8"/>
        <v>5.2580842019186183E-2</v>
      </c>
      <c r="E34" s="95">
        <f t="shared" si="9"/>
        <v>0.10530776432975918</v>
      </c>
      <c r="F34" s="95">
        <f>Datos!$P$12  *  SIN( 4*'Tablas exp'!D34 )</f>
        <v>2.6514571420519325E-2</v>
      </c>
      <c r="G34" s="96">
        <f>Datos!$P$12  *  SIN( 4*'Tablas exp'!E34 )</f>
        <v>5.1928294494444811E-2</v>
      </c>
      <c r="H34" s="94">
        <f t="shared" si="10"/>
        <v>5.5924056555324259E-2</v>
      </c>
      <c r="I34" s="95">
        <f t="shared" si="11"/>
        <v>0.11202397951915245</v>
      </c>
      <c r="J34" s="95">
        <f>Datos!$P$12  *  SIN( 4*'Tablas exp'!H34 )</f>
        <v>2.8173078258047695E-2</v>
      </c>
      <c r="K34" s="97">
        <f>Datos!$P$12  *  SIN( 4*'Tablas exp'!I34 )</f>
        <v>5.5022778144097131E-2</v>
      </c>
    </row>
    <row r="35" spans="2:11" ht="18" customHeight="1" thickTop="1"/>
  </sheetData>
  <mergeCells count="24">
    <mergeCell ref="B2:B4"/>
    <mergeCell ref="C2:C4"/>
    <mergeCell ref="D2:G2"/>
    <mergeCell ref="D3:E3"/>
    <mergeCell ref="F3:G3"/>
    <mergeCell ref="H2:K2"/>
    <mergeCell ref="H3:I3"/>
    <mergeCell ref="J3:K3"/>
    <mergeCell ref="D14:G14"/>
    <mergeCell ref="D15:E15"/>
    <mergeCell ref="F15:G15"/>
    <mergeCell ref="H26:K26"/>
    <mergeCell ref="H27:I27"/>
    <mergeCell ref="J27:K27"/>
    <mergeCell ref="H14:K14"/>
    <mergeCell ref="H15:I15"/>
    <mergeCell ref="J15:K15"/>
    <mergeCell ref="B14:B16"/>
    <mergeCell ref="C14:C16"/>
    <mergeCell ref="D26:G26"/>
    <mergeCell ref="D27:E27"/>
    <mergeCell ref="F27:G27"/>
    <mergeCell ref="B26:B28"/>
    <mergeCell ref="C26:C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R35"/>
  <sheetViews>
    <sheetView tabSelected="1" topLeftCell="A22" workbookViewId="0">
      <selection activeCell="B24" sqref="B24"/>
    </sheetView>
  </sheetViews>
  <sheetFormatPr defaultColWidth="10.7109375" defaultRowHeight="18" customHeight="1"/>
  <cols>
    <col min="1" max="1" width="3.7109375" style="41" customWidth="1"/>
    <col min="2" max="16384" width="10.7109375" style="41"/>
  </cols>
  <sheetData>
    <row r="1" spans="2:18" s="40" customFormat="1" ht="18" customHeight="1" thickBot="1"/>
    <row r="2" spans="2:18" ht="18" customHeight="1" thickTop="1">
      <c r="B2" s="208" t="s">
        <v>60</v>
      </c>
      <c r="C2" s="202" t="s">
        <v>51</v>
      </c>
      <c r="D2" s="203"/>
      <c r="E2" s="206"/>
      <c r="F2" s="205" t="s">
        <v>52</v>
      </c>
      <c r="G2" s="203"/>
      <c r="H2" s="204"/>
      <c r="L2" s="211" t="s">
        <v>53</v>
      </c>
      <c r="M2" s="211"/>
      <c r="N2" s="211"/>
      <c r="O2" s="211"/>
      <c r="P2" s="211"/>
    </row>
    <row r="3" spans="2:18" ht="18" customHeight="1">
      <c r="B3" s="209"/>
      <c r="C3" s="187" t="s">
        <v>47</v>
      </c>
      <c r="D3" s="187"/>
      <c r="E3" s="189"/>
      <c r="F3" s="186" t="s">
        <v>47</v>
      </c>
      <c r="G3" s="187"/>
      <c r="H3" s="188"/>
      <c r="L3" s="211"/>
      <c r="M3" s="211"/>
      <c r="N3" s="211"/>
      <c r="O3" s="211"/>
      <c r="P3" s="211"/>
    </row>
    <row r="4" spans="2:18" ht="18" customHeight="1" thickBot="1">
      <c r="B4" s="210"/>
      <c r="C4" s="42" t="s">
        <v>48</v>
      </c>
      <c r="D4" s="42" t="s">
        <v>49</v>
      </c>
      <c r="E4" s="48" t="s">
        <v>50</v>
      </c>
      <c r="F4" s="47" t="s">
        <v>48</v>
      </c>
      <c r="G4" s="42" t="s">
        <v>49</v>
      </c>
      <c r="H4" s="43" t="s">
        <v>50</v>
      </c>
      <c r="J4" s="55"/>
      <c r="K4" s="55"/>
      <c r="L4" s="55"/>
      <c r="M4" s="55"/>
      <c r="N4" s="55"/>
      <c r="O4" s="55"/>
      <c r="P4" s="55"/>
    </row>
    <row r="5" spans="2:18" ht="18" customHeight="1">
      <c r="B5" s="44">
        <v>4.08</v>
      </c>
      <c r="C5" s="49">
        <v>22.1</v>
      </c>
      <c r="D5" s="50">
        <v>24.5</v>
      </c>
      <c r="E5" s="82">
        <f>(C5+D5) / 2</f>
        <v>23.3</v>
      </c>
      <c r="F5" s="49">
        <v>45.3</v>
      </c>
      <c r="G5" s="50">
        <v>47.9</v>
      </c>
      <c r="H5" s="84">
        <f>(F5+G5) / 2</f>
        <v>46.599999999999994</v>
      </c>
      <c r="J5" s="55"/>
      <c r="K5" s="55"/>
      <c r="M5" s="56" t="s">
        <v>55</v>
      </c>
      <c r="N5" s="57">
        <v>0.1</v>
      </c>
      <c r="O5" s="58" t="s">
        <v>54</v>
      </c>
      <c r="P5" s="55"/>
      <c r="Q5" s="55"/>
      <c r="R5" s="55"/>
    </row>
    <row r="6" spans="2:18" ht="18" customHeight="1">
      <c r="B6" s="45">
        <v>5.01</v>
      </c>
      <c r="C6" s="49">
        <v>19.399999999999999</v>
      </c>
      <c r="D6" s="50">
        <v>21.7</v>
      </c>
      <c r="E6" s="82">
        <f t="shared" ref="E6:E10" si="0">(C6+D6) / 2</f>
        <v>20.549999999999997</v>
      </c>
      <c r="F6" s="49">
        <v>40</v>
      </c>
      <c r="G6" s="50">
        <v>44.9</v>
      </c>
      <c r="H6" s="84">
        <f t="shared" ref="H6:H10" si="1">(F6+G6) / 2</f>
        <v>42.45</v>
      </c>
    </row>
    <row r="7" spans="2:18" ht="18" customHeight="1">
      <c r="B7" s="45">
        <v>5.98</v>
      </c>
      <c r="C7" s="49">
        <v>18.100000000000001</v>
      </c>
      <c r="D7" s="50">
        <v>20.3</v>
      </c>
      <c r="E7" s="82">
        <f t="shared" si="0"/>
        <v>19.200000000000003</v>
      </c>
      <c r="F7" s="49">
        <v>33.1</v>
      </c>
      <c r="G7" s="50">
        <v>34.6</v>
      </c>
      <c r="H7" s="84">
        <f t="shared" si="1"/>
        <v>33.85</v>
      </c>
    </row>
    <row r="8" spans="2:18" ht="18" customHeight="1">
      <c r="B8" s="45">
        <v>7.04</v>
      </c>
      <c r="C8" s="49">
        <v>17.8</v>
      </c>
      <c r="D8" s="50">
        <v>18.600000000000001</v>
      </c>
      <c r="E8" s="82">
        <f t="shared" si="0"/>
        <v>18.200000000000003</v>
      </c>
      <c r="F8" s="49">
        <v>30.5</v>
      </c>
      <c r="G8" s="50">
        <v>33.1</v>
      </c>
      <c r="H8" s="84">
        <f t="shared" si="1"/>
        <v>31.8</v>
      </c>
      <c r="M8" s="65" t="s">
        <v>46</v>
      </c>
      <c r="N8" s="66">
        <v>127</v>
      </c>
      <c r="O8" s="67" t="s">
        <v>54</v>
      </c>
    </row>
    <row r="9" spans="2:18" ht="18" customHeight="1">
      <c r="B9" s="45">
        <v>8.02</v>
      </c>
      <c r="C9" s="49">
        <v>16.5</v>
      </c>
      <c r="D9" s="50">
        <v>18.600000000000001</v>
      </c>
      <c r="E9" s="82">
        <f t="shared" si="0"/>
        <v>17.55</v>
      </c>
      <c r="F9" s="49">
        <v>28.8</v>
      </c>
      <c r="G9" s="50">
        <v>30.8</v>
      </c>
      <c r="H9" s="84">
        <f t="shared" si="1"/>
        <v>29.8</v>
      </c>
    </row>
    <row r="10" spans="2:18" ht="18" customHeight="1" thickBot="1">
      <c r="B10" s="46">
        <v>8.94</v>
      </c>
      <c r="C10" s="52">
        <v>15.8</v>
      </c>
      <c r="D10" s="53">
        <v>17</v>
      </c>
      <c r="E10" s="83">
        <f t="shared" si="0"/>
        <v>16.399999999999999</v>
      </c>
      <c r="F10" s="52">
        <v>27.3</v>
      </c>
      <c r="G10" s="53">
        <v>29.4</v>
      </c>
      <c r="H10" s="85">
        <f t="shared" si="1"/>
        <v>28.35</v>
      </c>
    </row>
    <row r="11" spans="2:18" ht="18" customHeight="1" thickTop="1"/>
    <row r="12" spans="2:18" ht="18" customHeight="1">
      <c r="B12" s="81" t="s">
        <v>63</v>
      </c>
      <c r="C12" s="81" t="s">
        <v>63</v>
      </c>
    </row>
    <row r="13" spans="2:18" ht="18" customHeight="1" thickBot="1"/>
    <row r="14" spans="2:18" ht="18" customHeight="1" thickTop="1">
      <c r="B14" s="208" t="s">
        <v>60</v>
      </c>
      <c r="C14" s="196" t="s">
        <v>51</v>
      </c>
      <c r="D14" s="197"/>
      <c r="E14" s="196" t="s">
        <v>52</v>
      </c>
      <c r="F14" s="214"/>
      <c r="G14" s="81" t="s">
        <v>64</v>
      </c>
      <c r="H14" s="208" t="s">
        <v>60</v>
      </c>
      <c r="I14" s="196" t="s">
        <v>51</v>
      </c>
      <c r="J14" s="197"/>
      <c r="K14" s="197"/>
      <c r="L14" s="198"/>
      <c r="M14" s="196" t="s">
        <v>52</v>
      </c>
      <c r="N14" s="197"/>
      <c r="O14" s="197"/>
      <c r="P14" s="214"/>
    </row>
    <row r="15" spans="2:18" ht="18" customHeight="1">
      <c r="B15" s="209"/>
      <c r="C15" s="200" t="s">
        <v>47</v>
      </c>
      <c r="D15" s="212"/>
      <c r="E15" s="199" t="s">
        <v>47</v>
      </c>
      <c r="F15" s="213"/>
      <c r="G15" s="81" t="s">
        <v>64</v>
      </c>
      <c r="H15" s="209"/>
      <c r="I15" s="187" t="s">
        <v>61</v>
      </c>
      <c r="J15" s="187"/>
      <c r="K15" s="200" t="s">
        <v>62</v>
      </c>
      <c r="L15" s="201"/>
      <c r="M15" s="186" t="s">
        <v>61</v>
      </c>
      <c r="N15" s="187"/>
      <c r="O15" s="212" t="s">
        <v>62</v>
      </c>
      <c r="P15" s="213"/>
    </row>
    <row r="16" spans="2:18" ht="18" customHeight="1" thickBot="1">
      <c r="B16" s="210"/>
      <c r="C16" s="42" t="s">
        <v>56</v>
      </c>
      <c r="D16" s="159" t="s">
        <v>57</v>
      </c>
      <c r="E16" s="59" t="s">
        <v>56</v>
      </c>
      <c r="F16" s="43" t="s">
        <v>57</v>
      </c>
      <c r="H16" s="210"/>
      <c r="I16" s="42" t="s">
        <v>58</v>
      </c>
      <c r="J16" s="42" t="s">
        <v>59</v>
      </c>
      <c r="K16" s="42" t="s">
        <v>58</v>
      </c>
      <c r="L16" s="48" t="s">
        <v>59</v>
      </c>
      <c r="M16" s="47" t="s">
        <v>58</v>
      </c>
      <c r="N16" s="42" t="s">
        <v>59</v>
      </c>
      <c r="O16" s="42" t="s">
        <v>58</v>
      </c>
      <c r="P16" s="43" t="s">
        <v>59</v>
      </c>
    </row>
    <row r="17" spans="2:16" ht="18" customHeight="1">
      <c r="B17" s="44">
        <v>4.08</v>
      </c>
      <c r="C17" s="49">
        <f t="shared" ref="C17:C22" si="2">E5-$N$5</f>
        <v>23.2</v>
      </c>
      <c r="D17" s="60">
        <f t="shared" ref="D17:D22" si="3">E5+$N$5</f>
        <v>23.400000000000002</v>
      </c>
      <c r="E17" s="62">
        <f t="shared" ref="E17:E22" si="4">H5-$N$5</f>
        <v>46.499999999999993</v>
      </c>
      <c r="F17" s="51">
        <f t="shared" ref="F17:F22" si="5">H5+$N$5</f>
        <v>46.699999999999996</v>
      </c>
      <c r="H17" s="44">
        <v>4.08</v>
      </c>
      <c r="I17" s="69">
        <f t="shared" ref="I17:I22" si="6">(1/2)  *  DEGREES(  ASIN(  C17/$N$8  )  )</f>
        <v>5.2628680539289512</v>
      </c>
      <c r="J17" s="70"/>
      <c r="K17" s="71">
        <f t="shared" ref="K17:K22" si="7">(1/2)  *  DEGREES(  ASIN(  D17/$N$8  )  )</f>
        <v>5.3087618324253407</v>
      </c>
      <c r="L17" s="72"/>
      <c r="M17" s="73">
        <f t="shared" ref="M17:M22" si="8">(1/2)  *  DEGREES(  ASIN(  E17/$N$8  )  )</f>
        <v>10.7389318795038</v>
      </c>
      <c r="N17" s="70"/>
      <c r="O17" s="74">
        <f t="shared" ref="O17:O22" si="9">(1/2)  *  DEGREES(  ASIN(  F17/$N$8  )  )</f>
        <v>10.787429432208304</v>
      </c>
      <c r="P17" s="75"/>
    </row>
    <row r="18" spans="2:16" ht="18" customHeight="1">
      <c r="B18" s="45">
        <v>5.01</v>
      </c>
      <c r="C18" s="49">
        <f t="shared" si="2"/>
        <v>20.449999999999996</v>
      </c>
      <c r="D18" s="60">
        <f t="shared" si="3"/>
        <v>20.65</v>
      </c>
      <c r="E18" s="63">
        <f t="shared" si="4"/>
        <v>42.35</v>
      </c>
      <c r="F18" s="51">
        <f t="shared" si="5"/>
        <v>42.550000000000004</v>
      </c>
      <c r="H18" s="45">
        <v>5.01</v>
      </c>
      <c r="I18" s="69">
        <f t="shared" si="6"/>
        <v>4.6331579437360926</v>
      </c>
      <c r="J18" s="70"/>
      <c r="K18" s="70">
        <f t="shared" si="7"/>
        <v>4.6788752088661925</v>
      </c>
      <c r="L18" s="72"/>
      <c r="M18" s="69">
        <f t="shared" si="8"/>
        <v>9.7395980368627022</v>
      </c>
      <c r="N18" s="70"/>
      <c r="O18" s="74">
        <f t="shared" si="9"/>
        <v>9.7874660178037942</v>
      </c>
      <c r="P18" s="75"/>
    </row>
    <row r="19" spans="2:16" ht="18" customHeight="1">
      <c r="B19" s="45">
        <v>5.98</v>
      </c>
      <c r="C19" s="49">
        <f t="shared" si="2"/>
        <v>19.100000000000001</v>
      </c>
      <c r="D19" s="60">
        <f t="shared" si="3"/>
        <v>19.300000000000004</v>
      </c>
      <c r="E19" s="63">
        <f t="shared" si="4"/>
        <v>33.75</v>
      </c>
      <c r="F19" s="51">
        <f t="shared" si="5"/>
        <v>33.950000000000003</v>
      </c>
      <c r="H19" s="45">
        <v>5.98</v>
      </c>
      <c r="I19" s="69">
        <f t="shared" si="6"/>
        <v>4.3248713884957031</v>
      </c>
      <c r="J19" s="70"/>
      <c r="K19" s="70">
        <f t="shared" si="7"/>
        <v>4.3705107557613223</v>
      </c>
      <c r="L19" s="72"/>
      <c r="M19" s="69">
        <f t="shared" si="8"/>
        <v>7.7057028403285717</v>
      </c>
      <c r="N19" s="70"/>
      <c r="O19" s="74">
        <f t="shared" si="9"/>
        <v>7.7525109097885343</v>
      </c>
      <c r="P19" s="75"/>
    </row>
    <row r="20" spans="2:16" ht="18" customHeight="1">
      <c r="B20" s="45">
        <v>7.04</v>
      </c>
      <c r="C20" s="49">
        <f t="shared" si="2"/>
        <v>18.100000000000001</v>
      </c>
      <c r="D20" s="60">
        <f t="shared" si="3"/>
        <v>18.300000000000004</v>
      </c>
      <c r="E20" s="63">
        <f t="shared" si="4"/>
        <v>31.7</v>
      </c>
      <c r="F20" s="51">
        <f t="shared" si="5"/>
        <v>31.900000000000002</v>
      </c>
      <c r="H20" s="45">
        <v>7.04</v>
      </c>
      <c r="I20" s="69">
        <f t="shared" si="6"/>
        <v>4.0968379531024448</v>
      </c>
      <c r="J20" s="70"/>
      <c r="K20" s="70">
        <f t="shared" si="7"/>
        <v>4.1424232644363963</v>
      </c>
      <c r="L20" s="72"/>
      <c r="M20" s="69">
        <f t="shared" si="8"/>
        <v>7.2271081161350246</v>
      </c>
      <c r="N20" s="70"/>
      <c r="O20" s="74">
        <f t="shared" si="9"/>
        <v>7.2737073703993778</v>
      </c>
      <c r="P20" s="75"/>
    </row>
    <row r="21" spans="2:16" ht="18" customHeight="1">
      <c r="B21" s="45">
        <v>8.02</v>
      </c>
      <c r="C21" s="49">
        <f t="shared" si="2"/>
        <v>17.45</v>
      </c>
      <c r="D21" s="60">
        <f t="shared" si="3"/>
        <v>17.650000000000002</v>
      </c>
      <c r="E21" s="63">
        <f t="shared" si="4"/>
        <v>29.7</v>
      </c>
      <c r="F21" s="51">
        <f t="shared" si="5"/>
        <v>29.900000000000002</v>
      </c>
      <c r="H21" s="45">
        <v>8.02</v>
      </c>
      <c r="I21" s="69">
        <f t="shared" si="6"/>
        <v>3.9487571734395246</v>
      </c>
      <c r="J21" s="70"/>
      <c r="K21" s="70">
        <f t="shared" si="7"/>
        <v>3.9943089951391171</v>
      </c>
      <c r="L21" s="72"/>
      <c r="M21" s="69">
        <f t="shared" si="8"/>
        <v>6.7621655631260182</v>
      </c>
      <c r="N21" s="70"/>
      <c r="O21" s="74">
        <f t="shared" si="9"/>
        <v>6.808576092971319</v>
      </c>
      <c r="P21" s="75"/>
    </row>
    <row r="22" spans="2:16" ht="18" customHeight="1" thickBot="1">
      <c r="B22" s="46">
        <v>8.94</v>
      </c>
      <c r="C22" s="52">
        <f t="shared" si="2"/>
        <v>16.299999999999997</v>
      </c>
      <c r="D22" s="61">
        <f t="shared" si="3"/>
        <v>16.5</v>
      </c>
      <c r="E22" s="64">
        <f t="shared" si="4"/>
        <v>28.25</v>
      </c>
      <c r="F22" s="54">
        <f t="shared" si="5"/>
        <v>28.450000000000003</v>
      </c>
      <c r="H22" s="46">
        <v>8.94</v>
      </c>
      <c r="I22" s="76">
        <f t="shared" si="6"/>
        <v>3.6870254047756386</v>
      </c>
      <c r="J22" s="77"/>
      <c r="K22" s="77">
        <f t="shared" si="7"/>
        <v>3.7325211246498813</v>
      </c>
      <c r="L22" s="78"/>
      <c r="M22" s="76">
        <f t="shared" si="8"/>
        <v>6.4262210017304993</v>
      </c>
      <c r="N22" s="77"/>
      <c r="O22" s="79">
        <f t="shared" si="9"/>
        <v>6.4725036832904888</v>
      </c>
      <c r="P22" s="80"/>
    </row>
    <row r="23" spans="2:16" ht="18" customHeight="1" thickTop="1"/>
    <row r="24" spans="2:16" s="68" customFormat="1" ht="18" customHeight="1"/>
    <row r="25" spans="2:16" ht="18" customHeight="1" thickBot="1"/>
    <row r="26" spans="2:16" ht="18" customHeight="1" thickTop="1">
      <c r="B26" s="208" t="s">
        <v>60</v>
      </c>
      <c r="C26" s="202" t="s">
        <v>51</v>
      </c>
      <c r="D26" s="203"/>
      <c r="E26" s="206"/>
      <c r="F26" s="205" t="s">
        <v>52</v>
      </c>
      <c r="G26" s="203"/>
      <c r="H26" s="204"/>
    </row>
    <row r="27" spans="2:16" ht="18" customHeight="1">
      <c r="B27" s="209"/>
      <c r="C27" s="187" t="s">
        <v>65</v>
      </c>
      <c r="D27" s="187"/>
      <c r="E27" s="189"/>
      <c r="F27" s="186" t="s">
        <v>65</v>
      </c>
      <c r="G27" s="187"/>
      <c r="H27" s="188"/>
    </row>
    <row r="28" spans="2:16" ht="18" customHeight="1" thickBot="1">
      <c r="B28" s="210"/>
      <c r="C28" s="42" t="s">
        <v>48</v>
      </c>
      <c r="D28" s="42" t="s">
        <v>49</v>
      </c>
      <c r="E28" s="48" t="s">
        <v>50</v>
      </c>
      <c r="F28" s="47" t="s">
        <v>48</v>
      </c>
      <c r="G28" s="42" t="s">
        <v>49</v>
      </c>
      <c r="H28" s="43" t="s">
        <v>50</v>
      </c>
    </row>
    <row r="29" spans="2:16" ht="18" customHeight="1">
      <c r="B29" s="44">
        <v>4.08</v>
      </c>
      <c r="C29" s="245">
        <f>C5 / 1000</f>
        <v>2.2100000000000002E-2</v>
      </c>
      <c r="D29" s="246">
        <f>D5  / 1000</f>
        <v>2.4500000000000001E-2</v>
      </c>
      <c r="E29" s="247">
        <f>(C29+D29) / 2</f>
        <v>2.3300000000000001E-2</v>
      </c>
      <c r="F29" s="245">
        <f>F5 / 1000</f>
        <v>4.53E-2</v>
      </c>
      <c r="G29" s="246">
        <f>G5 / 1000</f>
        <v>4.7899999999999998E-2</v>
      </c>
      <c r="H29" s="248">
        <f>(F29+G29) / 2</f>
        <v>4.6600000000000003E-2</v>
      </c>
    </row>
    <row r="30" spans="2:16" ht="18" customHeight="1">
      <c r="B30" s="45">
        <v>5.01</v>
      </c>
      <c r="C30" s="245">
        <f t="shared" ref="C30:C34" si="10">C6 / 1000</f>
        <v>1.9399999999999997E-2</v>
      </c>
      <c r="D30" s="246">
        <f t="shared" ref="D30:D34" si="11">D6  / 1000</f>
        <v>2.1700000000000001E-2</v>
      </c>
      <c r="E30" s="247">
        <f t="shared" ref="E30:E34" si="12">(C30+D30) / 2</f>
        <v>2.0549999999999999E-2</v>
      </c>
      <c r="F30" s="245">
        <f t="shared" ref="F30:G34" si="13">F6 / 1000</f>
        <v>0.04</v>
      </c>
      <c r="G30" s="246">
        <f t="shared" si="13"/>
        <v>4.4899999999999995E-2</v>
      </c>
      <c r="H30" s="248">
        <f t="shared" ref="H30:H34" si="14">(F30+G30) / 2</f>
        <v>4.2450000000000002E-2</v>
      </c>
    </row>
    <row r="31" spans="2:16" ht="18" customHeight="1">
      <c r="B31" s="45">
        <v>5.98</v>
      </c>
      <c r="C31" s="245">
        <f t="shared" si="10"/>
        <v>1.8100000000000002E-2</v>
      </c>
      <c r="D31" s="246">
        <f t="shared" si="11"/>
        <v>2.0300000000000002E-2</v>
      </c>
      <c r="E31" s="247">
        <f t="shared" si="12"/>
        <v>1.9200000000000002E-2</v>
      </c>
      <c r="F31" s="245">
        <f t="shared" si="13"/>
        <v>3.3100000000000004E-2</v>
      </c>
      <c r="G31" s="246">
        <f t="shared" si="13"/>
        <v>3.4599999999999999E-2</v>
      </c>
      <c r="H31" s="248">
        <f t="shared" si="14"/>
        <v>3.3850000000000005E-2</v>
      </c>
    </row>
    <row r="32" spans="2:16" ht="18" customHeight="1">
      <c r="B32" s="45">
        <v>7.04</v>
      </c>
      <c r="C32" s="245">
        <f t="shared" si="10"/>
        <v>1.78E-2</v>
      </c>
      <c r="D32" s="246">
        <f t="shared" si="11"/>
        <v>1.8600000000000002E-2</v>
      </c>
      <c r="E32" s="247">
        <f t="shared" si="12"/>
        <v>1.8200000000000001E-2</v>
      </c>
      <c r="F32" s="245">
        <f t="shared" si="13"/>
        <v>3.0499999999999999E-2</v>
      </c>
      <c r="G32" s="246">
        <f t="shared" si="13"/>
        <v>3.3100000000000004E-2</v>
      </c>
      <c r="H32" s="248">
        <f t="shared" si="14"/>
        <v>3.1800000000000002E-2</v>
      </c>
    </row>
    <row r="33" spans="2:8" ht="18" customHeight="1">
      <c r="B33" s="45">
        <v>8.02</v>
      </c>
      <c r="C33" s="245">
        <f t="shared" si="10"/>
        <v>1.6500000000000001E-2</v>
      </c>
      <c r="D33" s="246">
        <f t="shared" si="11"/>
        <v>1.8600000000000002E-2</v>
      </c>
      <c r="E33" s="247">
        <f t="shared" si="12"/>
        <v>1.7550000000000003E-2</v>
      </c>
      <c r="F33" s="245">
        <f t="shared" si="13"/>
        <v>2.8799999999999999E-2</v>
      </c>
      <c r="G33" s="246">
        <f t="shared" si="13"/>
        <v>3.0800000000000001E-2</v>
      </c>
      <c r="H33" s="248">
        <f t="shared" si="14"/>
        <v>2.98E-2</v>
      </c>
    </row>
    <row r="34" spans="2:8" ht="18" customHeight="1" thickBot="1">
      <c r="B34" s="46">
        <v>8.94</v>
      </c>
      <c r="C34" s="249">
        <f t="shared" si="10"/>
        <v>1.5800000000000002E-2</v>
      </c>
      <c r="D34" s="250">
        <f t="shared" si="11"/>
        <v>1.7000000000000001E-2</v>
      </c>
      <c r="E34" s="251">
        <f t="shared" si="12"/>
        <v>1.6400000000000001E-2</v>
      </c>
      <c r="F34" s="249">
        <f t="shared" si="13"/>
        <v>2.7300000000000001E-2</v>
      </c>
      <c r="G34" s="250">
        <f t="shared" si="13"/>
        <v>2.9399999999999999E-2</v>
      </c>
      <c r="H34" s="252">
        <f t="shared" si="14"/>
        <v>2.835E-2</v>
      </c>
    </row>
    <row r="35" spans="2:8" ht="18" customHeight="1" thickTop="1"/>
  </sheetData>
  <mergeCells count="23">
    <mergeCell ref="E15:F15"/>
    <mergeCell ref="I15:J15"/>
    <mergeCell ref="B26:B28"/>
    <mergeCell ref="C26:E26"/>
    <mergeCell ref="F26:H26"/>
    <mergeCell ref="C27:E27"/>
    <mergeCell ref="F27:H27"/>
    <mergeCell ref="K15:L15"/>
    <mergeCell ref="B2:B4"/>
    <mergeCell ref="C2:E2"/>
    <mergeCell ref="F2:H2"/>
    <mergeCell ref="L2:P3"/>
    <mergeCell ref="C3:E3"/>
    <mergeCell ref="F3:H3"/>
    <mergeCell ref="M15:N15"/>
    <mergeCell ref="O15:P15"/>
    <mergeCell ref="B14:B16"/>
    <mergeCell ref="C14:D14"/>
    <mergeCell ref="E14:F14"/>
    <mergeCell ref="H14:H16"/>
    <mergeCell ref="I14:L14"/>
    <mergeCell ref="M14:P14"/>
    <mergeCell ref="C15:D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B1" workbookViewId="0">
      <selection activeCell="M1" sqref="M1"/>
    </sheetView>
  </sheetViews>
  <sheetFormatPr defaultColWidth="8.7109375" defaultRowHeight="18" customHeight="1"/>
  <cols>
    <col min="1" max="16384" width="8.7109375" style="41"/>
  </cols>
  <sheetData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B1" workbookViewId="0">
      <selection activeCell="M1" sqref="M1"/>
    </sheetView>
  </sheetViews>
  <sheetFormatPr defaultColWidth="8.7109375" defaultRowHeight="18" customHeight="1"/>
  <cols>
    <col min="1" max="16384" width="8.7109375" style="41"/>
  </cols>
  <sheetData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B1" workbookViewId="0">
      <selection activeCell="M1" sqref="M1"/>
    </sheetView>
  </sheetViews>
  <sheetFormatPr defaultColWidth="8.7109375" defaultRowHeight="18" customHeight="1"/>
  <cols>
    <col min="1" max="16384" width="8.7109375" style="41"/>
  </cols>
  <sheetData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AQ23"/>
  <sheetViews>
    <sheetView workbookViewId="0">
      <selection activeCell="B12" sqref="B12"/>
    </sheetView>
  </sheetViews>
  <sheetFormatPr defaultColWidth="12.7109375" defaultRowHeight="15.75"/>
  <cols>
    <col min="1" max="1" width="1.7109375" style="1" customWidth="1"/>
    <col min="2" max="2" width="5.28515625" style="1" customWidth="1"/>
    <col min="3" max="3" width="1.85546875" style="1" customWidth="1"/>
    <col min="4" max="4" width="5.7109375" style="1" customWidth="1"/>
    <col min="5" max="5" width="12.7109375" style="1"/>
    <col min="6" max="6" width="2.28515625" style="1" customWidth="1"/>
    <col min="7" max="7" width="8" style="1" customWidth="1"/>
    <col min="8" max="8" width="12.7109375" style="1"/>
    <col min="9" max="9" width="2" style="1" customWidth="1"/>
    <col min="10" max="10" width="8.140625" style="1" customWidth="1"/>
    <col min="11" max="11" width="12.7109375" style="1"/>
    <col min="12" max="12" width="1.7109375" style="1" customWidth="1"/>
    <col min="13" max="13" width="6.85546875" style="1" customWidth="1"/>
    <col min="14" max="14" width="8.28515625" style="1" customWidth="1"/>
    <col min="15" max="15" width="1.85546875" style="1" customWidth="1"/>
    <col min="16" max="16" width="7.5703125" style="1" customWidth="1"/>
    <col min="17" max="17" width="7.7109375" style="1" customWidth="1"/>
    <col min="18" max="18" width="1.7109375" style="1" customWidth="1"/>
    <col min="19" max="19" width="7.7109375" style="1" customWidth="1"/>
    <col min="20" max="20" width="12.7109375" style="1"/>
    <col min="21" max="21" width="2.140625" style="1" customWidth="1"/>
    <col min="22" max="22" width="7" style="1" customWidth="1"/>
    <col min="23" max="23" width="12.7109375" style="1"/>
    <col min="24" max="24" width="2.140625" style="1" customWidth="1"/>
    <col min="25" max="25" width="7.140625" style="1" customWidth="1"/>
    <col min="26" max="26" width="8.7109375" style="1" customWidth="1"/>
    <col min="27" max="27" width="1.5703125" style="1" customWidth="1"/>
    <col min="28" max="29" width="7.5703125" style="1" customWidth="1"/>
    <col min="30" max="30" width="1.85546875" style="1" customWidth="1"/>
    <col min="31" max="31" width="7.5703125" style="1" customWidth="1"/>
    <col min="32" max="32" width="12.7109375" style="1"/>
    <col min="33" max="33" width="1.7109375" style="1" customWidth="1"/>
    <col min="34" max="34" width="6.85546875" style="1" customWidth="1"/>
    <col min="35" max="35" width="12.7109375" style="1"/>
    <col min="36" max="36" width="1.85546875" style="1" customWidth="1"/>
    <col min="37" max="37" width="7.42578125" style="1" customWidth="1"/>
    <col min="38" max="38" width="8.85546875" style="1" customWidth="1"/>
    <col min="39" max="39" width="1.85546875" style="1" customWidth="1"/>
    <col min="40" max="40" width="6.85546875" style="1" customWidth="1"/>
    <col min="41" max="41" width="8.140625" style="1" customWidth="1"/>
    <col min="42" max="42" width="2" style="1" customWidth="1"/>
    <col min="43" max="43" width="7.28515625" style="1" customWidth="1"/>
    <col min="44" max="16384" width="12.7109375" style="1"/>
  </cols>
  <sheetData>
    <row r="1" spans="2:43" ht="8.1" customHeight="1" thickBot="1">
      <c r="AP1" s="102"/>
      <c r="AQ1" s="103"/>
    </row>
    <row r="2" spans="2:43" ht="18" customHeight="1" thickTop="1">
      <c r="B2" s="229" t="s">
        <v>41</v>
      </c>
      <c r="C2" s="230"/>
      <c r="D2" s="240"/>
      <c r="E2" s="243" t="s">
        <v>20</v>
      </c>
      <c r="F2" s="230"/>
      <c r="G2" s="230"/>
      <c r="H2" s="196">
        <f>[1]Datos!$G$8</f>
        <v>3.3756000000000002E-10</v>
      </c>
      <c r="I2" s="197"/>
      <c r="J2" s="197"/>
      <c r="K2" s="197"/>
      <c r="L2" s="197"/>
      <c r="M2" s="197"/>
      <c r="N2" s="197"/>
      <c r="O2" s="197"/>
      <c r="P2" s="197"/>
      <c r="Q2" s="197"/>
      <c r="R2" s="101"/>
      <c r="S2" s="104"/>
      <c r="T2" s="205">
        <f>[1]Datos!$G$9</f>
        <v>2.1386E-10</v>
      </c>
      <c r="U2" s="205"/>
      <c r="V2" s="205"/>
      <c r="W2" s="203"/>
      <c r="X2" s="203"/>
      <c r="Y2" s="203"/>
      <c r="Z2" s="203"/>
      <c r="AA2" s="207"/>
      <c r="AB2" s="207"/>
      <c r="AC2" s="207"/>
      <c r="AD2" s="101"/>
      <c r="AE2" s="101"/>
      <c r="AF2" s="238">
        <f>[1]Datos!$G$10</f>
        <v>2.0390000000000001E-10</v>
      </c>
      <c r="AG2" s="234"/>
      <c r="AH2" s="234"/>
      <c r="AI2" s="234"/>
      <c r="AJ2" s="234"/>
      <c r="AK2" s="234"/>
      <c r="AL2" s="234"/>
      <c r="AM2" s="234"/>
      <c r="AN2" s="234"/>
      <c r="AO2" s="234"/>
      <c r="AP2" s="217"/>
      <c r="AQ2" s="218"/>
    </row>
    <row r="3" spans="2:43" ht="18" customHeight="1">
      <c r="B3" s="231"/>
      <c r="C3" s="217"/>
      <c r="D3" s="241"/>
      <c r="E3" s="244"/>
      <c r="F3" s="217"/>
      <c r="G3" s="217"/>
      <c r="H3" s="212" t="s">
        <v>15</v>
      </c>
      <c r="I3" s="212"/>
      <c r="J3" s="212"/>
      <c r="K3" s="212"/>
      <c r="L3" s="225"/>
      <c r="M3" s="226"/>
      <c r="N3" s="200" t="s">
        <v>42</v>
      </c>
      <c r="O3" s="212"/>
      <c r="P3" s="212"/>
      <c r="Q3" s="212"/>
      <c r="R3" s="225"/>
      <c r="S3" s="227"/>
      <c r="T3" s="199" t="s">
        <v>15</v>
      </c>
      <c r="U3" s="212"/>
      <c r="V3" s="212"/>
      <c r="W3" s="212"/>
      <c r="X3" s="225"/>
      <c r="Y3" s="226"/>
      <c r="Z3" s="200" t="s">
        <v>42</v>
      </c>
      <c r="AA3" s="212"/>
      <c r="AB3" s="212"/>
      <c r="AC3" s="212"/>
      <c r="AD3" s="225"/>
      <c r="AE3" s="225"/>
      <c r="AF3" s="199" t="s">
        <v>15</v>
      </c>
      <c r="AG3" s="212"/>
      <c r="AH3" s="212"/>
      <c r="AI3" s="212"/>
      <c r="AJ3" s="225"/>
      <c r="AK3" s="226"/>
      <c r="AL3" s="215" t="s">
        <v>42</v>
      </c>
      <c r="AM3" s="216"/>
      <c r="AN3" s="216"/>
      <c r="AO3" s="216"/>
      <c r="AP3" s="217"/>
      <c r="AQ3" s="218"/>
    </row>
    <row r="4" spans="2:43" ht="18" customHeight="1" thickBot="1">
      <c r="B4" s="232"/>
      <c r="C4" s="233"/>
      <c r="D4" s="242"/>
      <c r="E4" s="244"/>
      <c r="F4" s="217"/>
      <c r="G4" s="217"/>
      <c r="H4" s="219" t="s">
        <v>43</v>
      </c>
      <c r="I4" s="220"/>
      <c r="J4" s="221"/>
      <c r="K4" s="222" t="s">
        <v>44</v>
      </c>
      <c r="L4" s="220"/>
      <c r="M4" s="221"/>
      <c r="N4" s="222" t="s">
        <v>43</v>
      </c>
      <c r="O4" s="220"/>
      <c r="P4" s="221"/>
      <c r="Q4" s="222" t="s">
        <v>44</v>
      </c>
      <c r="R4" s="220"/>
      <c r="S4" s="223"/>
      <c r="T4" s="224" t="s">
        <v>43</v>
      </c>
      <c r="U4" s="220"/>
      <c r="V4" s="221"/>
      <c r="W4" s="222" t="s">
        <v>44</v>
      </c>
      <c r="X4" s="220"/>
      <c r="Y4" s="221"/>
      <c r="Z4" s="222" t="s">
        <v>43</v>
      </c>
      <c r="AA4" s="220"/>
      <c r="AB4" s="221"/>
      <c r="AC4" s="222" t="s">
        <v>44</v>
      </c>
      <c r="AD4" s="220"/>
      <c r="AE4" s="220"/>
      <c r="AF4" s="224" t="s">
        <v>43</v>
      </c>
      <c r="AG4" s="220"/>
      <c r="AH4" s="221"/>
      <c r="AI4" s="222" t="s">
        <v>44</v>
      </c>
      <c r="AJ4" s="220"/>
      <c r="AK4" s="221"/>
      <c r="AL4" s="222" t="s">
        <v>43</v>
      </c>
      <c r="AM4" s="220"/>
      <c r="AN4" s="221"/>
      <c r="AO4" s="222" t="s">
        <v>44</v>
      </c>
      <c r="AP4" s="220"/>
      <c r="AQ4" s="228"/>
    </row>
    <row r="5" spans="2:43" ht="18" customHeight="1">
      <c r="B5" s="105">
        <f>[1]Datos!C8</f>
        <v>4.08</v>
      </c>
      <c r="C5" s="106" t="s">
        <v>55</v>
      </c>
      <c r="D5" s="107">
        <v>0.01</v>
      </c>
      <c r="E5" s="108">
        <f>[1]Datos!C25</f>
        <v>1.9200442309962973E-11</v>
      </c>
      <c r="F5" s="109" t="s">
        <v>55</v>
      </c>
      <c r="G5" s="110">
        <v>2.37178253728222E-17</v>
      </c>
      <c r="H5" s="111">
        <f>ASIN((1*E5)   /   (2*$H$2))</f>
        <v>2.8443878995750922E-2</v>
      </c>
      <c r="I5" s="112" t="s">
        <v>55</v>
      </c>
      <c r="J5" s="113">
        <f>( (  1/    SQRT(( 1  - ( (   (1*E5)/(2*$H$2)  )^2 ) )))*(1/(2*$H$2)))*G5</f>
        <v>3.5145489856599981E-8</v>
      </c>
      <c r="K5" s="114">
        <f>ASIN((2*E5)   /   (2*$H$2))</f>
        <v>5.6910803273324838E-2</v>
      </c>
      <c r="L5" s="112" t="s">
        <v>55</v>
      </c>
      <c r="M5" s="113">
        <f t="shared" ref="M5:M10" si="0">( (  1/    SQRT(( 1  - ( (   (2*E5)/(2*$H$2)  )^2 ) )))*(2/(2*$H$2)))*G5</f>
        <v>7.0376485336234883E-8</v>
      </c>
      <c r="N5" s="115">
        <f>[1]Datos!$Q$12  *  SIN( 4*'[1]Tablas exp'!H5 )</f>
        <v>1.4418336243067003E-2</v>
      </c>
      <c r="O5" s="112" t="s">
        <v>55</v>
      </c>
      <c r="P5" s="113">
        <f>(ABS(4*0.127*COS(4*H5))* J5) + ( ABS(SIN(4*H5))* 0.003)</f>
        <v>3.4060835839017209E-4</v>
      </c>
      <c r="Q5" s="115">
        <f>[1]Datos!$Q$12  *  SIN( 4*'[1]Tablas exp'!K5 )</f>
        <v>2.8661635374646603E-2</v>
      </c>
      <c r="R5" s="112" t="s">
        <v>55</v>
      </c>
      <c r="S5" s="116">
        <f>(ABS(4*0.127*COS(4*K5))* M5) + ( ABS(SIN(4*K5))* 0.003)</f>
        <v>6.7708133382030544E-4</v>
      </c>
      <c r="T5" s="117">
        <f>ASIN((1*E5)   /   (2*$T$2))</f>
        <v>4.490530424891568E-2</v>
      </c>
      <c r="U5" s="112" t="s">
        <v>55</v>
      </c>
      <c r="V5" s="113">
        <f>( (  1/    SQRT(( 1  - ( (   (1*E5)/(2*$T$2)  )^2 ) )))*(1/(2*$T$2)))*G5</f>
        <v>5.5507712561755365E-8</v>
      </c>
      <c r="W5" s="118">
        <f>ASIN((2*E5)   /   (2*$T$2))</f>
        <v>8.9901480399470698E-2</v>
      </c>
      <c r="X5" s="112" t="s">
        <v>55</v>
      </c>
      <c r="Y5" s="113">
        <f>( (  1/    SQRT(( 1  - ( (   (2*E5)/(2*$T$2)  )^2 ) )))*(2/(2*$T$2)))*G5</f>
        <v>1.1135320406124123E-7</v>
      </c>
      <c r="Z5" s="115">
        <f>[1]Datos!$Q$12  *  SIN( 4*'[1]Tablas exp'!T5 )</f>
        <v>2.2689425959857058E-2</v>
      </c>
      <c r="AA5" s="112" t="s">
        <v>55</v>
      </c>
      <c r="AB5" s="113">
        <f>(ABS(4*0.127*COS(4*T5))* V5) + ( ABS(SIN(4*T5))* 0.003)</f>
        <v>5.359984362190884E-4</v>
      </c>
      <c r="AC5" s="119">
        <f>[1]Datos!$Q$12  *  SIN( 4*'[1]Tablas exp'!W5 )</f>
        <v>4.4691984429176025E-2</v>
      </c>
      <c r="AD5" s="112" t="s">
        <v>55</v>
      </c>
      <c r="AE5" s="113">
        <f>(ABS(4*0.127*COS(4*W5))* Y5) + ( ABS(SIN(4*W5))* 0.003)</f>
        <v>1.0557691167429916E-3</v>
      </c>
      <c r="AF5" s="117">
        <f>ASIN((1*E5)   /   (2*$AF$2))</f>
        <v>4.7100400549488643E-2</v>
      </c>
      <c r="AG5" s="112" t="s">
        <v>55</v>
      </c>
      <c r="AH5" s="113">
        <f>( (  1/    SQRT(( 1  - ( (   (1*E5)/(2*$AF$2)  )^2 ) )))*(1/(2*$AF$2)))*G5</f>
        <v>5.8225007579615632E-8</v>
      </c>
      <c r="AI5" s="118">
        <f>ASIN((2*E5)   /   (2*$AF$2))</f>
        <v>9.4305698529887655E-2</v>
      </c>
      <c r="AJ5" s="112" t="s">
        <v>55</v>
      </c>
      <c r="AK5" s="113">
        <f>( (  1/    SQRT(( 1  - ( (   (2*E5)/(2*$AF$2)  )^2 ) )))*(2/(2*$AF$2)))*G5</f>
        <v>1.1684004721591457E-7</v>
      </c>
      <c r="AL5" s="115">
        <f>[1]Datos!$Q$12  *  SIN( 4*'[1]Tablas exp'!AF5 )</f>
        <v>2.3785705664260068E-2</v>
      </c>
      <c r="AM5" s="112" t="s">
        <v>55</v>
      </c>
      <c r="AN5" s="113">
        <f>(ABS(4*0.127*COS(4*AF5))* AH5) + ( ABS(SIN(4*AF5))* 0.003)</f>
        <v>5.6189611784666883E-4</v>
      </c>
      <c r="AO5" s="120">
        <f>[1]Datos!$Q$12  *  SIN( 4*'[1]Tablas exp'!AI5 )</f>
        <v>4.6779173575227082E-2</v>
      </c>
      <c r="AP5" s="112" t="s">
        <v>55</v>
      </c>
      <c r="AQ5" s="121">
        <f>(ABS(4*0.127*COS(4*AI5))* AK5) + ( ABS(SIN(4*AI5))* 0.003)</f>
        <v>1.1050750298154141E-3</v>
      </c>
    </row>
    <row r="6" spans="2:43" ht="18" customHeight="1">
      <c r="B6" s="122">
        <f>[1]Datos!C9</f>
        <v>5.01</v>
      </c>
      <c r="C6" s="123" t="s">
        <v>55</v>
      </c>
      <c r="D6" s="124">
        <v>0.01</v>
      </c>
      <c r="E6" s="125">
        <f>[1]Datos!C26</f>
        <v>1.7326963152814802E-11</v>
      </c>
      <c r="F6" s="126" t="s">
        <v>55</v>
      </c>
      <c r="G6" s="127">
        <v>1.7461918428990339E-17</v>
      </c>
      <c r="H6" s="128">
        <f t="shared" ref="H6:H10" si="1">ASIN((1*E6)   /   (2*$H$2))</f>
        <v>2.5667830767893748E-2</v>
      </c>
      <c r="I6" s="129" t="s">
        <v>55</v>
      </c>
      <c r="J6" s="130">
        <f t="shared" ref="J6:J10" si="2">( (  1/    SQRT(( 1  - ( (   (1*E6)/(2*$H$2)  )^2 ) )))*(1/(2*$H$2)))*G6</f>
        <v>2.5873433303951945E-8</v>
      </c>
      <c r="K6" s="131">
        <f t="shared" ref="K6:K10" si="3">ASIN((2*E6)   /   (2*$H$2))</f>
        <v>5.1352591992264718E-2</v>
      </c>
      <c r="L6" s="129" t="s">
        <v>55</v>
      </c>
      <c r="M6" s="130">
        <f t="shared" si="0"/>
        <v>5.1798104244841205E-8</v>
      </c>
      <c r="N6" s="132">
        <f>[1]Datos!$Q$12  *  SIN( 4*'[1]Tablas exp'!H6 )</f>
        <v>1.3016361427838975E-2</v>
      </c>
      <c r="O6" s="129" t="s">
        <v>55</v>
      </c>
      <c r="P6" s="130">
        <f t="shared" ref="P6:P10" si="4">(ABS(4*0.127*COS(4*H6))* J6) + ( ABS(SIN(4*H6))* 0.003)</f>
        <v>3.0748617908304938E-4</v>
      </c>
      <c r="Q6" s="132">
        <f>[1]Datos!$Q$12  *  SIN( 4*'[1]Tablas exp'!K6 )</f>
        <v>2.5904052588636324E-2</v>
      </c>
      <c r="R6" s="129" t="s">
        <v>55</v>
      </c>
      <c r="S6" s="133">
        <f t="shared" ref="S6:S10" si="5">(ABS(4*0.127*COS(4*K6))* M6) + ( ABS(SIN(4*K6))* 0.003)</f>
        <v>6.1193251432144159E-4</v>
      </c>
      <c r="T6" s="134">
        <f t="shared" ref="T6:T10" si="6">ASIN((1*E6)   /   (2*$T$2))</f>
        <v>4.0521148807983597E-2</v>
      </c>
      <c r="U6" s="129" t="s">
        <v>55</v>
      </c>
      <c r="V6" s="130">
        <f t="shared" ref="V6:V10" si="7">( (  1/    SQRT(( 1  - ( (   (1*E6)/(2*$T$2)  )^2 ) )))*(1/(2*$T$2)))*G6</f>
        <v>4.0859123164309196E-8</v>
      </c>
      <c r="W6" s="131">
        <f t="shared" ref="W6:W10" si="8">ASIN((2*E6)   /   (2*$T$2))</f>
        <v>8.110902374018325E-2</v>
      </c>
      <c r="X6" s="129" t="s">
        <v>55</v>
      </c>
      <c r="Y6" s="130">
        <f t="shared" ref="Y6:Y10" si="9">( (  1/    SQRT(( 1  - ( (   (2*E6)/(2*$T$2)  )^2 ) )))*(2/(2*$T$2)))*G6</f>
        <v>8.1920482688879094E-8</v>
      </c>
      <c r="Z6" s="132">
        <f>[1]Datos!$Q$12  *  SIN( 4*'[1]Tablas exp'!T6 )</f>
        <v>2.0494730187754034E-2</v>
      </c>
      <c r="AA6" s="129" t="s">
        <v>55</v>
      </c>
      <c r="AB6" s="130">
        <f t="shared" ref="AB6:AB10" si="10">(ABS(4*0.127*COS(4*T6))* V6) + ( ABS(SIN(4*T6))* 0.003)</f>
        <v>4.8414796913058604E-4</v>
      </c>
      <c r="AC6" s="120">
        <f>[1]Datos!$Q$12  *  SIN( 4*'[1]Tablas exp'!W6 )</f>
        <v>4.0484342462307525E-2</v>
      </c>
      <c r="AD6" s="129" t="s">
        <v>55</v>
      </c>
      <c r="AE6" s="135">
        <f t="shared" ref="AE6:AE10" si="11">(ABS(4*0.127*COS(4*W6))* Y6) + ( ABS(SIN(4*W6))* 0.003)</f>
        <v>9.5636249483626082E-4</v>
      </c>
      <c r="AF6" s="134">
        <f t="shared" ref="AF6:AF10" si="12">ASIN((1*E6)   /   (2*$AF$2))</f>
        <v>4.2501669445939805E-2</v>
      </c>
      <c r="AG6" s="129" t="s">
        <v>55</v>
      </c>
      <c r="AH6" s="130">
        <f t="shared" ref="AH6:AH10" si="13">( (  1/    SQRT(( 1  - ( (   (1*E6)/(2*$AF$2)  )^2 ) )))*(1/(2*$AF$2)))*G6</f>
        <v>4.2858513591038918E-8</v>
      </c>
      <c r="AI6" s="131">
        <f t="shared" ref="AI6:AI10" si="14">ASIN((2*E6)   /   (2*$AF$2))</f>
        <v>8.5080357233520962E-2</v>
      </c>
      <c r="AJ6" s="129" t="s">
        <v>55</v>
      </c>
      <c r="AK6" s="130">
        <f t="shared" ref="AK6:AK10" si="15">( (  1/    SQRT(( 1  - ( (   (2*E6)/(2*$AF$2)  )^2 ) )))*(2/(2*$AF$2)))*G6</f>
        <v>8.5950515544477914E-8</v>
      </c>
      <c r="AL6" s="132">
        <f>[1]Datos!$Q$12  *  SIN( 4*'[1]Tablas exp'!AF6 )</f>
        <v>2.148699418431705E-2</v>
      </c>
      <c r="AM6" s="129" t="s">
        <v>55</v>
      </c>
      <c r="AN6" s="130">
        <f t="shared" ref="AN6:AN10" si="16">(ABS(4*0.127*COS(4*AF6))* AH6) + ( ABS(SIN(4*AF6))* 0.003)</f>
        <v>5.0758825000557191E-4</v>
      </c>
      <c r="AO6" s="120">
        <f>[1]Datos!$Q$12  *  SIN( 4*'[1]Tablas exp'!AI6 )</f>
        <v>4.2391343149004744E-2</v>
      </c>
      <c r="AP6" s="129" t="s">
        <v>55</v>
      </c>
      <c r="AQ6" s="136">
        <f t="shared" ref="AQ6:AQ10" si="17">(ABS(4*0.127*COS(4*AI6))* AK6) + ( ABS(SIN(4*AI6))* 0.003)</f>
        <v>1.0014114692907211E-3</v>
      </c>
    </row>
    <row r="7" spans="2:43" ht="18" customHeight="1">
      <c r="B7" s="122">
        <f>[1]Datos!C10</f>
        <v>5.98</v>
      </c>
      <c r="C7" s="123" t="s">
        <v>55</v>
      </c>
      <c r="D7" s="124">
        <v>0.01</v>
      </c>
      <c r="E7" s="125">
        <f>[1]Datos!C27</f>
        <v>1.5859544964668928E-11</v>
      </c>
      <c r="F7" s="126" t="s">
        <v>55</v>
      </c>
      <c r="G7" s="127">
        <v>1.3415670811035036E-17</v>
      </c>
      <c r="H7" s="128">
        <f t="shared" si="1"/>
        <v>2.3493607067583813E-2</v>
      </c>
      <c r="I7" s="129" t="s">
        <v>55</v>
      </c>
      <c r="J7" s="130">
        <f t="shared" si="2"/>
        <v>1.9877020455008784E-8</v>
      </c>
      <c r="K7" s="131">
        <f t="shared" si="3"/>
        <v>4.7000193962075464E-2</v>
      </c>
      <c r="L7" s="129" t="s">
        <v>55</v>
      </c>
      <c r="M7" s="130">
        <f t="shared" si="0"/>
        <v>3.9787007324944096E-8</v>
      </c>
      <c r="N7" s="132">
        <f>[1]Datos!$Q$12  *  SIN( 4*'[1]Tablas exp'!H7 )</f>
        <v>1.1917193794663598E-2</v>
      </c>
      <c r="O7" s="129" t="s">
        <v>55</v>
      </c>
      <c r="P7" s="130">
        <f t="shared" si="4"/>
        <v>2.8151856780716438E-4</v>
      </c>
      <c r="Q7" s="132">
        <f>[1]Datos!$Q$12  *  SIN( 4*'[1]Tablas exp'!K7 )</f>
        <v>2.3735699579017767E-2</v>
      </c>
      <c r="R7" s="129" t="s">
        <v>55</v>
      </c>
      <c r="S7" s="133">
        <f t="shared" si="5"/>
        <v>5.6070567249184107E-4</v>
      </c>
      <c r="T7" s="134">
        <f t="shared" si="6"/>
        <v>3.7087770869161943E-2</v>
      </c>
      <c r="U7" s="129" t="s">
        <v>55</v>
      </c>
      <c r="V7" s="130">
        <f t="shared" si="7"/>
        <v>3.1387128841439369E-8</v>
      </c>
      <c r="W7" s="131">
        <f t="shared" si="8"/>
        <v>7.4226679240878154E-2</v>
      </c>
      <c r="X7" s="129" t="s">
        <v>55</v>
      </c>
      <c r="Y7" s="130">
        <f t="shared" si="9"/>
        <v>6.2904298760798734E-8</v>
      </c>
      <c r="Z7" s="132">
        <f>[1]Datos!$Q$12  *  SIN( 4*'[1]Tablas exp'!T7 )</f>
        <v>1.8771556194259471E-2</v>
      </c>
      <c r="AA7" s="129" t="s">
        <v>55</v>
      </c>
      <c r="AB7" s="130">
        <f t="shared" si="10"/>
        <v>4.4343835679356794E-4</v>
      </c>
      <c r="AC7" s="132">
        <f>[1]Datos!$Q$12  *  SIN( 4*'[1]Tablas exp'!W7 )</f>
        <v>3.7155586266706377E-2</v>
      </c>
      <c r="AD7" s="129" t="s">
        <v>55</v>
      </c>
      <c r="AE7" s="135">
        <f t="shared" si="11"/>
        <v>8.7772157138350673E-4</v>
      </c>
      <c r="AF7" s="134">
        <f t="shared" si="12"/>
        <v>3.8900307841866523E-2</v>
      </c>
      <c r="AG7" s="129" t="s">
        <v>55</v>
      </c>
      <c r="AH7" s="130">
        <f t="shared" si="13"/>
        <v>3.292257905662824E-8</v>
      </c>
      <c r="AI7" s="131">
        <f t="shared" si="14"/>
        <v>7.785963735689673E-2</v>
      </c>
      <c r="AJ7" s="129" t="s">
        <v>55</v>
      </c>
      <c r="AK7" s="130">
        <f t="shared" si="15"/>
        <v>6.5995279553244462E-8</v>
      </c>
      <c r="AL7" s="132">
        <f>[1]Datos!$Q$12  *  SIN( 4*'[1]Tablas exp'!AF7 )</f>
        <v>1.9681710049313211E-2</v>
      </c>
      <c r="AM7" s="129" t="s">
        <v>55</v>
      </c>
      <c r="AN7" s="130">
        <f t="shared" si="16"/>
        <v>4.649388072410736E-4</v>
      </c>
      <c r="AO7" s="132">
        <f>[1]Datos!$Q$12  *  SIN( 4*'[1]Tablas exp'!AI7 )</f>
        <v>3.8916394002834365E-2</v>
      </c>
      <c r="AP7" s="129" t="s">
        <v>55</v>
      </c>
      <c r="AQ7" s="136">
        <f t="shared" si="17"/>
        <v>9.1931681051552589E-4</v>
      </c>
    </row>
    <row r="8" spans="2:43" ht="18" customHeight="1">
      <c r="B8" s="122">
        <f>[1]Datos!C11</f>
        <v>7.04</v>
      </c>
      <c r="C8" s="123" t="s">
        <v>55</v>
      </c>
      <c r="D8" s="124">
        <v>0.01</v>
      </c>
      <c r="E8" s="125">
        <f>[1]Datos!C28</f>
        <v>1.4616890205012538E-11</v>
      </c>
      <c r="F8" s="126" t="s">
        <v>55</v>
      </c>
      <c r="G8" s="127">
        <v>1.0524336707734927E-17</v>
      </c>
      <c r="H8" s="128">
        <f t="shared" si="1"/>
        <v>2.1652494976061504E-2</v>
      </c>
      <c r="I8" s="129" t="s">
        <v>55</v>
      </c>
      <c r="J8" s="130">
        <f t="shared" si="2"/>
        <v>1.5592493564080916E-8</v>
      </c>
      <c r="K8" s="131">
        <f t="shared" si="3"/>
        <v>4.331514964033651E-2</v>
      </c>
      <c r="L8" s="129" t="s">
        <v>55</v>
      </c>
      <c r="M8" s="130">
        <f t="shared" si="0"/>
        <v>3.1206947871642043E-8</v>
      </c>
      <c r="N8" s="132">
        <f>[1]Datos!$Q$12  *  SIN( 4*'[1]Tablas exp'!H8 )</f>
        <v>1.098572090802682E-2</v>
      </c>
      <c r="O8" s="129" t="s">
        <v>55</v>
      </c>
      <c r="P8" s="130">
        <f t="shared" si="4"/>
        <v>2.5951310959633944E-4</v>
      </c>
      <c r="Q8" s="132">
        <f>[1]Datos!$Q$12  *  SIN( 4*'[1]Tablas exp'!K8 )</f>
        <v>2.1894170120045048E-2</v>
      </c>
      <c r="R8" s="129" t="s">
        <v>55</v>
      </c>
      <c r="S8" s="133">
        <f t="shared" si="5"/>
        <v>5.1720073672071405E-4</v>
      </c>
      <c r="T8" s="134">
        <f t="shared" si="6"/>
        <v>3.4180624665518078E-2</v>
      </c>
      <c r="U8" s="129" t="s">
        <v>55</v>
      </c>
      <c r="V8" s="130">
        <f t="shared" si="7"/>
        <v>2.4620049501281924E-8</v>
      </c>
      <c r="W8" s="131">
        <f t="shared" si="8"/>
        <v>6.8401264928557415E-2</v>
      </c>
      <c r="X8" s="129" t="s">
        <v>55</v>
      </c>
      <c r="Y8" s="130">
        <f t="shared" si="9"/>
        <v>4.9326686041059957E-8</v>
      </c>
      <c r="Z8" s="132">
        <f>[1]Datos!$Q$12  *  SIN( 4*'[1]Tablas exp'!T8 )</f>
        <v>1.730971096290412E-2</v>
      </c>
      <c r="AA8" s="129" t="s">
        <v>55</v>
      </c>
      <c r="AB8" s="130">
        <f t="shared" si="10"/>
        <v>4.08903200417674E-4</v>
      </c>
      <c r="AC8" s="132">
        <f>[1]Datos!$Q$12  *  SIN( 4*'[1]Tablas exp'!W8 )</f>
        <v>3.4315926734454973E-2</v>
      </c>
      <c r="AD8" s="129" t="s">
        <v>55</v>
      </c>
      <c r="AE8" s="135">
        <f t="shared" si="11"/>
        <v>8.106365684232065E-4</v>
      </c>
      <c r="AF8" s="134">
        <f t="shared" si="12"/>
        <v>3.5850960851218548E-2</v>
      </c>
      <c r="AG8" s="129" t="s">
        <v>55</v>
      </c>
      <c r="AH8" s="130">
        <f t="shared" si="13"/>
        <v>2.5824187717990909E-8</v>
      </c>
      <c r="AI8" s="131">
        <f t="shared" si="14"/>
        <v>7.1748104572025892E-2</v>
      </c>
      <c r="AJ8" s="129" t="s">
        <v>55</v>
      </c>
      <c r="AK8" s="130">
        <f t="shared" si="15"/>
        <v>5.1748325024473173E-8</v>
      </c>
      <c r="AL8" s="132">
        <f>[1]Datos!$Q$12  *  SIN( 4*'[1]Tablas exp'!AF8 )</f>
        <v>1.8149930672482759E-2</v>
      </c>
      <c r="AM8" s="129" t="s">
        <v>55</v>
      </c>
      <c r="AN8" s="130">
        <f t="shared" si="16"/>
        <v>4.2875150385010709E-4</v>
      </c>
      <c r="AO8" s="132">
        <f>[1]Datos!$Q$12  *  SIN( 4*'[1]Tablas exp'!AI8 )</f>
        <v>3.5949755303533198E-2</v>
      </c>
      <c r="AP8" s="129" t="s">
        <v>55</v>
      </c>
      <c r="AQ8" s="136">
        <f t="shared" si="17"/>
        <v>8.4923203114607541E-4</v>
      </c>
    </row>
    <row r="9" spans="2:43" ht="18" customHeight="1">
      <c r="B9" s="122">
        <f>[1]Datos!C12</f>
        <v>8.02</v>
      </c>
      <c r="C9" s="123" t="s">
        <v>55</v>
      </c>
      <c r="D9" s="124">
        <v>0.01</v>
      </c>
      <c r="E9" s="125">
        <f>[1]Datos!C29</f>
        <v>1.369475067619152E-11</v>
      </c>
      <c r="F9" s="126" t="s">
        <v>55</v>
      </c>
      <c r="G9" s="127">
        <v>8.6718742216030442E-18</v>
      </c>
      <c r="H9" s="128">
        <f t="shared" si="1"/>
        <v>2.0286304702731052E-2</v>
      </c>
      <c r="I9" s="129" t="s">
        <v>55</v>
      </c>
      <c r="J9" s="130">
        <f t="shared" si="2"/>
        <v>1.2847581043159312E-8</v>
      </c>
      <c r="K9" s="131">
        <f t="shared" si="3"/>
        <v>4.0580963930725689E-2</v>
      </c>
      <c r="L9" s="129" t="s">
        <v>55</v>
      </c>
      <c r="M9" s="130">
        <f t="shared" si="0"/>
        <v>2.57110428047661E-8</v>
      </c>
      <c r="N9" s="132">
        <f>[1]Datos!$Q$12  *  SIN( 4*'[1]Tablas exp'!H9 )</f>
        <v>1.0294137067179099E-2</v>
      </c>
      <c r="O9" s="129" t="s">
        <v>55</v>
      </c>
      <c r="P9" s="130">
        <f t="shared" si="4"/>
        <v>2.4317509723379083E-4</v>
      </c>
      <c r="Q9" s="132">
        <f>[1]Datos!$Q$12  *  SIN( 4*'[1]Tablas exp'!K9 )</f>
        <v>2.0524717413571432E-2</v>
      </c>
      <c r="R9" s="129" t="s">
        <v>55</v>
      </c>
      <c r="S9" s="133">
        <f t="shared" si="5"/>
        <v>4.8484873392719004E-4</v>
      </c>
      <c r="T9" s="134">
        <f t="shared" si="6"/>
        <v>3.2023500485978386E-2</v>
      </c>
      <c r="U9" s="129" t="s">
        <v>55</v>
      </c>
      <c r="V9" s="130">
        <f t="shared" si="7"/>
        <v>2.0285052477665218E-8</v>
      </c>
      <c r="W9" s="131">
        <f t="shared" si="8"/>
        <v>6.4079900288268321E-2</v>
      </c>
      <c r="X9" s="129" t="s">
        <v>55</v>
      </c>
      <c r="Y9" s="130">
        <f t="shared" si="9"/>
        <v>4.063269945451347E-8</v>
      </c>
      <c r="Z9" s="132">
        <f>[1]Datos!$Q$12  *  SIN( 4*'[1]Tablas exp'!T9 )</f>
        <v>1.6223487143110164E-2</v>
      </c>
      <c r="AA9" s="129" t="s">
        <v>55</v>
      </c>
      <c r="AB9" s="130">
        <f t="shared" si="10"/>
        <v>3.8324220013968786E-4</v>
      </c>
      <c r="AC9" s="132">
        <f>[1]Datos!$Q$12  *  SIN( 4*'[1]Tablas exp'!W9 )</f>
        <v>3.2197309016628921E-2</v>
      </c>
      <c r="AD9" s="129" t="s">
        <v>55</v>
      </c>
      <c r="AE9" s="135">
        <f t="shared" si="11"/>
        <v>7.6058632177146836E-4</v>
      </c>
      <c r="AF9" s="134">
        <f t="shared" si="12"/>
        <v>3.3588342402398566E-2</v>
      </c>
      <c r="AG9" s="129" t="s">
        <v>55</v>
      </c>
      <c r="AH9" s="130">
        <f t="shared" si="13"/>
        <v>2.1277018699207988E-8</v>
      </c>
      <c r="AI9" s="131">
        <f t="shared" si="14"/>
        <v>6.7214653391885662E-2</v>
      </c>
      <c r="AJ9" s="129" t="s">
        <v>55</v>
      </c>
      <c r="AK9" s="130">
        <f t="shared" si="15"/>
        <v>4.2626287898649404E-8</v>
      </c>
      <c r="AL9" s="132">
        <f>[1]Datos!$Q$12  *  SIN( 4*'[1]Tablas exp'!AF9 )</f>
        <v>1.7011591071894618E-2</v>
      </c>
      <c r="AM9" s="129" t="s">
        <v>55</v>
      </c>
      <c r="AN9" s="130">
        <f t="shared" si="16"/>
        <v>4.0185931931644261E-4</v>
      </c>
      <c r="AO9" s="132">
        <f>[1]Datos!$Q$12  *  SIN( 4*'[1]Tablas exp'!AI9 )</f>
        <v>3.3735165976150637E-2</v>
      </c>
      <c r="AP9" s="129" t="s">
        <v>55</v>
      </c>
      <c r="AQ9" s="136">
        <f t="shared" si="17"/>
        <v>7.9691456069852734E-4</v>
      </c>
    </row>
    <row r="10" spans="2:43" ht="18" customHeight="1" thickBot="1">
      <c r="B10" s="137">
        <f>[1]Datos!C13</f>
        <v>8.94</v>
      </c>
      <c r="C10" s="138" t="s">
        <v>55</v>
      </c>
      <c r="D10" s="139">
        <v>0.01</v>
      </c>
      <c r="E10" s="140">
        <f>[1]Datos!C30</f>
        <v>1.2970972976567375E-11</v>
      </c>
      <c r="F10" s="141" t="s">
        <v>55</v>
      </c>
      <c r="G10" s="142">
        <v>7.3813769091496385E-18</v>
      </c>
      <c r="H10" s="143">
        <f t="shared" si="1"/>
        <v>1.9214022858225384E-2</v>
      </c>
      <c r="I10" s="144" t="s">
        <v>55</v>
      </c>
      <c r="J10" s="145">
        <f t="shared" si="2"/>
        <v>1.0935447982939035E-8</v>
      </c>
      <c r="K10" s="146">
        <f t="shared" si="3"/>
        <v>3.8435143710458849E-2</v>
      </c>
      <c r="L10" s="144" t="s">
        <v>55</v>
      </c>
      <c r="M10" s="145">
        <f t="shared" si="0"/>
        <v>2.1883020424536068E-8</v>
      </c>
      <c r="N10" s="147">
        <f>[1]Datos!$Q$12  *  SIN( 4*'[1]Tablas exp'!H10 )</f>
        <v>9.7511172469116371E-3</v>
      </c>
      <c r="O10" s="144" t="s">
        <v>55</v>
      </c>
      <c r="P10" s="145">
        <f t="shared" si="4"/>
        <v>2.3034689109798775E-4</v>
      </c>
      <c r="Q10" s="147">
        <f>[1]Datos!$Q$12  *  SIN( 4*'[1]Tablas exp'!K10 )</f>
        <v>1.9448227627033569E-2</v>
      </c>
      <c r="R10" s="144" t="s">
        <v>55</v>
      </c>
      <c r="S10" s="148">
        <f t="shared" si="5"/>
        <v>4.5941793727604285E-4</v>
      </c>
      <c r="T10" s="149">
        <f t="shared" si="6"/>
        <v>3.0330501125339367E-2</v>
      </c>
      <c r="U10" s="144" t="s">
        <v>55</v>
      </c>
      <c r="V10" s="145">
        <f t="shared" si="7"/>
        <v>1.7265438652379287E-8</v>
      </c>
      <c r="W10" s="146">
        <f t="shared" si="8"/>
        <v>6.0688949481535609E-2</v>
      </c>
      <c r="X10" s="144" t="s">
        <v>55</v>
      </c>
      <c r="Y10" s="145">
        <f t="shared" si="9"/>
        <v>3.4578654986406134E-8</v>
      </c>
      <c r="Z10" s="147">
        <f>[1]Datos!$Q$12  *  SIN( 4*'[1]Tablas exp'!T10 )</f>
        <v>1.5370124172307044E-2</v>
      </c>
      <c r="AA10" s="144" t="s">
        <v>55</v>
      </c>
      <c r="AB10" s="145">
        <f t="shared" si="10"/>
        <v>3.6308250571866327E-4</v>
      </c>
      <c r="AC10" s="147">
        <f>[1]Datos!$Q$12  *  SIN( 4*'[1]Tablas exp'!W10 )</f>
        <v>3.0528073514367884E-2</v>
      </c>
      <c r="AD10" s="144" t="s">
        <v>55</v>
      </c>
      <c r="AE10" s="150">
        <f t="shared" si="11"/>
        <v>7.2115264573688928E-4</v>
      </c>
      <c r="AF10" s="149">
        <f t="shared" si="12"/>
        <v>3.1812557846128679E-2</v>
      </c>
      <c r="AG10" s="144" t="s">
        <v>55</v>
      </c>
      <c r="AH10" s="145">
        <f t="shared" si="13"/>
        <v>1.810964591683284E-8</v>
      </c>
      <c r="AI10" s="146">
        <f t="shared" si="14"/>
        <v>6.3657368384342078E-2</v>
      </c>
      <c r="AJ10" s="144" t="s">
        <v>55</v>
      </c>
      <c r="AK10" s="145">
        <f t="shared" si="15"/>
        <v>3.6274437634971328E-8</v>
      </c>
      <c r="AL10" s="147">
        <f>[1]Datos!$Q$12  *  SIN( 4*'[1]Tablas exp'!AF10 )</f>
        <v>1.6117200453338393E-2</v>
      </c>
      <c r="AM10" s="144" t="s">
        <v>55</v>
      </c>
      <c r="AN10" s="145">
        <f t="shared" si="16"/>
        <v>3.8073039586824869E-4</v>
      </c>
      <c r="AO10" s="147">
        <f>[1]Datos!$Q$12  *  SIN( 4*'[1]Tablas exp'!AI10 )</f>
        <v>3.1989629501593987E-2</v>
      </c>
      <c r="AP10" s="144" t="s">
        <v>55</v>
      </c>
      <c r="AQ10" s="151">
        <f t="shared" si="17"/>
        <v>7.5567837266127084E-4</v>
      </c>
    </row>
    <row r="11" spans="2:43" ht="18" customHeight="1" thickTop="1"/>
    <row r="13" spans="2:43" ht="18" customHeight="1" thickBot="1"/>
    <row r="14" spans="2:43" ht="18" customHeight="1" thickTop="1">
      <c r="B14" s="229" t="s">
        <v>41</v>
      </c>
      <c r="C14" s="230"/>
      <c r="D14" s="230"/>
      <c r="E14" s="193" t="s">
        <v>20</v>
      </c>
      <c r="F14" s="230"/>
      <c r="G14" s="230"/>
      <c r="H14" s="202">
        <f>[1]Datos!$G$11</f>
        <v>1.6811E-10</v>
      </c>
      <c r="I14" s="205"/>
      <c r="J14" s="205"/>
      <c r="K14" s="203"/>
      <c r="L14" s="203"/>
      <c r="M14" s="203"/>
      <c r="N14" s="203"/>
      <c r="O14" s="207"/>
      <c r="P14" s="207"/>
      <c r="Q14" s="207"/>
      <c r="R14" s="101"/>
      <c r="S14" s="104"/>
      <c r="T14" s="236">
        <f>[1]Datos!$G$12</f>
        <v>1.2340000000000001E-10</v>
      </c>
      <c r="U14" s="197"/>
      <c r="V14" s="197"/>
      <c r="W14" s="197"/>
      <c r="X14" s="197"/>
      <c r="Y14" s="197"/>
      <c r="Z14" s="197"/>
      <c r="AA14" s="197"/>
      <c r="AB14" s="197"/>
      <c r="AC14" s="197"/>
      <c r="AD14" s="237"/>
      <c r="AE14" s="237"/>
      <c r="AF14" s="238">
        <f>[1]Datos!$G$13</f>
        <v>1.1603000000000001E-10</v>
      </c>
      <c r="AG14" s="234"/>
      <c r="AH14" s="234"/>
      <c r="AI14" s="234"/>
      <c r="AJ14" s="234"/>
      <c r="AK14" s="234"/>
      <c r="AL14" s="234"/>
      <c r="AM14" s="234"/>
      <c r="AN14" s="234"/>
      <c r="AO14" s="234"/>
      <c r="AP14" s="239"/>
      <c r="AQ14" s="218"/>
    </row>
    <row r="15" spans="2:43" ht="18" customHeight="1">
      <c r="B15" s="231"/>
      <c r="C15" s="217"/>
      <c r="D15" s="217"/>
      <c r="E15" s="234"/>
      <c r="F15" s="217"/>
      <c r="G15" s="217"/>
      <c r="H15" s="212" t="s">
        <v>15</v>
      </c>
      <c r="I15" s="212"/>
      <c r="J15" s="212"/>
      <c r="K15" s="212"/>
      <c r="L15" s="225"/>
      <c r="M15" s="226"/>
      <c r="N15" s="200" t="s">
        <v>42</v>
      </c>
      <c r="O15" s="212"/>
      <c r="P15" s="212"/>
      <c r="Q15" s="212"/>
      <c r="R15" s="225"/>
      <c r="S15" s="227"/>
      <c r="T15" s="199" t="s">
        <v>15</v>
      </c>
      <c r="U15" s="212"/>
      <c r="V15" s="212"/>
      <c r="W15" s="212"/>
      <c r="X15" s="225"/>
      <c r="Y15" s="226"/>
      <c r="Z15" s="200" t="s">
        <v>42</v>
      </c>
      <c r="AA15" s="212"/>
      <c r="AB15" s="212"/>
      <c r="AC15" s="212"/>
      <c r="AD15" s="225"/>
      <c r="AE15" s="227"/>
      <c r="AF15" s="199" t="s">
        <v>15</v>
      </c>
      <c r="AG15" s="212"/>
      <c r="AH15" s="212"/>
      <c r="AI15" s="212"/>
      <c r="AJ15" s="225"/>
      <c r="AK15" s="226"/>
      <c r="AL15" s="215" t="s">
        <v>42</v>
      </c>
      <c r="AM15" s="216"/>
      <c r="AN15" s="216"/>
      <c r="AO15" s="216"/>
      <c r="AP15" s="239"/>
      <c r="AQ15" s="218"/>
    </row>
    <row r="16" spans="2:43" ht="18" customHeight="1" thickBot="1">
      <c r="B16" s="232"/>
      <c r="C16" s="233"/>
      <c r="D16" s="233"/>
      <c r="E16" s="235"/>
      <c r="F16" s="233"/>
      <c r="G16" s="233"/>
      <c r="H16" s="219" t="s">
        <v>43</v>
      </c>
      <c r="I16" s="220"/>
      <c r="J16" s="221"/>
      <c r="K16" s="222" t="s">
        <v>44</v>
      </c>
      <c r="L16" s="220"/>
      <c r="M16" s="221"/>
      <c r="N16" s="222" t="s">
        <v>43</v>
      </c>
      <c r="O16" s="220"/>
      <c r="P16" s="221"/>
      <c r="Q16" s="222" t="s">
        <v>44</v>
      </c>
      <c r="R16" s="220"/>
      <c r="S16" s="223"/>
      <c r="T16" s="224" t="s">
        <v>43</v>
      </c>
      <c r="U16" s="220"/>
      <c r="V16" s="221"/>
      <c r="W16" s="222" t="s">
        <v>44</v>
      </c>
      <c r="X16" s="220"/>
      <c r="Y16" s="221"/>
      <c r="Z16" s="222" t="s">
        <v>43</v>
      </c>
      <c r="AA16" s="220"/>
      <c r="AB16" s="221"/>
      <c r="AC16" s="222" t="s">
        <v>44</v>
      </c>
      <c r="AD16" s="220"/>
      <c r="AE16" s="220"/>
      <c r="AF16" s="224" t="s">
        <v>43</v>
      </c>
      <c r="AG16" s="220"/>
      <c r="AH16" s="221"/>
      <c r="AI16" s="222" t="s">
        <v>44</v>
      </c>
      <c r="AJ16" s="220"/>
      <c r="AK16" s="221"/>
      <c r="AL16" s="222" t="s">
        <v>43</v>
      </c>
      <c r="AM16" s="220"/>
      <c r="AN16" s="221"/>
      <c r="AO16" s="222" t="s">
        <v>44</v>
      </c>
      <c r="AP16" s="220"/>
      <c r="AQ16" s="228"/>
    </row>
    <row r="17" spans="2:43" ht="18" customHeight="1">
      <c r="B17" s="105">
        <f>[1]Datos!C8</f>
        <v>4.08</v>
      </c>
      <c r="C17" s="106" t="s">
        <v>55</v>
      </c>
      <c r="D17" s="152">
        <v>0.01</v>
      </c>
      <c r="E17" s="108">
        <f>[1]Datos!C25</f>
        <v>1.9200442309962973E-11</v>
      </c>
      <c r="F17" s="109" t="s">
        <v>55</v>
      </c>
      <c r="G17" s="110">
        <v>2.37178253728222E-17</v>
      </c>
      <c r="H17" s="111">
        <f>ASIN((1*E17)   /   (2*$H$14))</f>
        <v>5.7137867128729043E-2</v>
      </c>
      <c r="I17" s="112" t="s">
        <v>55</v>
      </c>
      <c r="J17" s="113">
        <f>( (  1/    SQRT(( 1  - ( (   (1*$E17)/(2*$H$14)  )^2 ) )))*(1/(2*$H$14)))*$G17</f>
        <v>7.0657885688751344E-8</v>
      </c>
      <c r="K17" s="118">
        <f>ASIN((2*E17)   /   (2*$H$14))</f>
        <v>0.11446334779258088</v>
      </c>
      <c r="L17" s="112" t="s">
        <v>55</v>
      </c>
      <c r="M17" s="113">
        <f>( (  1/    SQRT(( 1  - ( (   (2*E17)/(2*$H$14)  )^2 ) )))*(2/(2*$H$14)))*G17</f>
        <v>1.4201446617323887E-7</v>
      </c>
      <c r="N17" s="115">
        <f>[1]Datos!$Q$12  *  SIN( 4*'[1]Tablas exp'!H17 )</f>
        <v>2.8773996099739404E-2</v>
      </c>
      <c r="O17" s="112" t="s">
        <v>55</v>
      </c>
      <c r="P17" s="113">
        <f>(ABS(4*0.127*COS(4*H17))* J17) + ( ABS(SIN(4*H17))* 0.003)</f>
        <v>6.7973565606829181E-4</v>
      </c>
      <c r="Q17" s="119">
        <f>[1]Datos!$Q$12  *  SIN( 4*'[1]Tablas exp'!K17 )</f>
        <v>5.6136998647710309E-2</v>
      </c>
      <c r="R17" s="112" t="s">
        <v>55</v>
      </c>
      <c r="S17" s="116">
        <f>(ABS(4*0.127*COS(4*K17))* M17) + ( ABS(SIN(4*K17))* 0.003)</f>
        <v>1.3261355470281567E-3</v>
      </c>
      <c r="T17" s="153">
        <f>ASIN((1*E17)   /   (2*$T$14))</f>
        <v>7.7876270587083712E-2</v>
      </c>
      <c r="U17" s="112" t="s">
        <v>55</v>
      </c>
      <c r="V17" s="113">
        <f>( (  1/    SQRT(( 1  - ( (   (1*$E17)/(2*$T$14)  )^2 ) )))*(1/(2*$T$14)))*$G17</f>
        <v>9.6393551344452547E-8</v>
      </c>
      <c r="W17" s="118">
        <f>ASIN((2*E17)   /   (2*$T$14))</f>
        <v>0.15622991911076617</v>
      </c>
      <c r="X17" s="112" t="s">
        <v>55</v>
      </c>
      <c r="Y17" s="113">
        <f>( (  1/    SQRT(( 1  - ( (   (2*E17)/(2*$T$14)  )^2 ) )))*(2/(2*$T$14)))*G17</f>
        <v>1.9457251527328744E-7</v>
      </c>
      <c r="Z17" s="115">
        <f>[1]Datos!$Q$12  *  SIN( 4*'[1]Tablas exp'!T17 )</f>
        <v>3.8924437115104182E-2</v>
      </c>
      <c r="AA17" s="112" t="s">
        <v>55</v>
      </c>
      <c r="AB17" s="113">
        <f>(ABS(4*0.127*COS(4*T17))* V17) + ( ABS(SIN(4*T17))* 0.003)</f>
        <v>9.1952150374486447E-4</v>
      </c>
      <c r="AC17" s="119">
        <f>[1]Datos!$Q$12  *  SIN( 4*'[1]Tablas exp'!W17 )</f>
        <v>7.4299080714564397E-2</v>
      </c>
      <c r="AD17" s="112" t="s">
        <v>55</v>
      </c>
      <c r="AE17" s="154">
        <f>(ABS(4*0.127*COS(4*W17))* Y17) + ( ABS(SIN(4*W17))* 0.003)</f>
        <v>1.7551765573733471E-3</v>
      </c>
      <c r="AF17" s="153">
        <f>ASIN((1*E17)   /   (2*$AF$14))</f>
        <v>8.2833823237455001E-2</v>
      </c>
      <c r="AG17" s="112" t="s">
        <v>55</v>
      </c>
      <c r="AH17" s="113">
        <f>( (  1/    SQRT(( 1  - ( (   (1*$E17)/(2*$AF$14)  )^2 ) )))*(1/(2*$AF$14)))*$G17</f>
        <v>1.0255721752079053E-7</v>
      </c>
      <c r="AI17" s="118">
        <f>ASIN((2*E17)   /   (2*$AF$14))</f>
        <v>0.16624293560566494</v>
      </c>
      <c r="AJ17" s="112" t="s">
        <v>55</v>
      </c>
      <c r="AK17" s="113">
        <f>( (  1/    SQRT(( 1  - ( (   (2*E17)/(2*$AF$14)  )^2 ) )))*(2/(2*$AF$14)))*G17</f>
        <v>2.0726866916322036E-7</v>
      </c>
      <c r="AL17" s="119">
        <f>[1]Datos!$Q$12  *  SIN( 4*'[1]Tablas exp'!AF17 )</f>
        <v>4.1313859816301569E-2</v>
      </c>
      <c r="AM17" s="112" t="s">
        <v>55</v>
      </c>
      <c r="AN17" s="113">
        <f>(ABS(4*0.127*COS(4*AF17))* AH17) + ( ABS(SIN(4*AF17))* 0.003)</f>
        <v>9.7596721375273806E-4</v>
      </c>
      <c r="AO17" s="120">
        <f>[1]Datos!$Q$12  *  SIN( 4*'[1]Tablas exp'!AI17 )</f>
        <v>7.8363685807216574E-2</v>
      </c>
      <c r="AP17" s="112" t="s">
        <v>55</v>
      </c>
      <c r="AQ17" s="121">
        <f>(ABS(4*0.127*COS(4*AI17))* AK17) + ( ABS(SIN(4*AI17))* 0.003)</f>
        <v>1.8511935466183121E-3</v>
      </c>
    </row>
    <row r="18" spans="2:43" ht="18" customHeight="1">
      <c r="B18" s="122">
        <f>[1]Datos!C9</f>
        <v>5.01</v>
      </c>
      <c r="C18" s="123" t="s">
        <v>55</v>
      </c>
      <c r="D18" s="155">
        <v>0.01</v>
      </c>
      <c r="E18" s="125">
        <f>[1]Datos!C26</f>
        <v>1.7326963152814802E-11</v>
      </c>
      <c r="F18" s="126" t="s">
        <v>55</v>
      </c>
      <c r="G18" s="127">
        <v>1.7461918428990339E-17</v>
      </c>
      <c r="H18" s="128">
        <f t="shared" ref="H18:H22" si="18">ASIN((1*E18)   /   (2*$H$14))</f>
        <v>5.1557438189382063E-2</v>
      </c>
      <c r="I18" s="129" t="s">
        <v>55</v>
      </c>
      <c r="J18" s="130">
        <f t="shared" ref="J18:J22" si="19">( (  1/    SQRT(( 1  - ( (   (1*$E18)/(2*$H$14)  )^2 ) )))*(1/(2*$H$14)))*$G18</f>
        <v>5.2005093482290576E-8</v>
      </c>
      <c r="K18" s="156">
        <f t="shared" ref="K18:K22" si="20">ASIN((2*E18)   /   (2*$H$14))</f>
        <v>0.10325256606754596</v>
      </c>
      <c r="L18" s="129" t="s">
        <v>55</v>
      </c>
      <c r="M18" s="130">
        <f t="shared" ref="M18:M22" si="21">( (  1/    SQRT(( 1  - ( (   (2*E18)/(2*$H$14)  )^2 ) )))*(2/(2*$H$14)))*G18</f>
        <v>1.04428143905677E-7</v>
      </c>
      <c r="N18" s="132">
        <f>[1]Datos!$Q$12  *  SIN( 4*'[1]Tablas exp'!H18 )</f>
        <v>2.6005918094784884E-2</v>
      </c>
      <c r="O18" s="129" t="s">
        <v>55</v>
      </c>
      <c r="P18" s="130">
        <f t="shared" ref="P18:P22" si="22">(ABS(4*0.127*COS(4*H18))* J18) + ( ABS(SIN(4*H18))* 0.003)</f>
        <v>6.143388846362233E-4</v>
      </c>
      <c r="Q18" s="120">
        <f>[1]Datos!$Q$12  *  SIN( 4*'[1]Tablas exp'!K18 )</f>
        <v>5.0973773315562895E-2</v>
      </c>
      <c r="R18" s="129" t="s">
        <v>55</v>
      </c>
      <c r="S18" s="133">
        <f t="shared" ref="S18:S22" si="23">(ABS(4*0.127*COS(4*K18))* M18) + ( ABS(SIN(4*K18))* 0.003)</f>
        <v>1.2041534703929602E-3</v>
      </c>
      <c r="T18" s="134">
        <f t="shared" ref="T18:T22" si="24">ASIN((1*E18)   /   (2*$T$14))</f>
        <v>7.0264298131418171E-2</v>
      </c>
      <c r="U18" s="129" t="s">
        <v>55</v>
      </c>
      <c r="V18" s="130">
        <f t="shared" ref="V18:V22" si="25">( (  1/    SQRT(( 1  - ( (   (1*$E18)/(2*$T$14)  )^2 ) )))*(1/(2*$T$14)))*$G18</f>
        <v>7.0928333268689771E-8</v>
      </c>
      <c r="W18" s="156">
        <f t="shared" ref="W18:W22" si="26">ASIN((2*E18)   /   (2*$T$14))</f>
        <v>0.14087852633684941</v>
      </c>
      <c r="X18" s="129" t="s">
        <v>55</v>
      </c>
      <c r="Y18" s="130">
        <f t="shared" ref="Y18:Y22" si="27">( (  1/    SQRT(( 1  - ( (   (2*E18)/(2*$T$14)  )^2 ) )))*(2/(2*$T$14)))*G18</f>
        <v>1.4292256304225121E-7</v>
      </c>
      <c r="Z18" s="132">
        <f>[1]Datos!$Q$12  *  SIN( 4*'[1]Tablas exp'!T18 )</f>
        <v>3.5226182349847417E-2</v>
      </c>
      <c r="AA18" s="129" t="s">
        <v>55</v>
      </c>
      <c r="AB18" s="130">
        <f t="shared" ref="AB18:AB22" si="28">(ABS(4*0.127*COS(4*T18))* V18) + ( ABS(SIN(4*T18))* 0.003)</f>
        <v>8.3214916150949525E-4</v>
      </c>
      <c r="AC18" s="120">
        <f>[1]Datos!$Q$12  *  SIN( 4*'[1]Tablas exp'!W18 )</f>
        <v>6.7838352476485869E-2</v>
      </c>
      <c r="AD18" s="129" t="s">
        <v>55</v>
      </c>
      <c r="AE18" s="135">
        <f t="shared" ref="AE18:AE22" si="29">(ABS(4*0.127*COS(4*W18))* Y18) + ( ABS(SIN(4*W18))* 0.003)</f>
        <v>1.6025421459254516E-3</v>
      </c>
      <c r="AF18" s="134">
        <f t="shared" ref="AF18:AF22" si="30">ASIN((1*E18)   /   (2*$AF$14))</f>
        <v>7.4735427448305608E-2</v>
      </c>
      <c r="AG18" s="129" t="s">
        <v>55</v>
      </c>
      <c r="AH18" s="130">
        <f t="shared" ref="AH18:AH22" si="31">( (  1/    SQRT(( 1  - ( (   (1*$E18)/(2*$AF$14)  )^2 ) )))*(1/(2*$AF$14)))*$G18</f>
        <v>7.5458062303121328E-8</v>
      </c>
      <c r="AI18" s="156">
        <f t="shared" ref="AI18:AI22" si="32">ASIN((2*E18)   /   (2*$AF$14))</f>
        <v>0.14989241202044953</v>
      </c>
      <c r="AJ18" s="129" t="s">
        <v>55</v>
      </c>
      <c r="AK18" s="130">
        <f t="shared" ref="AK18:AK22" si="33">( (  1/    SQRT(( 1  - ( (   (2*E18)/(2*$AF$14)  )^2 ) )))*(2/(2*$AF$14)))*G18</f>
        <v>1.5220147074346338E-7</v>
      </c>
      <c r="AL18" s="132">
        <f>[1]Datos!$Q$12  *  SIN( 4*'[1]Tablas exp'!AF18 )</f>
        <v>3.7402645300143721E-2</v>
      </c>
      <c r="AM18" s="129" t="s">
        <v>55</v>
      </c>
      <c r="AN18" s="130">
        <f t="shared" ref="AN18:AN22" si="34">(ABS(4*0.127*COS(4*AF18))* AH18) + ( ABS(SIN(4*AF18))* 0.003)</f>
        <v>8.8356368692487784E-4</v>
      </c>
      <c r="AO18" s="120">
        <f>[1]Datos!$Q$12  *  SIN( 4*'[1]Tablas exp'!AI18 )</f>
        <v>7.1664479016994437E-2</v>
      </c>
      <c r="AP18" s="129" t="s">
        <v>55</v>
      </c>
      <c r="AQ18" s="136">
        <f t="shared" ref="AQ18:AQ22" si="35">(ABS(4*0.127*COS(4*AI18))* AK18) + ( ABS(SIN(4*AI18))* 0.003)</f>
        <v>1.692925541430499E-3</v>
      </c>
    </row>
    <row r="19" spans="2:43" ht="18" customHeight="1">
      <c r="B19" s="122">
        <f>[1]Datos!C10</f>
        <v>5.98</v>
      </c>
      <c r="C19" s="123" t="s">
        <v>55</v>
      </c>
      <c r="D19" s="155">
        <v>0.01</v>
      </c>
      <c r="E19" s="125">
        <f>[1]Datos!C27</f>
        <v>1.5859544964668928E-11</v>
      </c>
      <c r="F19" s="126" t="s">
        <v>55</v>
      </c>
      <c r="G19" s="127">
        <v>1.3415670811035036E-17</v>
      </c>
      <c r="H19" s="128">
        <f t="shared" si="18"/>
        <v>4.7187651442281646E-2</v>
      </c>
      <c r="I19" s="129" t="s">
        <v>55</v>
      </c>
      <c r="J19" s="130">
        <f t="shared" si="19"/>
        <v>3.9945930779812985E-8</v>
      </c>
      <c r="K19" s="131">
        <f t="shared" si="20"/>
        <v>9.4480785873768E-2</v>
      </c>
      <c r="L19" s="129" t="s">
        <v>55</v>
      </c>
      <c r="M19" s="130">
        <f t="shared" si="21"/>
        <v>8.0160446288390566E-8</v>
      </c>
      <c r="N19" s="132">
        <f>[1]Datos!$Q$12  *  SIN( 4*'[1]Tablas exp'!H19 )</f>
        <v>2.3829243358261889E-2</v>
      </c>
      <c r="O19" s="129" t="s">
        <v>55</v>
      </c>
      <c r="P19" s="130">
        <f t="shared" si="22"/>
        <v>5.6291544452572926E-4</v>
      </c>
      <c r="Q19" s="120">
        <f>[1]Datos!$Q$12  *  SIN( 4*'[1]Tablas exp'!K19 )</f>
        <v>4.6861852892662467E-2</v>
      </c>
      <c r="R19" s="129" t="s">
        <v>55</v>
      </c>
      <c r="S19" s="133">
        <f t="shared" si="23"/>
        <v>1.1070107508876471E-3</v>
      </c>
      <c r="T19" s="134">
        <f t="shared" si="24"/>
        <v>6.4305026216929337E-2</v>
      </c>
      <c r="U19" s="129" t="s">
        <v>55</v>
      </c>
      <c r="V19" s="130">
        <f t="shared" si="25"/>
        <v>5.447105549993967E-8</v>
      </c>
      <c r="W19" s="156">
        <f t="shared" si="26"/>
        <v>0.12887790447002953</v>
      </c>
      <c r="X19" s="129" t="s">
        <v>55</v>
      </c>
      <c r="Y19" s="130">
        <f t="shared" si="27"/>
        <v>1.0962610208010578E-7</v>
      </c>
      <c r="Z19" s="132">
        <f>[1]Datos!$Q$12  *  SIN( 4*'[1]Tablas exp'!T19 )</f>
        <v>3.2307923601073339E-2</v>
      </c>
      <c r="AA19" s="129" t="s">
        <v>55</v>
      </c>
      <c r="AB19" s="130">
        <f t="shared" si="28"/>
        <v>7.632060585986073E-4</v>
      </c>
      <c r="AC19" s="120">
        <f>[1]Datos!$Q$12  *  SIN( 4*'[1]Tablas exp'!W19 )</f>
        <v>6.2608465317889841E-2</v>
      </c>
      <c r="AD19" s="129" t="s">
        <v>55</v>
      </c>
      <c r="AE19" s="135">
        <f t="shared" si="29"/>
        <v>1.4789885782335822E-3</v>
      </c>
      <c r="AF19" s="134">
        <f t="shared" si="30"/>
        <v>6.8395746001124358E-2</v>
      </c>
      <c r="AG19" s="129" t="s">
        <v>55</v>
      </c>
      <c r="AH19" s="130">
        <f t="shared" si="31"/>
        <v>5.7946699980025447E-8</v>
      </c>
      <c r="AI19" s="156">
        <f t="shared" si="32"/>
        <v>0.13711409242629838</v>
      </c>
      <c r="AJ19" s="129" t="s">
        <v>55</v>
      </c>
      <c r="AK19" s="130">
        <f t="shared" si="33"/>
        <v>1.1671787845387983E-7</v>
      </c>
      <c r="AL19" s="132">
        <f>[1]Datos!$Q$12  *  SIN( 4*'[1]Tablas exp'!AF19 )</f>
        <v>3.4313227396881398E-2</v>
      </c>
      <c r="AM19" s="129" t="s">
        <v>55</v>
      </c>
      <c r="AN19" s="130">
        <f t="shared" si="34"/>
        <v>8.1057702080197282E-4</v>
      </c>
      <c r="AO19" s="120">
        <f>[1]Datos!$Q$12  *  SIN( 4*'[1]Tablas exp'!AI19 )</f>
        <v>6.621406925383716E-2</v>
      </c>
      <c r="AP19" s="129" t="s">
        <v>55</v>
      </c>
      <c r="AQ19" s="136">
        <f t="shared" si="35"/>
        <v>1.5641624683827053E-3</v>
      </c>
    </row>
    <row r="20" spans="2:43" ht="18" customHeight="1">
      <c r="B20" s="122">
        <f>[1]Datos!C11</f>
        <v>7.04</v>
      </c>
      <c r="C20" s="123" t="s">
        <v>55</v>
      </c>
      <c r="D20" s="155">
        <v>0.01</v>
      </c>
      <c r="E20" s="125">
        <f>[1]Datos!C28</f>
        <v>1.4616890205012538E-11</v>
      </c>
      <c r="F20" s="126" t="s">
        <v>55</v>
      </c>
      <c r="G20" s="127">
        <v>1.0524336707734927E-17</v>
      </c>
      <c r="H20" s="128">
        <f t="shared" si="18"/>
        <v>4.3487890242276103E-2</v>
      </c>
      <c r="I20" s="129" t="s">
        <v>55</v>
      </c>
      <c r="J20" s="130">
        <f t="shared" si="19"/>
        <v>3.133155776175862E-8</v>
      </c>
      <c r="K20" s="131">
        <f t="shared" si="20"/>
        <v>8.7058297969712498E-2</v>
      </c>
      <c r="L20" s="129" t="s">
        <v>55</v>
      </c>
      <c r="M20" s="130">
        <f t="shared" si="21"/>
        <v>6.2841864224360774E-8</v>
      </c>
      <c r="N20" s="132">
        <f>[1]Datos!$Q$12  *  SIN( 4*'[1]Tablas exp'!H20 )</f>
        <v>2.198060327678604E-2</v>
      </c>
      <c r="O20" s="129" t="s">
        <v>55</v>
      </c>
      <c r="P20" s="130">
        <f t="shared" si="22"/>
        <v>5.1924252528708472E-4</v>
      </c>
      <c r="Q20" s="120">
        <f>[1]Datos!$Q$12  *  SIN( 4*'[1]Tablas exp'!K20 )</f>
        <v>4.3337172886626051E-2</v>
      </c>
      <c r="R20" s="129" t="s">
        <v>55</v>
      </c>
      <c r="S20" s="133">
        <f t="shared" si="23"/>
        <v>1.0237427528687166E-3</v>
      </c>
      <c r="T20" s="134">
        <f t="shared" si="24"/>
        <v>5.9260327975454129E-2</v>
      </c>
      <c r="U20" s="129" t="s">
        <v>55</v>
      </c>
      <c r="V20" s="130">
        <f t="shared" si="25"/>
        <v>4.2718166119252775E-8</v>
      </c>
      <c r="W20" s="131">
        <f t="shared" si="26"/>
        <v>0.1187300545232205</v>
      </c>
      <c r="X20" s="129" t="s">
        <v>55</v>
      </c>
      <c r="Y20" s="130">
        <f t="shared" si="27"/>
        <v>8.589104375510672E-8</v>
      </c>
      <c r="Z20" s="132">
        <f>[1]Datos!$Q$12  *  SIN( 4*'[1]Tablas exp'!T20 )</f>
        <v>2.982311842203194E-2</v>
      </c>
      <c r="AA20" s="129" t="s">
        <v>55</v>
      </c>
      <c r="AB20" s="130">
        <f t="shared" si="28"/>
        <v>7.0450420633981091E-4</v>
      </c>
      <c r="AC20" s="120">
        <f>[1]Datos!$Q$12  *  SIN( 4*'[1]Tablas exp'!W20 )</f>
        <v>5.8072972024283263E-2</v>
      </c>
      <c r="AD20" s="129" t="s">
        <v>55</v>
      </c>
      <c r="AE20" s="135">
        <f t="shared" si="29"/>
        <v>1.3718412925527849E-3</v>
      </c>
      <c r="AF20" s="134">
        <f t="shared" si="30"/>
        <v>6.3029271535277209E-2</v>
      </c>
      <c r="AG20" s="129" t="s">
        <v>55</v>
      </c>
      <c r="AH20" s="130">
        <f t="shared" si="31"/>
        <v>4.544202502001011E-8</v>
      </c>
      <c r="AI20" s="131">
        <f t="shared" si="32"/>
        <v>0.12631069497147168</v>
      </c>
      <c r="AJ20" s="129" t="s">
        <v>55</v>
      </c>
      <c r="AK20" s="130">
        <f t="shared" si="33"/>
        <v>9.143198439888043E-8</v>
      </c>
      <c r="AL20" s="132">
        <f>[1]Datos!$Q$12  *  SIN( 4*'[1]Tablas exp'!AF20 )</f>
        <v>3.1680743641617548E-2</v>
      </c>
      <c r="AM20" s="129" t="s">
        <v>55</v>
      </c>
      <c r="AN20" s="130">
        <f t="shared" si="34"/>
        <v>7.4838637779509401E-4</v>
      </c>
      <c r="AO20" s="120">
        <f>[1]Datos!$Q$12  *  SIN( 4*'[1]Tablas exp'!AI20 )</f>
        <v>6.1470527404469996E-2</v>
      </c>
      <c r="AP20" s="129" t="s">
        <v>55</v>
      </c>
      <c r="AQ20" s="136">
        <f t="shared" si="35"/>
        <v>1.4521003466318968E-3</v>
      </c>
    </row>
    <row r="21" spans="2:43" ht="18" customHeight="1">
      <c r="B21" s="122">
        <f>[1]Datos!C12</f>
        <v>8.02</v>
      </c>
      <c r="C21" s="123" t="s">
        <v>55</v>
      </c>
      <c r="D21" s="155">
        <v>0.01</v>
      </c>
      <c r="E21" s="125">
        <f>[1]Datos!C29</f>
        <v>1.369475067619152E-11</v>
      </c>
      <c r="F21" s="126" t="s">
        <v>55</v>
      </c>
      <c r="G21" s="127">
        <v>8.6718742216030442E-18</v>
      </c>
      <c r="H21" s="128">
        <f t="shared" si="18"/>
        <v>4.0742788155224717E-2</v>
      </c>
      <c r="I21" s="129" t="s">
        <v>55</v>
      </c>
      <c r="J21" s="130">
        <f t="shared" si="19"/>
        <v>2.5813683747170307E-8</v>
      </c>
      <c r="K21" s="131">
        <f t="shared" si="20"/>
        <v>8.1553405501542345E-2</v>
      </c>
      <c r="L21" s="129" t="s">
        <v>55</v>
      </c>
      <c r="M21" s="130">
        <f t="shared" si="21"/>
        <v>5.1756543280660027E-8</v>
      </c>
      <c r="N21" s="132">
        <f>[1]Datos!$Q$12  *  SIN( 4*'[1]Tablas exp'!H21 )</f>
        <v>2.0605839156427209E-2</v>
      </c>
      <c r="O21" s="129" t="s">
        <v>55</v>
      </c>
      <c r="P21" s="130">
        <f t="shared" si="22"/>
        <v>4.8676504565110725E-4</v>
      </c>
      <c r="Q21" s="120">
        <f>[1]Datos!$Q$12  *  SIN( 4*'[1]Tablas exp'!K21 )</f>
        <v>4.0698247305265743E-2</v>
      </c>
      <c r="R21" s="129" t="s">
        <v>55</v>
      </c>
      <c r="S21" s="133">
        <f t="shared" si="23"/>
        <v>9.6140082632960127E-4</v>
      </c>
      <c r="T21" s="134">
        <f t="shared" si="24"/>
        <v>5.5517780611368646E-2</v>
      </c>
      <c r="U21" s="129" t="s">
        <v>55</v>
      </c>
      <c r="V21" s="130">
        <f t="shared" si="25"/>
        <v>3.5191473807478629E-8</v>
      </c>
      <c r="W21" s="131">
        <f t="shared" si="26"/>
        <v>0.11120760877078757</v>
      </c>
      <c r="X21" s="129" t="s">
        <v>55</v>
      </c>
      <c r="Y21" s="130">
        <f t="shared" si="27"/>
        <v>7.0711305059359406E-8</v>
      </c>
      <c r="Z21" s="132">
        <f>[1]Datos!$Q$12  *  SIN( 4*'[1]Tablas exp'!T21 )</f>
        <v>2.7971795300211304E-2</v>
      </c>
      <c r="AA21" s="129" t="s">
        <v>55</v>
      </c>
      <c r="AB21" s="130">
        <f t="shared" si="28"/>
        <v>6.6076850834706588E-4</v>
      </c>
      <c r="AC21" s="120">
        <f>[1]Datos!$Q$12  *  SIN( 4*'[1]Tablas exp'!W21 )</f>
        <v>5.4648712522384055E-2</v>
      </c>
      <c r="AD21" s="129" t="s">
        <v>55</v>
      </c>
      <c r="AE21" s="135">
        <f t="shared" si="29"/>
        <v>1.290946894641427E-3</v>
      </c>
      <c r="AF21" s="134">
        <f t="shared" si="30"/>
        <v>5.9048143256869558E-2</v>
      </c>
      <c r="AG21" s="129" t="s">
        <v>55</v>
      </c>
      <c r="AH21" s="130">
        <f t="shared" si="31"/>
        <v>3.7434345665867056E-8</v>
      </c>
      <c r="AI21" s="131">
        <f t="shared" si="32"/>
        <v>0.11830343465639946</v>
      </c>
      <c r="AJ21" s="129" t="s">
        <v>55</v>
      </c>
      <c r="AK21" s="130">
        <f t="shared" si="33"/>
        <v>7.5264281806057164E-8</v>
      </c>
      <c r="AL21" s="132">
        <f>[1]Datos!$Q$12  *  SIN( 4*'[1]Tablas exp'!AF21 )</f>
        <v>2.9718331982018339E-2</v>
      </c>
      <c r="AM21" s="129" t="s">
        <v>55</v>
      </c>
      <c r="AN21" s="130">
        <f t="shared" si="34"/>
        <v>7.0202633076369889E-4</v>
      </c>
      <c r="AO21" s="120">
        <f>[1]Datos!$Q$12  *  SIN( 4*'[1]Tablas exp'!AI21 )</f>
        <v>5.7880149563706698E-2</v>
      </c>
      <c r="AP21" s="129" t="s">
        <v>55</v>
      </c>
      <c r="AQ21" s="136">
        <f t="shared" si="35"/>
        <v>1.3672816601142587E-3</v>
      </c>
    </row>
    <row r="22" spans="2:43" ht="18" customHeight="1" thickBot="1">
      <c r="B22" s="137">
        <f>[1]Datos!C13</f>
        <v>8.94</v>
      </c>
      <c r="C22" s="138" t="s">
        <v>55</v>
      </c>
      <c r="D22" s="157">
        <v>0.01</v>
      </c>
      <c r="E22" s="140">
        <f>[1]Datos!C30</f>
        <v>1.2970972976567375E-11</v>
      </c>
      <c r="F22" s="141" t="s">
        <v>55</v>
      </c>
      <c r="G22" s="142">
        <v>7.3813769091496385E-18</v>
      </c>
      <c r="H22" s="143">
        <f t="shared" si="18"/>
        <v>3.8588402352913602E-2</v>
      </c>
      <c r="I22" s="144" t="s">
        <v>55</v>
      </c>
      <c r="J22" s="145">
        <f t="shared" si="19"/>
        <v>2.1970364627991241E-8</v>
      </c>
      <c r="K22" s="146">
        <f t="shared" si="20"/>
        <v>7.7234415565286069E-2</v>
      </c>
      <c r="L22" s="144" t="s">
        <v>55</v>
      </c>
      <c r="M22" s="145">
        <f t="shared" si="21"/>
        <v>4.4039303372131004E-8</v>
      </c>
      <c r="N22" s="147">
        <f>[1]Datos!$Q$12  *  SIN( 4*'[1]Tablas exp'!H22 )</f>
        <v>1.9525161067626227E-2</v>
      </c>
      <c r="O22" s="144" t="s">
        <v>55</v>
      </c>
      <c r="P22" s="145">
        <f t="shared" si="22"/>
        <v>4.6123530544204888E-4</v>
      </c>
      <c r="Q22" s="158">
        <f>[1]Datos!$Q$12  *  SIN( 4*'[1]Tablas exp'!K22 )</f>
        <v>3.8613939104679217E-2</v>
      </c>
      <c r="R22" s="144" t="s">
        <v>55</v>
      </c>
      <c r="S22" s="148">
        <f t="shared" si="23"/>
        <v>9.1216160662385172E-4</v>
      </c>
      <c r="T22" s="149">
        <f t="shared" si="24"/>
        <v>5.2580842019186183E-2</v>
      </c>
      <c r="U22" s="144" t="s">
        <v>55</v>
      </c>
      <c r="V22" s="145">
        <f t="shared" si="25"/>
        <v>2.9949726455411313E-8</v>
      </c>
      <c r="W22" s="146">
        <f t="shared" si="26"/>
        <v>0.10530776432975918</v>
      </c>
      <c r="X22" s="144" t="s">
        <v>55</v>
      </c>
      <c r="Y22" s="145">
        <f t="shared" si="27"/>
        <v>6.0149883362037702E-8</v>
      </c>
      <c r="Z22" s="147">
        <f>[1]Datos!$Q$12  *  SIN( 4*'[1]Tablas exp'!T22 )</f>
        <v>2.6514571420519325E-2</v>
      </c>
      <c r="AA22" s="144" t="s">
        <v>55</v>
      </c>
      <c r="AB22" s="145">
        <f t="shared" si="28"/>
        <v>6.2634333793929863E-4</v>
      </c>
      <c r="AC22" s="158">
        <f>[1]Datos!$Q$12  *  SIN( 4*'[1]Tablas exp'!W22 )</f>
        <v>5.1928294494444811E-2</v>
      </c>
      <c r="AD22" s="144" t="s">
        <v>55</v>
      </c>
      <c r="AE22" s="150">
        <f t="shared" si="29"/>
        <v>1.2266805109676004E-3</v>
      </c>
      <c r="AF22" s="149">
        <f t="shared" si="30"/>
        <v>5.5924056555324259E-2</v>
      </c>
      <c r="AG22" s="144" t="s">
        <v>55</v>
      </c>
      <c r="AH22" s="145">
        <f t="shared" si="31"/>
        <v>3.1857858305220144E-8</v>
      </c>
      <c r="AI22" s="146">
        <f t="shared" si="32"/>
        <v>0.11202397951915245</v>
      </c>
      <c r="AJ22" s="144" t="s">
        <v>55</v>
      </c>
      <c r="AK22" s="145">
        <f t="shared" si="33"/>
        <v>6.4017376150651808E-8</v>
      </c>
      <c r="AL22" s="147">
        <f>[1]Datos!$Q$12  *  SIN( 4*'[1]Tablas exp'!AF22 )</f>
        <v>2.8173078258047695E-2</v>
      </c>
      <c r="AM22" s="144" t="s">
        <v>55</v>
      </c>
      <c r="AN22" s="145">
        <f t="shared" si="34"/>
        <v>6.6552156618239966E-4</v>
      </c>
      <c r="AO22" s="158">
        <f>[1]Datos!$Q$12  *  SIN( 4*'[1]Tablas exp'!AI22 )</f>
        <v>5.5022778144097131E-2</v>
      </c>
      <c r="AP22" s="144" t="s">
        <v>55</v>
      </c>
      <c r="AQ22" s="151">
        <f t="shared" si="35"/>
        <v>1.2997799749866808E-3</v>
      </c>
    </row>
    <row r="23" spans="2:43" ht="18" customHeight="1" thickTop="1"/>
  </sheetData>
  <mergeCells count="46">
    <mergeCell ref="N16:P16"/>
    <mergeCell ref="Q16:S16"/>
    <mergeCell ref="T16:V16"/>
    <mergeCell ref="AO16:AQ16"/>
    <mergeCell ref="T15:Y15"/>
    <mergeCell ref="Z15:AE15"/>
    <mergeCell ref="AF15:AK15"/>
    <mergeCell ref="AL15:AQ15"/>
    <mergeCell ref="W16:Y16"/>
    <mergeCell ref="Z16:AB16"/>
    <mergeCell ref="AC16:AE16"/>
    <mergeCell ref="AF16:AH16"/>
    <mergeCell ref="AI16:AK16"/>
    <mergeCell ref="AL16:AN16"/>
    <mergeCell ref="AL4:AN4"/>
    <mergeCell ref="AO4:AQ4"/>
    <mergeCell ref="B14:D16"/>
    <mergeCell ref="E14:G16"/>
    <mergeCell ref="H14:Q14"/>
    <mergeCell ref="T14:AE14"/>
    <mergeCell ref="AF14:AQ14"/>
    <mergeCell ref="H15:M15"/>
    <mergeCell ref="N15:S15"/>
    <mergeCell ref="B2:D4"/>
    <mergeCell ref="E2:G4"/>
    <mergeCell ref="H2:Q2"/>
    <mergeCell ref="T2:AC2"/>
    <mergeCell ref="AF2:AQ2"/>
    <mergeCell ref="H16:J16"/>
    <mergeCell ref="K16:M16"/>
    <mergeCell ref="AL3:AQ3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H3:M3"/>
    <mergeCell ref="N3:S3"/>
    <mergeCell ref="T3:Y3"/>
    <mergeCell ref="Z3:AE3"/>
    <mergeCell ref="AF3:AK3"/>
    <mergeCell ref="AI4:AK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R23"/>
  <sheetViews>
    <sheetView topLeftCell="A4" workbookViewId="0">
      <selection activeCell="B12" sqref="B12"/>
    </sheetView>
  </sheetViews>
  <sheetFormatPr defaultColWidth="11.7109375" defaultRowHeight="18" customHeight="1"/>
  <cols>
    <col min="1" max="1" width="3.7109375" style="1" customWidth="1"/>
    <col min="2" max="16384" width="11.7109375" style="1"/>
  </cols>
  <sheetData>
    <row r="1" spans="2:18" ht="12" customHeight="1" thickBot="1"/>
    <row r="2" spans="2:18" ht="18" customHeight="1" thickTop="1">
      <c r="B2" s="190" t="s">
        <v>41</v>
      </c>
      <c r="C2" s="193" t="s">
        <v>20</v>
      </c>
      <c r="D2" s="196">
        <f>Datos!$F$8</f>
        <v>3.3756000000000002E-10</v>
      </c>
      <c r="E2" s="197"/>
      <c r="F2" s="196">
        <f>Datos!$F$9</f>
        <v>2.1386E-10</v>
      </c>
      <c r="G2" s="197"/>
      <c r="H2" s="196">
        <f>Datos!$F$10</f>
        <v>2.0390000000000001E-10</v>
      </c>
      <c r="I2" s="198"/>
      <c r="J2" s="196">
        <f>Datos!$F$11</f>
        <v>1.6811E-10</v>
      </c>
      <c r="K2" s="198"/>
      <c r="L2" s="196">
        <f>Datos!$F$12</f>
        <v>1.2340000000000001E-10</v>
      </c>
      <c r="M2" s="198"/>
      <c r="N2" s="196">
        <f>Datos!$F$13</f>
        <v>1.1603000000000001E-10</v>
      </c>
      <c r="O2" s="214"/>
    </row>
    <row r="3" spans="2:18" ht="18" customHeight="1">
      <c r="B3" s="191"/>
      <c r="C3" s="194"/>
      <c r="D3" s="187" t="s">
        <v>42</v>
      </c>
      <c r="E3" s="189"/>
      <c r="F3" s="187" t="s">
        <v>42</v>
      </c>
      <c r="G3" s="189"/>
      <c r="H3" s="187" t="s">
        <v>42</v>
      </c>
      <c r="I3" s="189"/>
      <c r="J3" s="187" t="s">
        <v>42</v>
      </c>
      <c r="K3" s="189"/>
      <c r="L3" s="187" t="s">
        <v>42</v>
      </c>
      <c r="M3" s="189"/>
      <c r="N3" s="187" t="s">
        <v>42</v>
      </c>
      <c r="O3" s="188"/>
    </row>
    <row r="4" spans="2:18" ht="18" customHeight="1" thickBot="1">
      <c r="B4" s="192"/>
      <c r="C4" s="195"/>
      <c r="D4" s="27" t="s">
        <v>43</v>
      </c>
      <c r="E4" s="28" t="s">
        <v>44</v>
      </c>
      <c r="F4" s="27" t="s">
        <v>43</v>
      </c>
      <c r="G4" s="28" t="s">
        <v>44</v>
      </c>
      <c r="H4" s="27" t="s">
        <v>43</v>
      </c>
      <c r="I4" s="28" t="s">
        <v>44</v>
      </c>
      <c r="J4" s="27" t="s">
        <v>43</v>
      </c>
      <c r="K4" s="28" t="s">
        <v>44</v>
      </c>
      <c r="L4" s="59" t="s">
        <v>43</v>
      </c>
      <c r="M4" s="48" t="s">
        <v>44</v>
      </c>
      <c r="N4" s="42" t="s">
        <v>43</v>
      </c>
      <c r="O4" s="43" t="s">
        <v>44</v>
      </c>
      <c r="Q4" s="163" t="s">
        <v>51</v>
      </c>
      <c r="R4" s="181" t="s">
        <v>52</v>
      </c>
    </row>
    <row r="5" spans="2:18" ht="18" customHeight="1">
      <c r="B5" s="32">
        <f>Datos!C8</f>
        <v>4.08</v>
      </c>
      <c r="C5" s="98">
        <f>Datos!C25</f>
        <v>1.9200442309962973E-11</v>
      </c>
      <c r="D5" s="160">
        <v>1.4418336243067003E-2</v>
      </c>
      <c r="E5" s="170">
        <v>2.8661635374646603E-2</v>
      </c>
      <c r="F5" s="167">
        <v>2.2689425959857058E-2</v>
      </c>
      <c r="G5" s="170">
        <v>4.4691984429176025E-2</v>
      </c>
      <c r="H5" s="167">
        <v>2.3785705664260068E-2</v>
      </c>
      <c r="I5" s="170">
        <v>4.6779173575227082E-2</v>
      </c>
      <c r="J5" s="167">
        <v>2.8773996099739404E-2</v>
      </c>
      <c r="K5" s="170">
        <v>5.6136998647710309E-2</v>
      </c>
      <c r="L5" s="173">
        <v>7.7876270587083712E-2</v>
      </c>
      <c r="M5" s="176">
        <v>0.15622991911076617</v>
      </c>
      <c r="N5" s="173">
        <v>4.1313859816301569E-2</v>
      </c>
      <c r="O5" s="161">
        <v>7.8363685807216574E-2</v>
      </c>
      <c r="Q5" s="182">
        <v>2.3300000000000001E-2</v>
      </c>
      <c r="R5" s="179">
        <v>4.6600000000000003E-2</v>
      </c>
    </row>
    <row r="6" spans="2:18" ht="18" customHeight="1">
      <c r="B6" s="33">
        <f>Datos!C9</f>
        <v>5.01</v>
      </c>
      <c r="C6" s="99">
        <f>Datos!C26</f>
        <v>1.7326963152814802E-11</v>
      </c>
      <c r="D6" s="162">
        <v>1.3016361427838975E-2</v>
      </c>
      <c r="E6" s="171">
        <v>2.5904052588636324E-2</v>
      </c>
      <c r="F6" s="168">
        <v>2.0494730187754034E-2</v>
      </c>
      <c r="G6" s="171">
        <v>4.0484342462307525E-2</v>
      </c>
      <c r="H6" s="168">
        <v>2.148699418431705E-2</v>
      </c>
      <c r="I6" s="171">
        <v>4.2391343149004744E-2</v>
      </c>
      <c r="J6" s="168">
        <v>2.6005918094784884E-2</v>
      </c>
      <c r="K6" s="171">
        <v>5.0973773315562895E-2</v>
      </c>
      <c r="L6" s="174">
        <v>7.0264298131418171E-2</v>
      </c>
      <c r="M6" s="177">
        <v>0.14087852633684941</v>
      </c>
      <c r="N6" s="174">
        <v>3.7402645300143721E-2</v>
      </c>
      <c r="O6" s="164">
        <v>7.1664479016994437E-2</v>
      </c>
      <c r="Q6" s="182">
        <v>2.0549999999999999E-2</v>
      </c>
      <c r="R6" s="179">
        <v>4.2450000000000002E-2</v>
      </c>
    </row>
    <row r="7" spans="2:18" ht="18" customHeight="1">
      <c r="B7" s="33">
        <f>Datos!C10</f>
        <v>5.98</v>
      </c>
      <c r="C7" s="99">
        <f>Datos!C27</f>
        <v>1.5859544964668928E-11</v>
      </c>
      <c r="D7" s="162">
        <v>1.1917193794663598E-2</v>
      </c>
      <c r="E7" s="171">
        <v>2.3735699579017767E-2</v>
      </c>
      <c r="F7" s="168">
        <v>1.8771556194259471E-2</v>
      </c>
      <c r="G7" s="171">
        <v>3.7155586266706377E-2</v>
      </c>
      <c r="H7" s="168">
        <v>1.9681710049313211E-2</v>
      </c>
      <c r="I7" s="171">
        <v>3.8916394002834365E-2</v>
      </c>
      <c r="J7" s="168">
        <v>2.3829243358261889E-2</v>
      </c>
      <c r="K7" s="171">
        <v>4.6861852892662467E-2</v>
      </c>
      <c r="L7" s="174">
        <v>6.4305026216929337E-2</v>
      </c>
      <c r="M7" s="177">
        <v>0.12887790447002953</v>
      </c>
      <c r="N7" s="174">
        <v>3.4313227396881398E-2</v>
      </c>
      <c r="O7" s="164">
        <v>6.621406925383716E-2</v>
      </c>
      <c r="Q7" s="182">
        <v>1.9200000000000002E-2</v>
      </c>
      <c r="R7" s="179">
        <v>3.3850000000000005E-2</v>
      </c>
    </row>
    <row r="8" spans="2:18" ht="18" customHeight="1">
      <c r="B8" s="33">
        <f>Datos!C11</f>
        <v>7.04</v>
      </c>
      <c r="C8" s="99">
        <f>Datos!C28</f>
        <v>1.4616890205012538E-11</v>
      </c>
      <c r="D8" s="162">
        <v>1.098572090802682E-2</v>
      </c>
      <c r="E8" s="171">
        <v>2.1894170120045048E-2</v>
      </c>
      <c r="F8" s="168">
        <v>1.730971096290412E-2</v>
      </c>
      <c r="G8" s="171">
        <v>3.4315926734454973E-2</v>
      </c>
      <c r="H8" s="168">
        <v>1.8149930672482759E-2</v>
      </c>
      <c r="I8" s="171">
        <v>3.5949755303533198E-2</v>
      </c>
      <c r="J8" s="168">
        <v>2.198060327678604E-2</v>
      </c>
      <c r="K8" s="171">
        <v>4.3337172886626051E-2</v>
      </c>
      <c r="L8" s="174">
        <v>5.9260327975454129E-2</v>
      </c>
      <c r="M8" s="177">
        <v>0.1187300545232205</v>
      </c>
      <c r="N8" s="174">
        <v>3.1680743641617548E-2</v>
      </c>
      <c r="O8" s="164">
        <v>6.1470527404469996E-2</v>
      </c>
      <c r="Q8" s="182">
        <v>1.8200000000000001E-2</v>
      </c>
      <c r="R8" s="179">
        <v>3.1800000000000002E-2</v>
      </c>
    </row>
    <row r="9" spans="2:18" ht="18" customHeight="1">
      <c r="B9" s="33">
        <f>Datos!C12</f>
        <v>8.02</v>
      </c>
      <c r="C9" s="99">
        <f>Datos!C29</f>
        <v>1.369475067619152E-11</v>
      </c>
      <c r="D9" s="162">
        <v>1.0294137067179099E-2</v>
      </c>
      <c r="E9" s="171">
        <v>2.0524717413571432E-2</v>
      </c>
      <c r="F9" s="168">
        <v>1.6223487143110164E-2</v>
      </c>
      <c r="G9" s="171">
        <v>3.2197309016628921E-2</v>
      </c>
      <c r="H9" s="168">
        <v>1.7011591071894618E-2</v>
      </c>
      <c r="I9" s="171">
        <v>3.3735165976150637E-2</v>
      </c>
      <c r="J9" s="168">
        <v>2.0605839156427209E-2</v>
      </c>
      <c r="K9" s="171">
        <v>4.0698247305265743E-2</v>
      </c>
      <c r="L9" s="174">
        <v>5.5517780611368646E-2</v>
      </c>
      <c r="M9" s="177">
        <v>0.11120760877078757</v>
      </c>
      <c r="N9" s="174">
        <v>2.9718331982018339E-2</v>
      </c>
      <c r="O9" s="164">
        <v>5.7880149563706698E-2</v>
      </c>
      <c r="Q9" s="182">
        <v>1.7550000000000003E-2</v>
      </c>
      <c r="R9" s="179">
        <v>2.98E-2</v>
      </c>
    </row>
    <row r="10" spans="2:18" ht="18" customHeight="1" thickBot="1">
      <c r="B10" s="34">
        <f>Datos!C13</f>
        <v>8.94</v>
      </c>
      <c r="C10" s="100">
        <f>Datos!C30</f>
        <v>1.2970972976567375E-11</v>
      </c>
      <c r="D10" s="165">
        <v>9.7511172469116371E-3</v>
      </c>
      <c r="E10" s="172">
        <v>1.9448227627033569E-2</v>
      </c>
      <c r="F10" s="169">
        <v>1.5370124172307044E-2</v>
      </c>
      <c r="G10" s="172">
        <v>3.0528073514367884E-2</v>
      </c>
      <c r="H10" s="169">
        <v>1.6117200453338393E-2</v>
      </c>
      <c r="I10" s="172">
        <v>3.1989629501593987E-2</v>
      </c>
      <c r="J10" s="169">
        <v>1.9525161067626227E-2</v>
      </c>
      <c r="K10" s="172">
        <v>3.8613939104679217E-2</v>
      </c>
      <c r="L10" s="175">
        <v>5.2580842019186183E-2</v>
      </c>
      <c r="M10" s="178">
        <v>0.10530776432975918</v>
      </c>
      <c r="N10" s="175">
        <v>2.8173078258047695E-2</v>
      </c>
      <c r="O10" s="166">
        <v>5.5022778144097131E-2</v>
      </c>
      <c r="Q10" s="183">
        <v>1.6400000000000001E-2</v>
      </c>
      <c r="R10" s="180">
        <v>2.835E-2</v>
      </c>
    </row>
    <row r="11" spans="2:18" ht="18" customHeight="1" thickTop="1"/>
    <row r="13" spans="2:18" ht="18" customHeight="1" thickBot="1"/>
    <row r="14" spans="2:18" ht="18" customHeight="1" thickTop="1">
      <c r="B14" s="190" t="s">
        <v>41</v>
      </c>
      <c r="C14" s="193" t="s">
        <v>20</v>
      </c>
      <c r="D14" s="196">
        <f>Datos!$F$8</f>
        <v>3.3756000000000002E-10</v>
      </c>
      <c r="E14" s="197"/>
      <c r="F14" s="196">
        <f>Datos!$F$9</f>
        <v>2.1386E-10</v>
      </c>
      <c r="G14" s="197"/>
      <c r="H14" s="196">
        <f>Datos!$F$10</f>
        <v>2.0390000000000001E-10</v>
      </c>
      <c r="I14" s="198"/>
      <c r="J14" s="196">
        <f>Datos!$F$11</f>
        <v>1.6811E-10</v>
      </c>
      <c r="K14" s="198"/>
      <c r="L14" s="196">
        <f>Datos!$F$12</f>
        <v>1.2340000000000001E-10</v>
      </c>
      <c r="M14" s="198"/>
      <c r="N14" s="196">
        <f>Datos!$F$13</f>
        <v>1.1603000000000001E-10</v>
      </c>
      <c r="O14" s="214"/>
    </row>
    <row r="15" spans="2:18" ht="18" customHeight="1">
      <c r="B15" s="191"/>
      <c r="C15" s="194"/>
      <c r="D15" s="187" t="s">
        <v>66</v>
      </c>
      <c r="E15" s="189"/>
      <c r="F15" s="187" t="s">
        <v>66</v>
      </c>
      <c r="G15" s="189"/>
      <c r="H15" s="187" t="s">
        <v>66</v>
      </c>
      <c r="I15" s="189"/>
      <c r="J15" s="187" t="s">
        <v>66</v>
      </c>
      <c r="K15" s="189"/>
      <c r="L15" s="187" t="s">
        <v>66</v>
      </c>
      <c r="M15" s="189"/>
      <c r="N15" s="199" t="s">
        <v>66</v>
      </c>
      <c r="O15" s="213"/>
    </row>
    <row r="16" spans="2:18" ht="18" customHeight="1" thickBot="1">
      <c r="B16" s="192"/>
      <c r="C16" s="195"/>
      <c r="D16" s="27" t="s">
        <v>43</v>
      </c>
      <c r="E16" s="28" t="s">
        <v>44</v>
      </c>
      <c r="F16" s="27" t="s">
        <v>43</v>
      </c>
      <c r="G16" s="28" t="s">
        <v>44</v>
      </c>
      <c r="H16" s="27" t="s">
        <v>43</v>
      </c>
      <c r="I16" s="28" t="s">
        <v>44</v>
      </c>
      <c r="J16" s="27" t="s">
        <v>43</v>
      </c>
      <c r="K16" s="28" t="s">
        <v>44</v>
      </c>
      <c r="L16" s="59" t="s">
        <v>43</v>
      </c>
      <c r="M16" s="48" t="s">
        <v>44</v>
      </c>
      <c r="N16" s="42" t="s">
        <v>43</v>
      </c>
      <c r="O16" s="43" t="s">
        <v>44</v>
      </c>
    </row>
    <row r="17" spans="2:15" ht="18" customHeight="1">
      <c r="B17" s="32">
        <f t="shared" ref="B17:B22" si="0">B5</f>
        <v>4.08</v>
      </c>
      <c r="C17" s="98">
        <f t="shared" ref="C17:C22" si="1">C5</f>
        <v>1.9200442309962973E-11</v>
      </c>
      <c r="D17" s="184">
        <f>ABS(D5-Q5)</f>
        <v>8.8816637569329986E-3</v>
      </c>
      <c r="E17" s="170">
        <f>ABS(E5-R5)</f>
        <v>1.7938364625353399E-2</v>
      </c>
      <c r="F17" s="167">
        <f>ABS(F5-Q5)</f>
        <v>6.1057404014294367E-4</v>
      </c>
      <c r="G17" s="170">
        <f>ABS(G5-R5)</f>
        <v>1.9080155708239774E-3</v>
      </c>
      <c r="H17" s="167">
        <f>ABS(H5-Q5)</f>
        <v>4.8570566426006656E-4</v>
      </c>
      <c r="I17" s="170">
        <f>ABS(I5-R5)</f>
        <v>1.79173575227079E-4</v>
      </c>
      <c r="J17" s="167">
        <f>ABS(J5-Q5)</f>
        <v>5.4739960997394026E-3</v>
      </c>
      <c r="K17" s="170">
        <f>ABS(K5-R5)</f>
        <v>9.5369986477103069E-3</v>
      </c>
      <c r="L17" s="173">
        <f>ABS(L5-Q5)</f>
        <v>5.4576270587083711E-2</v>
      </c>
      <c r="M17" s="176">
        <f>ABS(M5-R5)</f>
        <v>0.10962991911076617</v>
      </c>
      <c r="N17" s="173">
        <f>ABS(N5-Q5)</f>
        <v>1.8013859816301568E-2</v>
      </c>
      <c r="O17" s="161">
        <f>ABS(O5-R5)</f>
        <v>3.1763685807216571E-2</v>
      </c>
    </row>
    <row r="18" spans="2:15" ht="18" customHeight="1">
      <c r="B18" s="33">
        <f t="shared" si="0"/>
        <v>5.01</v>
      </c>
      <c r="C18" s="99">
        <f t="shared" si="1"/>
        <v>1.7326963152814802E-11</v>
      </c>
      <c r="D18" s="162">
        <f t="shared" ref="D18:D22" si="2">ABS(D6-Q6)</f>
        <v>7.5336385721610239E-3</v>
      </c>
      <c r="E18" s="171">
        <f t="shared" ref="E18:E22" si="3">ABS(E6-R6)</f>
        <v>1.6545947411363678E-2</v>
      </c>
      <c r="F18" s="168">
        <f t="shared" ref="F18:F22" si="4">ABS(F6-Q6)</f>
        <v>5.5269812245965083E-5</v>
      </c>
      <c r="G18" s="171">
        <f t="shared" ref="G18:G22" si="5">ABS(G6-R6)</f>
        <v>1.9656575376924765E-3</v>
      </c>
      <c r="H18" s="168">
        <f t="shared" ref="H18:H22" si="6">ABS(H6-Q6)</f>
        <v>9.3699418431705123E-4</v>
      </c>
      <c r="I18" s="171">
        <f t="shared" ref="I18:I22" si="7">ABS(I6-R6)</f>
        <v>5.8656850995257581E-5</v>
      </c>
      <c r="J18" s="168">
        <f t="shared" ref="J18:J22" si="8">ABS(J6-Q6)</f>
        <v>5.4559180947848854E-3</v>
      </c>
      <c r="K18" s="171">
        <f t="shared" ref="K18:K22" si="9">ABS(K6-R6)</f>
        <v>8.5237733155628936E-3</v>
      </c>
      <c r="L18" s="174">
        <f t="shared" ref="L18:L22" si="10">ABS(L6-Q6)</f>
        <v>4.9714298131418172E-2</v>
      </c>
      <c r="M18" s="177">
        <f t="shared" ref="M18:M22" si="11">ABS(M6-R6)</f>
        <v>9.8428526336849412E-2</v>
      </c>
      <c r="N18" s="174">
        <f t="shared" ref="N18:N22" si="12">ABS(N6-Q6)</f>
        <v>1.6852645300143722E-2</v>
      </c>
      <c r="O18" s="164">
        <f t="shared" ref="O18:O22" si="13">ABS(O6-R6)</f>
        <v>2.9214479016994435E-2</v>
      </c>
    </row>
    <row r="19" spans="2:15" ht="18" customHeight="1">
      <c r="B19" s="33">
        <f t="shared" si="0"/>
        <v>5.98</v>
      </c>
      <c r="C19" s="99">
        <f t="shared" si="1"/>
        <v>1.5859544964668928E-11</v>
      </c>
      <c r="D19" s="162">
        <f t="shared" si="2"/>
        <v>7.2828062053364034E-3</v>
      </c>
      <c r="E19" s="171">
        <f t="shared" si="3"/>
        <v>1.0114300420982238E-2</v>
      </c>
      <c r="F19" s="168">
        <f t="shared" si="4"/>
        <v>4.2844380574053043E-4</v>
      </c>
      <c r="G19" s="171">
        <f t="shared" si="5"/>
        <v>3.3055862667063715E-3</v>
      </c>
      <c r="H19" s="168">
        <f t="shared" si="6"/>
        <v>4.8171004931320954E-4</v>
      </c>
      <c r="I19" s="171">
        <f t="shared" si="7"/>
        <v>5.0663940028343596E-3</v>
      </c>
      <c r="J19" s="168">
        <f t="shared" si="8"/>
        <v>4.6292433582618871E-3</v>
      </c>
      <c r="K19" s="171">
        <f t="shared" si="9"/>
        <v>1.3011852892662462E-2</v>
      </c>
      <c r="L19" s="174">
        <f t="shared" si="10"/>
        <v>4.5105026216929335E-2</v>
      </c>
      <c r="M19" s="177">
        <f t="shared" si="11"/>
        <v>9.5027904470029526E-2</v>
      </c>
      <c r="N19" s="174">
        <f t="shared" si="12"/>
        <v>1.5113227396881396E-2</v>
      </c>
      <c r="O19" s="164">
        <f t="shared" si="13"/>
        <v>3.2364069253837155E-2</v>
      </c>
    </row>
    <row r="20" spans="2:15" ht="18" customHeight="1">
      <c r="B20" s="33">
        <f t="shared" si="0"/>
        <v>7.04</v>
      </c>
      <c r="C20" s="99">
        <f t="shared" si="1"/>
        <v>1.4616890205012538E-11</v>
      </c>
      <c r="D20" s="162">
        <f t="shared" si="2"/>
        <v>7.2142790919731813E-3</v>
      </c>
      <c r="E20" s="171">
        <f t="shared" si="3"/>
        <v>9.9058298799549541E-3</v>
      </c>
      <c r="F20" s="168">
        <f t="shared" si="4"/>
        <v>8.9028903709588089E-4</v>
      </c>
      <c r="G20" s="171">
        <f t="shared" si="5"/>
        <v>2.5159267344549707E-3</v>
      </c>
      <c r="H20" s="168">
        <f t="shared" si="6"/>
        <v>5.0069327517242301E-5</v>
      </c>
      <c r="I20" s="171">
        <f t="shared" si="7"/>
        <v>4.1497553035331966E-3</v>
      </c>
      <c r="J20" s="168">
        <f t="shared" si="8"/>
        <v>3.780603276786039E-3</v>
      </c>
      <c r="K20" s="171">
        <f t="shared" si="9"/>
        <v>1.1537172886626049E-2</v>
      </c>
      <c r="L20" s="174">
        <f t="shared" si="10"/>
        <v>4.1060327975454128E-2</v>
      </c>
      <c r="M20" s="177">
        <f t="shared" si="11"/>
        <v>8.6930054523220501E-2</v>
      </c>
      <c r="N20" s="174">
        <f t="shared" si="12"/>
        <v>1.3480743641617547E-2</v>
      </c>
      <c r="O20" s="164">
        <f t="shared" si="13"/>
        <v>2.9670527404469994E-2</v>
      </c>
    </row>
    <row r="21" spans="2:15" ht="18" customHeight="1">
      <c r="B21" s="33">
        <f t="shared" si="0"/>
        <v>8.02</v>
      </c>
      <c r="C21" s="99">
        <f t="shared" si="1"/>
        <v>1.369475067619152E-11</v>
      </c>
      <c r="D21" s="162">
        <f t="shared" si="2"/>
        <v>7.2558629328209039E-3</v>
      </c>
      <c r="E21" s="171">
        <f t="shared" si="3"/>
        <v>9.2752825864285682E-3</v>
      </c>
      <c r="F21" s="168">
        <f t="shared" si="4"/>
        <v>1.3265128568898388E-3</v>
      </c>
      <c r="G21" s="171">
        <f t="shared" si="5"/>
        <v>2.3973090166289207E-3</v>
      </c>
      <c r="H21" s="168">
        <f t="shared" si="6"/>
        <v>5.3840892810538485E-4</v>
      </c>
      <c r="I21" s="171">
        <f t="shared" si="7"/>
        <v>3.9351659761506369E-3</v>
      </c>
      <c r="J21" s="168">
        <f t="shared" si="8"/>
        <v>3.0558391564272057E-3</v>
      </c>
      <c r="K21" s="171">
        <f t="shared" si="9"/>
        <v>1.0898247305265743E-2</v>
      </c>
      <c r="L21" s="174">
        <f t="shared" si="10"/>
        <v>3.7967780611368643E-2</v>
      </c>
      <c r="M21" s="177">
        <f t="shared" si="11"/>
        <v>8.1407608770787565E-2</v>
      </c>
      <c r="N21" s="174">
        <f t="shared" si="12"/>
        <v>1.2168331982018336E-2</v>
      </c>
      <c r="O21" s="164">
        <f t="shared" si="13"/>
        <v>2.8080149563706698E-2</v>
      </c>
    </row>
    <row r="22" spans="2:15" ht="18" customHeight="1" thickBot="1">
      <c r="B22" s="34">
        <f t="shared" si="0"/>
        <v>8.94</v>
      </c>
      <c r="C22" s="100">
        <f t="shared" si="1"/>
        <v>1.2970972976567375E-11</v>
      </c>
      <c r="D22" s="165">
        <f t="shared" si="2"/>
        <v>6.6488827530883643E-3</v>
      </c>
      <c r="E22" s="172">
        <f t="shared" si="3"/>
        <v>8.9017723729664308E-3</v>
      </c>
      <c r="F22" s="169">
        <f t="shared" si="4"/>
        <v>1.0298758276929571E-3</v>
      </c>
      <c r="G22" s="172">
        <f t="shared" si="5"/>
        <v>2.1780735143678842E-3</v>
      </c>
      <c r="H22" s="169">
        <f t="shared" si="6"/>
        <v>2.8279954666160859E-4</v>
      </c>
      <c r="I22" s="172">
        <f t="shared" si="7"/>
        <v>3.639629501593987E-3</v>
      </c>
      <c r="J22" s="169">
        <f t="shared" si="8"/>
        <v>3.1251610676262254E-3</v>
      </c>
      <c r="K22" s="172">
        <f t="shared" si="9"/>
        <v>1.0263939104679216E-2</v>
      </c>
      <c r="L22" s="175">
        <f t="shared" si="10"/>
        <v>3.6180842019186185E-2</v>
      </c>
      <c r="M22" s="178">
        <f t="shared" si="11"/>
        <v>7.6957764329759176E-2</v>
      </c>
      <c r="N22" s="175">
        <f t="shared" si="12"/>
        <v>1.1773078258047694E-2</v>
      </c>
      <c r="O22" s="166">
        <f t="shared" si="13"/>
        <v>2.6672778144097131E-2</v>
      </c>
    </row>
    <row r="23" spans="2:15" ht="18" customHeight="1" thickTop="1"/>
  </sheetData>
  <mergeCells count="28">
    <mergeCell ref="J14:K14"/>
    <mergeCell ref="L14:M14"/>
    <mergeCell ref="N14:O14"/>
    <mergeCell ref="L15:M15"/>
    <mergeCell ref="N15:O15"/>
    <mergeCell ref="J15:K15"/>
    <mergeCell ref="L3:M3"/>
    <mergeCell ref="N3:O3"/>
    <mergeCell ref="N2:O2"/>
    <mergeCell ref="L2:M2"/>
    <mergeCell ref="J2:K2"/>
    <mergeCell ref="B14:B16"/>
    <mergeCell ref="C14:C16"/>
    <mergeCell ref="D15:E15"/>
    <mergeCell ref="F15:G15"/>
    <mergeCell ref="H15:I15"/>
    <mergeCell ref="D14:E14"/>
    <mergeCell ref="F14:G14"/>
    <mergeCell ref="H14:I14"/>
    <mergeCell ref="B2:B4"/>
    <mergeCell ref="C2:C4"/>
    <mergeCell ref="D3:E3"/>
    <mergeCell ref="H3:I3"/>
    <mergeCell ref="J3:K3"/>
    <mergeCell ref="F3:G3"/>
    <mergeCell ref="D2:E2"/>
    <mergeCell ref="F2:G2"/>
    <mergeCell ref="H2:I2"/>
  </mergeCells>
  <conditionalFormatting sqref="D17:O2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Datos</vt:lpstr>
      <vt:lpstr>Tablas teo</vt:lpstr>
      <vt:lpstr>Tablas exp</vt:lpstr>
      <vt:lpstr>Diametros medidos en m</vt:lpstr>
      <vt:lpstr>Graficos exp vs medidos</vt:lpstr>
      <vt:lpstr>Graficos</vt:lpstr>
      <vt:lpstr>Graficos comparatorios</vt:lpstr>
      <vt:lpstr>Tablas exp con errores</vt:lpstr>
      <vt:lpstr>numeros exp vs medidos</vt:lpstr>
      <vt:lpstr>numeros exp vs medidos cruzados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2013-04-30T04:11:26Z</dcterms:created>
  <dcterms:modified xsi:type="dcterms:W3CDTF">2013-05-08T07:18:16Z</dcterms:modified>
</cp:coreProperties>
</file>