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C:\Users\jonathan\Box\S3VC Root\S3 Internal Documents\Marketing\Website\"/>
    </mc:Choice>
  </mc:AlternateContent>
  <xr:revisionPtr revIDLastSave="0" documentId="8_{570B4CA4-82BE-413B-9579-878B584A321E}" xr6:coauthVersionLast="45" xr6:coauthVersionMax="45" xr10:uidLastSave="{00000000-0000-0000-0000-000000000000}"/>
  <bookViews>
    <workbookView xWindow="1425" yWindow="915" windowWidth="36810" windowHeight="16875" xr2:uid="{00000000-000D-0000-FFFF-FFFF00000000}"/>
  </bookViews>
  <sheets>
    <sheet name="Cover" sheetId="14" r:id="rId1"/>
    <sheet name="Instructions" sheetId="24" r:id="rId2"/>
    <sheet name="Pre-Investment Cap Table" sheetId="17" r:id="rId3"/>
    <sheet name="Convertible Notes" sheetId="20" r:id="rId4"/>
    <sheet name="Series A Cap Table" sheetId="18" r:id="rId5"/>
    <sheet name="Series B Cap Table" sheetId="19" r:id="rId6"/>
    <sheet name="Value Growth" sheetId="23" r:id="rId7"/>
    <sheet name="Series A_Print Version" sheetId="21" r:id="rId8"/>
    <sheet name="Series B_Print Version" sheetId="22" r:id="rId9"/>
  </sheets>
  <definedNames>
    <definedName name="_xlnm.Print_Area" localSheetId="0">Cover!$B$1:$B$23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7" i="19" l="1"/>
  <c r="H46" i="19"/>
  <c r="H45" i="19"/>
  <c r="H44" i="19"/>
  <c r="H43" i="19"/>
  <c r="H42" i="19"/>
  <c r="H41" i="19"/>
  <c r="H40" i="19"/>
  <c r="B38" i="19"/>
  <c r="B45" i="19" l="1"/>
  <c r="B49" i="23"/>
  <c r="B50" i="23"/>
  <c r="B51" i="23"/>
  <c r="B52" i="23"/>
  <c r="B53" i="23"/>
  <c r="B48" i="23"/>
  <c r="C24" i="20"/>
  <c r="D24" i="20"/>
  <c r="E24" i="20"/>
  <c r="F24" i="20" l="1"/>
  <c r="J22" i="18" s="1"/>
  <c r="I22" i="18"/>
  <c r="G22" i="18"/>
  <c r="A27" i="18" s="1"/>
  <c r="A48" i="18" s="1"/>
  <c r="A43" i="19" s="1"/>
  <c r="F23" i="20"/>
  <c r="J21" i="18" s="1"/>
  <c r="E23" i="20"/>
  <c r="I21" i="18" s="1"/>
  <c r="D23" i="20"/>
  <c r="C23" i="20"/>
  <c r="B23" i="20"/>
  <c r="A23" i="20"/>
  <c r="G21" i="18" s="1"/>
  <c r="A17" i="18" s="1"/>
  <c r="F22" i="20"/>
  <c r="J20" i="18" s="1"/>
  <c r="E22" i="20"/>
  <c r="I20" i="18" s="1"/>
  <c r="D22" i="20"/>
  <c r="C22" i="20"/>
  <c r="B22" i="20"/>
  <c r="A22" i="20"/>
  <c r="G20" i="18" s="1"/>
  <c r="A16" i="18" s="1"/>
  <c r="F21" i="20"/>
  <c r="J19" i="18" s="1"/>
  <c r="E21" i="20"/>
  <c r="I19" i="18" s="1"/>
  <c r="D21" i="20"/>
  <c r="C21" i="20"/>
  <c r="B21" i="20"/>
  <c r="A21" i="20"/>
  <c r="G19" i="18" s="1"/>
  <c r="A15" i="18" s="1"/>
  <c r="B19" i="20"/>
  <c r="B24" i="20"/>
  <c r="C18" i="18" s="1"/>
  <c r="A19" i="19" l="1"/>
  <c r="B25" i="20"/>
  <c r="A18" i="18"/>
  <c r="A26" i="18"/>
  <c r="A25" i="18"/>
  <c r="A24" i="18"/>
  <c r="D18" i="18" l="1"/>
  <c r="E18" i="18" s="1"/>
  <c r="F48" i="18" l="1"/>
  <c r="F13" i="20"/>
  <c r="F14" i="20" s="1"/>
  <c r="F15" i="20" s="1"/>
  <c r="F16" i="20" s="1"/>
  <c r="F17" i="20" s="1"/>
  <c r="F18" i="20" s="1"/>
  <c r="E13" i="20"/>
  <c r="E14" i="20" s="1"/>
  <c r="E15" i="20" s="1"/>
  <c r="E16" i="20" s="1"/>
  <c r="E17" i="20" s="1"/>
  <c r="E18" i="20" s="1"/>
  <c r="D13" i="20"/>
  <c r="D14" i="20" s="1"/>
  <c r="D15" i="20" s="1"/>
  <c r="D16" i="20" s="1"/>
  <c r="D17" i="20" s="1"/>
  <c r="D18" i="20" s="1"/>
  <c r="A22" i="22"/>
  <c r="C21" i="21"/>
  <c r="B21" i="21"/>
  <c r="A21" i="21"/>
  <c r="C43" i="19"/>
  <c r="C22" i="22" s="1"/>
  <c r="C42" i="19"/>
  <c r="B43" i="19"/>
  <c r="B22" i="22" s="1"/>
  <c r="B42" i="19"/>
  <c r="D48" i="18"/>
  <c r="D47" i="18"/>
  <c r="D19" i="18"/>
  <c r="D24" i="19"/>
  <c r="D17" i="18"/>
  <c r="D43" i="19" l="1"/>
  <c r="D42" i="19"/>
  <c r="H9" i="20" l="1"/>
  <c r="H12" i="20"/>
  <c r="H24" i="20" s="1"/>
  <c r="H13" i="20"/>
  <c r="I13" i="20" s="1"/>
  <c r="H14" i="20"/>
  <c r="I14" i="20" s="1"/>
  <c r="H15" i="20"/>
  <c r="I15" i="20" s="1"/>
  <c r="H16" i="20"/>
  <c r="I16" i="20" s="1"/>
  <c r="H17" i="20"/>
  <c r="I17" i="20" s="1"/>
  <c r="H18" i="20"/>
  <c r="I18" i="20" s="1"/>
  <c r="I12" i="20" l="1"/>
  <c r="I24" i="20" s="1"/>
  <c r="I9" i="20"/>
  <c r="I21" i="20" s="1"/>
  <c r="H21" i="20"/>
  <c r="J13" i="20"/>
  <c r="K13" i="20" s="1"/>
  <c r="J18" i="20"/>
  <c r="K18" i="20" s="1"/>
  <c r="J15" i="20"/>
  <c r="K15" i="20" s="1"/>
  <c r="J17" i="20"/>
  <c r="K17" i="20" s="1"/>
  <c r="J14" i="20"/>
  <c r="K14" i="20" s="1"/>
  <c r="J16" i="20"/>
  <c r="K16" i="20" s="1"/>
  <c r="J12" i="20" l="1"/>
  <c r="J24" i="20" s="1"/>
  <c r="J9" i="20"/>
  <c r="J21" i="20" s="1"/>
  <c r="A50" i="18"/>
  <c r="A49" i="18"/>
  <c r="A47" i="18"/>
  <c r="A46" i="18"/>
  <c r="C17" i="18"/>
  <c r="E17" i="18" s="1"/>
  <c r="C16" i="18"/>
  <c r="C15" i="18"/>
  <c r="K12" i="20" l="1"/>
  <c r="K24" i="20" s="1"/>
  <c r="H22" i="18" s="1"/>
  <c r="K9" i="20"/>
  <c r="K21" i="20" s="1"/>
  <c r="H19" i="18" s="1"/>
  <c r="H11" i="20"/>
  <c r="H10" i="20"/>
  <c r="I10" i="20" l="1"/>
  <c r="H22" i="20"/>
  <c r="I11" i="20"/>
  <c r="H23" i="20"/>
  <c r="A47" i="19"/>
  <c r="A46" i="19"/>
  <c r="A45" i="18"/>
  <c r="J11" i="20" l="1"/>
  <c r="I23" i="20"/>
  <c r="J10" i="20"/>
  <c r="I22" i="20"/>
  <c r="J23" i="20" l="1"/>
  <c r="K11" i="20"/>
  <c r="K23" i="20" s="1"/>
  <c r="H21" i="18" s="1"/>
  <c r="J22" i="20"/>
  <c r="J19" i="20"/>
  <c r="K10" i="20"/>
  <c r="K22" i="20" s="1"/>
  <c r="H20" i="18" s="1"/>
  <c r="D26" i="22"/>
  <c r="D25" i="22"/>
  <c r="D18" i="22"/>
  <c r="C26" i="22"/>
  <c r="B26" i="22"/>
  <c r="C25" i="22"/>
  <c r="B18" i="22"/>
  <c r="B17" i="22"/>
  <c r="A26" i="22"/>
  <c r="A25" i="22"/>
  <c r="A18" i="22"/>
  <c r="C23" i="21"/>
  <c r="B23" i="21"/>
  <c r="A23" i="21"/>
  <c r="C22" i="21"/>
  <c r="B22" i="21"/>
  <c r="A22" i="21"/>
  <c r="C20" i="21"/>
  <c r="B20" i="21"/>
  <c r="A20" i="21"/>
  <c r="C19" i="21"/>
  <c r="B19" i="21"/>
  <c r="A19" i="21"/>
  <c r="C18" i="21"/>
  <c r="B18" i="21"/>
  <c r="A18" i="21"/>
  <c r="B17" i="21"/>
  <c r="A17" i="21"/>
  <c r="A38" i="19"/>
  <c r="A17" i="22" l="1"/>
  <c r="J25" i="20"/>
  <c r="K25" i="20"/>
  <c r="K19" i="20"/>
  <c r="C45" i="19"/>
  <c r="C24" i="22" s="1"/>
  <c r="B24" i="22"/>
  <c r="C44" i="19"/>
  <c r="C23" i="22" s="1"/>
  <c r="B44" i="19"/>
  <c r="B23" i="22" s="1"/>
  <c r="C21" i="22"/>
  <c r="B21" i="22"/>
  <c r="C41" i="19"/>
  <c r="C20" i="22" s="1"/>
  <c r="B41" i="19"/>
  <c r="B20" i="22" s="1"/>
  <c r="C40" i="19"/>
  <c r="C19" i="22" s="1"/>
  <c r="B40" i="19"/>
  <c r="B19" i="22" s="1"/>
  <c r="A45" i="19"/>
  <c r="A44" i="19"/>
  <c r="A42" i="19"/>
  <c r="A41" i="19"/>
  <c r="E29" i="18"/>
  <c r="G50" i="18" s="1"/>
  <c r="E28" i="18"/>
  <c r="G49" i="18" s="1"/>
  <c r="D30" i="18"/>
  <c r="D46" i="18"/>
  <c r="D45" i="18"/>
  <c r="D20" i="18"/>
  <c r="E20" i="18" s="1"/>
  <c r="E19" i="18"/>
  <c r="D16" i="18"/>
  <c r="D15" i="18"/>
  <c r="A20" i="18"/>
  <c r="A19" i="18"/>
  <c r="A18" i="19" l="1"/>
  <c r="A17" i="19"/>
  <c r="F50" i="18"/>
  <c r="F49" i="18"/>
  <c r="A20" i="22"/>
  <c r="A21" i="22"/>
  <c r="A20" i="19"/>
  <c r="A23" i="22"/>
  <c r="A21" i="19"/>
  <c r="A24" i="22"/>
  <c r="D45" i="19"/>
  <c r="D41" i="19"/>
  <c r="D40" i="19"/>
  <c r="D44" i="19"/>
  <c r="E15" i="18"/>
  <c r="F47" i="18"/>
  <c r="E16" i="18"/>
  <c r="D21" i="18"/>
  <c r="C21" i="18"/>
  <c r="A27" i="22"/>
  <c r="A24" i="21"/>
  <c r="A40" i="19"/>
  <c r="A43" i="18"/>
  <c r="A16" i="21" s="1"/>
  <c r="A39" i="18"/>
  <c r="A42" i="18"/>
  <c r="A14" i="21" s="1"/>
  <c r="A41" i="18"/>
  <c r="A40" i="18"/>
  <c r="A38" i="18"/>
  <c r="A11" i="21" s="1"/>
  <c r="A37" i="18"/>
  <c r="A36" i="18"/>
  <c r="A9" i="21" s="1"/>
  <c r="C39" i="19"/>
  <c r="A16" i="19" l="1"/>
  <c r="F46" i="18"/>
  <c r="F45" i="18"/>
  <c r="E21" i="18"/>
  <c r="A19" i="22"/>
  <c r="A31" i="19"/>
  <c r="A10" i="21"/>
  <c r="A34" i="19"/>
  <c r="A12" i="21"/>
  <c r="A35" i="19"/>
  <c r="A13" i="21"/>
  <c r="C18" i="22"/>
  <c r="D39" i="19"/>
  <c r="A33" i="19"/>
  <c r="A15" i="21"/>
  <c r="A37" i="19"/>
  <c r="A36" i="19"/>
  <c r="A30" i="19"/>
  <c r="A32" i="19"/>
  <c r="C43" i="18"/>
  <c r="C39" i="18"/>
  <c r="C42" i="18"/>
  <c r="C41" i="18"/>
  <c r="C40" i="18"/>
  <c r="C38" i="18"/>
  <c r="C37" i="18"/>
  <c r="C36" i="18"/>
  <c r="B43" i="18"/>
  <c r="B16" i="21" s="1"/>
  <c r="B39" i="18"/>
  <c r="B42" i="18"/>
  <c r="B41" i="18"/>
  <c r="B40" i="18"/>
  <c r="B38" i="18"/>
  <c r="B37" i="18"/>
  <c r="B36" i="18"/>
  <c r="D47" i="19"/>
  <c r="D50" i="18"/>
  <c r="D49" i="18"/>
  <c r="C44" i="18"/>
  <c r="C18" i="17"/>
  <c r="A14" i="22" l="1"/>
  <c r="A16" i="22"/>
  <c r="A13" i="22"/>
  <c r="A12" i="22"/>
  <c r="A11" i="22"/>
  <c r="A9" i="22"/>
  <c r="A15" i="22"/>
  <c r="A10" i="22"/>
  <c r="F51" i="18"/>
  <c r="C38" i="19"/>
  <c r="C17" i="21"/>
  <c r="C16" i="21"/>
  <c r="C37" i="19"/>
  <c r="C16" i="22" s="1"/>
  <c r="B11" i="21"/>
  <c r="B32" i="19"/>
  <c r="B11" i="22" s="1"/>
  <c r="C11" i="21"/>
  <c r="C32" i="19"/>
  <c r="C11" i="22" s="1"/>
  <c r="B12" i="21"/>
  <c r="B34" i="19"/>
  <c r="B12" i="22" s="1"/>
  <c r="C12" i="21"/>
  <c r="C34" i="19"/>
  <c r="C12" i="22" s="1"/>
  <c r="B13" i="21"/>
  <c r="B35" i="19"/>
  <c r="B13" i="22" s="1"/>
  <c r="C13" i="21"/>
  <c r="C35" i="19"/>
  <c r="C13" i="22" s="1"/>
  <c r="B14" i="21"/>
  <c r="B36" i="19"/>
  <c r="B14" i="22" s="1"/>
  <c r="C14" i="21"/>
  <c r="C36" i="19"/>
  <c r="C14" i="22" s="1"/>
  <c r="B15" i="21"/>
  <c r="B33" i="19"/>
  <c r="B15" i="22" s="1"/>
  <c r="C15" i="21"/>
  <c r="C33" i="19"/>
  <c r="C15" i="22" s="1"/>
  <c r="B9" i="21"/>
  <c r="B30" i="19"/>
  <c r="B9" i="22" s="1"/>
  <c r="C9" i="21"/>
  <c r="C30" i="19"/>
  <c r="C9" i="22" s="1"/>
  <c r="B10" i="21"/>
  <c r="B31" i="19"/>
  <c r="B10" i="22" s="1"/>
  <c r="C10" i="21"/>
  <c r="C31" i="19"/>
  <c r="C10" i="22" s="1"/>
  <c r="B37" i="19"/>
  <c r="B16" i="22" s="1"/>
  <c r="D39" i="18"/>
  <c r="D37" i="18"/>
  <c r="D40" i="18"/>
  <c r="D41" i="18"/>
  <c r="D42" i="18"/>
  <c r="D36" i="18"/>
  <c r="D38" i="18"/>
  <c r="D43" i="18"/>
  <c r="H11" i="18" s="1"/>
  <c r="B51" i="18"/>
  <c r="C51" i="18"/>
  <c r="D44" i="18"/>
  <c r="B25" i="22" l="1"/>
  <c r="D46" i="19"/>
  <c r="H9" i="18"/>
  <c r="H10" i="18"/>
  <c r="C17" i="22"/>
  <c r="D38" i="19"/>
  <c r="H48" i="19"/>
  <c r="D36" i="19"/>
  <c r="D33" i="19"/>
  <c r="D35" i="19"/>
  <c r="C24" i="21"/>
  <c r="D34" i="19"/>
  <c r="D37" i="19"/>
  <c r="G11" i="19" s="1"/>
  <c r="D32" i="19"/>
  <c r="C48" i="19"/>
  <c r="B24" i="21"/>
  <c r="D30" i="19"/>
  <c r="D31" i="19"/>
  <c r="B48" i="19"/>
  <c r="D51" i="18"/>
  <c r="M19" i="18" l="1"/>
  <c r="M21" i="18"/>
  <c r="M20" i="18"/>
  <c r="M22" i="18"/>
  <c r="G10" i="19"/>
  <c r="G9" i="19"/>
  <c r="E48" i="18"/>
  <c r="E47" i="18"/>
  <c r="H14" i="18"/>
  <c r="I11" i="18" s="1"/>
  <c r="E46" i="18"/>
  <c r="E45" i="18"/>
  <c r="E39" i="18"/>
  <c r="B27" i="22"/>
  <c r="E43" i="18"/>
  <c r="E40" i="18"/>
  <c r="E38" i="18"/>
  <c r="E36" i="18"/>
  <c r="E44" i="18"/>
  <c r="E50" i="18"/>
  <c r="E42" i="18"/>
  <c r="E49" i="18"/>
  <c r="E11" i="18"/>
  <c r="E12" i="18" s="1"/>
  <c r="E41" i="18"/>
  <c r="E37" i="18"/>
  <c r="E51" i="18" l="1"/>
  <c r="I9" i="18"/>
  <c r="H44" i="18"/>
  <c r="H36" i="18"/>
  <c r="J36" i="18" s="1"/>
  <c r="H43" i="18"/>
  <c r="H41" i="18"/>
  <c r="H39" i="18"/>
  <c r="H42" i="18"/>
  <c r="H40" i="18"/>
  <c r="H37" i="18"/>
  <c r="H38" i="18"/>
  <c r="H50" i="18"/>
  <c r="H49" i="18"/>
  <c r="K21" i="18"/>
  <c r="L21" i="18" s="1"/>
  <c r="N21" i="18" s="1"/>
  <c r="O21" i="18" s="1"/>
  <c r="Q21" i="18" s="1"/>
  <c r="G15" i="19"/>
  <c r="H11" i="19" s="1"/>
  <c r="K22" i="18"/>
  <c r="K19" i="18"/>
  <c r="L19" i="18" s="1"/>
  <c r="K20" i="18"/>
  <c r="I10" i="18"/>
  <c r="P21" i="18" l="1"/>
  <c r="P19" i="18"/>
  <c r="D16" i="21"/>
  <c r="F16" i="21" s="1"/>
  <c r="F37" i="19"/>
  <c r="J43" i="18"/>
  <c r="D14" i="21"/>
  <c r="F14" i="21" s="1"/>
  <c r="F36" i="19"/>
  <c r="J42" i="18"/>
  <c r="D9" i="21"/>
  <c r="F9" i="21" s="1"/>
  <c r="F30" i="19"/>
  <c r="D10" i="21"/>
  <c r="F10" i="21" s="1"/>
  <c r="F31" i="19"/>
  <c r="J37" i="18"/>
  <c r="D12" i="21"/>
  <c r="F12" i="21" s="1"/>
  <c r="F34" i="19"/>
  <c r="J40" i="18"/>
  <c r="D13" i="21"/>
  <c r="F13" i="21" s="1"/>
  <c r="F35" i="19"/>
  <c r="J41" i="18"/>
  <c r="D15" i="21"/>
  <c r="F15" i="21" s="1"/>
  <c r="F33" i="19"/>
  <c r="J39" i="18"/>
  <c r="D11" i="21"/>
  <c r="F11" i="21" s="1"/>
  <c r="F32" i="19"/>
  <c r="J38" i="18"/>
  <c r="D17" i="21"/>
  <c r="F17" i="21" s="1"/>
  <c r="F38" i="19"/>
  <c r="J44" i="18"/>
  <c r="L22" i="18"/>
  <c r="P22" i="18" s="1"/>
  <c r="L20" i="18"/>
  <c r="N20" i="18" s="1"/>
  <c r="I14" i="18"/>
  <c r="D23" i="21"/>
  <c r="F23" i="21" s="1"/>
  <c r="F45" i="19"/>
  <c r="D22" i="21"/>
  <c r="F22" i="21" s="1"/>
  <c r="F44" i="19"/>
  <c r="H10" i="19"/>
  <c r="H9" i="19"/>
  <c r="J50" i="18"/>
  <c r="J49" i="18"/>
  <c r="P20" i="18" l="1"/>
  <c r="D11" i="22"/>
  <c r="J10" i="18"/>
  <c r="I10" i="19" s="1"/>
  <c r="D12" i="22"/>
  <c r="D14" i="22"/>
  <c r="D9" i="22"/>
  <c r="D15" i="22"/>
  <c r="D10" i="22"/>
  <c r="J11" i="18"/>
  <c r="I11" i="19" s="1"/>
  <c r="D17" i="22"/>
  <c r="D16" i="22"/>
  <c r="J13" i="18"/>
  <c r="I13" i="19" s="1"/>
  <c r="D13" i="22"/>
  <c r="J9" i="18"/>
  <c r="I9" i="19" s="1"/>
  <c r="N22" i="18"/>
  <c r="O22" i="18" s="1"/>
  <c r="Q22" i="18" s="1"/>
  <c r="O20" i="18"/>
  <c r="Q20" i="18" s="1"/>
  <c r="N19" i="18"/>
  <c r="O19" i="18" s="1"/>
  <c r="Q19" i="18" s="1"/>
  <c r="C26" i="18"/>
  <c r="D23" i="22"/>
  <c r="D24" i="22"/>
  <c r="H15" i="19"/>
  <c r="C49" i="23" l="1"/>
  <c r="C50" i="23"/>
  <c r="C48" i="23"/>
  <c r="C27" i="18"/>
  <c r="E27" i="18" s="1"/>
  <c r="G48" i="18" s="1"/>
  <c r="H48" i="18" s="1"/>
  <c r="C25" i="18"/>
  <c r="E25" i="18" s="1"/>
  <c r="G46" i="18" s="1"/>
  <c r="H46" i="18" s="1"/>
  <c r="C24" i="18"/>
  <c r="C52" i="23"/>
  <c r="E26" i="18"/>
  <c r="D17" i="17"/>
  <c r="D13" i="17"/>
  <c r="D16" i="17"/>
  <c r="D15" i="17"/>
  <c r="D14" i="17"/>
  <c r="D12" i="17"/>
  <c r="D11" i="17"/>
  <c r="D10" i="17"/>
  <c r="E49" i="23" l="1"/>
  <c r="E48" i="23"/>
  <c r="E50" i="23"/>
  <c r="E52" i="23"/>
  <c r="B23" i="17"/>
  <c r="B22" i="17"/>
  <c r="G47" i="18"/>
  <c r="H47" i="18" s="1"/>
  <c r="J47" i="18" s="1"/>
  <c r="D19" i="21"/>
  <c r="F19" i="21" s="1"/>
  <c r="F43" i="19"/>
  <c r="E24" i="18"/>
  <c r="C30" i="18"/>
  <c r="B24" i="17"/>
  <c r="D18" i="17"/>
  <c r="B18" i="17"/>
  <c r="F42" i="19" l="1"/>
  <c r="G45" i="18"/>
  <c r="G51" i="18" s="1"/>
  <c r="D21" i="21"/>
  <c r="F21" i="21" s="1"/>
  <c r="J48" i="18"/>
  <c r="D22" i="22"/>
  <c r="F41" i="19"/>
  <c r="J46" i="18"/>
  <c r="E30" i="18"/>
  <c r="D20" i="21"/>
  <c r="F20" i="21" s="1"/>
  <c r="B25" i="17"/>
  <c r="C24" i="17" s="1"/>
  <c r="E17" i="17"/>
  <c r="E14" i="17"/>
  <c r="E12" i="17"/>
  <c r="E11" i="17"/>
  <c r="E10" i="17"/>
  <c r="E15" i="17"/>
  <c r="E13" i="17"/>
  <c r="E16" i="17"/>
  <c r="E18" i="17"/>
  <c r="H45" i="18" l="1"/>
  <c r="D20" i="22"/>
  <c r="D21" i="22"/>
  <c r="C23" i="17"/>
  <c r="C22" i="17"/>
  <c r="F40" i="19" l="1"/>
  <c r="D19" i="22" s="1"/>
  <c r="D27" i="22" s="1"/>
  <c r="E19" i="22" s="1"/>
  <c r="H51" i="18"/>
  <c r="D18" i="21"/>
  <c r="J45" i="18"/>
  <c r="C25" i="17"/>
  <c r="F48" i="19" l="1"/>
  <c r="G46" i="19" s="1"/>
  <c r="I46" i="18"/>
  <c r="I36" i="18"/>
  <c r="I39" i="18"/>
  <c r="I40" i="18"/>
  <c r="I38" i="18"/>
  <c r="I48" i="18"/>
  <c r="I50" i="18"/>
  <c r="I47" i="18"/>
  <c r="I44" i="18"/>
  <c r="I45" i="18"/>
  <c r="I37" i="18"/>
  <c r="I49" i="18"/>
  <c r="I41" i="18"/>
  <c r="I43" i="18"/>
  <c r="I42" i="18"/>
  <c r="J12" i="18"/>
  <c r="I12" i="19" s="1"/>
  <c r="J51" i="18"/>
  <c r="D24" i="21"/>
  <c r="F18" i="21"/>
  <c r="E22" i="22"/>
  <c r="E20" i="22"/>
  <c r="E24" i="22"/>
  <c r="E10" i="22"/>
  <c r="E12" i="22"/>
  <c r="E16" i="22"/>
  <c r="E9" i="22"/>
  <c r="E26" i="22"/>
  <c r="E18" i="22"/>
  <c r="E17" i="22"/>
  <c r="E13" i="22"/>
  <c r="E11" i="22"/>
  <c r="E14" i="22"/>
  <c r="E15" i="22"/>
  <c r="E23" i="22"/>
  <c r="E25" i="22"/>
  <c r="E21" i="22"/>
  <c r="D48" i="19"/>
  <c r="D12" i="19" l="1"/>
  <c r="G34" i="19"/>
  <c r="G31" i="19"/>
  <c r="G37" i="19"/>
  <c r="G35" i="19"/>
  <c r="G42" i="19"/>
  <c r="G30" i="19"/>
  <c r="G44" i="19"/>
  <c r="G36" i="19"/>
  <c r="G41" i="19"/>
  <c r="G40" i="19"/>
  <c r="G32" i="19"/>
  <c r="G47" i="19"/>
  <c r="G43" i="19"/>
  <c r="G38" i="19"/>
  <c r="G33" i="19"/>
  <c r="G45" i="19"/>
  <c r="G39" i="19"/>
  <c r="J14" i="18"/>
  <c r="F24" i="21"/>
  <c r="G18" i="21" s="1"/>
  <c r="E11" i="21"/>
  <c r="E22" i="21"/>
  <c r="E18" i="21"/>
  <c r="E14" i="21"/>
  <c r="E21" i="21"/>
  <c r="E16" i="21"/>
  <c r="E13" i="21"/>
  <c r="E9" i="21"/>
  <c r="E23" i="21"/>
  <c r="E20" i="21"/>
  <c r="E10" i="21"/>
  <c r="E17" i="21"/>
  <c r="E12" i="21"/>
  <c r="E15" i="21"/>
  <c r="E19" i="21"/>
  <c r="I51" i="18"/>
  <c r="K48" i="18"/>
  <c r="K47" i="18"/>
  <c r="E31" i="18"/>
  <c r="D7" i="19" s="1"/>
  <c r="D8" i="19" s="1"/>
  <c r="K43" i="18"/>
  <c r="K46" i="18"/>
  <c r="K45" i="18"/>
  <c r="K41" i="18"/>
  <c r="K49" i="18"/>
  <c r="K44" i="18"/>
  <c r="K36" i="18"/>
  <c r="K40" i="18"/>
  <c r="K39" i="18"/>
  <c r="K50" i="18"/>
  <c r="K38" i="18"/>
  <c r="K42" i="18"/>
  <c r="K37" i="18"/>
  <c r="E27" i="22"/>
  <c r="C51" i="23"/>
  <c r="E43" i="19"/>
  <c r="E42" i="19"/>
  <c r="E38" i="19"/>
  <c r="E45" i="19"/>
  <c r="E41" i="19"/>
  <c r="E46" i="19"/>
  <c r="E44" i="19"/>
  <c r="E47" i="19"/>
  <c r="C27" i="22"/>
  <c r="E30" i="19"/>
  <c r="E40" i="19"/>
  <c r="E32" i="19"/>
  <c r="E34" i="19"/>
  <c r="E39" i="19"/>
  <c r="E35" i="19"/>
  <c r="E37" i="19"/>
  <c r="E31" i="19"/>
  <c r="E33" i="19"/>
  <c r="E36" i="19"/>
  <c r="E51" i="23" l="1"/>
  <c r="E48" i="19"/>
  <c r="K12" i="18"/>
  <c r="C53" i="23"/>
  <c r="G48" i="19"/>
  <c r="E10" i="18"/>
  <c r="K51" i="18"/>
  <c r="E24" i="21"/>
  <c r="G16" i="21"/>
  <c r="G13" i="21"/>
  <c r="G11" i="21"/>
  <c r="G12" i="21"/>
  <c r="G20" i="21"/>
  <c r="G14" i="21"/>
  <c r="G9" i="21"/>
  <c r="G19" i="21"/>
  <c r="G23" i="21"/>
  <c r="G22" i="21"/>
  <c r="G21" i="21"/>
  <c r="G15" i="21"/>
  <c r="G17" i="21"/>
  <c r="G10" i="21"/>
  <c r="K13" i="18"/>
  <c r="K9" i="18"/>
  <c r="K11" i="18"/>
  <c r="K10" i="18"/>
  <c r="D13" i="19"/>
  <c r="I15" i="19"/>
  <c r="E53" i="23" l="1"/>
  <c r="E54" i="23" s="1"/>
  <c r="I39" i="19"/>
  <c r="I31" i="19"/>
  <c r="I38" i="19"/>
  <c r="I30" i="19"/>
  <c r="I36" i="19"/>
  <c r="I37" i="19"/>
  <c r="I35" i="19"/>
  <c r="I34" i="19"/>
  <c r="I32" i="19"/>
  <c r="I33" i="19"/>
  <c r="C54" i="23"/>
  <c r="K14" i="18"/>
  <c r="G24" i="21"/>
  <c r="I40" i="19"/>
  <c r="K40" i="19" s="1"/>
  <c r="I45" i="19"/>
  <c r="K45" i="19" s="1"/>
  <c r="I43" i="19"/>
  <c r="K43" i="19" s="1"/>
  <c r="I44" i="19"/>
  <c r="K44" i="19" s="1"/>
  <c r="I47" i="19"/>
  <c r="K47" i="19" s="1"/>
  <c r="I41" i="19"/>
  <c r="K41" i="19" s="1"/>
  <c r="I42" i="19"/>
  <c r="K42" i="19" s="1"/>
  <c r="I46" i="19"/>
  <c r="K46" i="19" s="1"/>
  <c r="J12" i="19"/>
  <c r="J14" i="19"/>
  <c r="J11" i="19"/>
  <c r="J10" i="19"/>
  <c r="J9" i="19"/>
  <c r="J13" i="19"/>
  <c r="D52" i="23" l="1"/>
  <c r="D49" i="23"/>
  <c r="D50" i="23"/>
  <c r="D48" i="23"/>
  <c r="D51" i="23"/>
  <c r="D53" i="23"/>
  <c r="F12" i="22"/>
  <c r="I12" i="22" s="1"/>
  <c r="K34" i="19"/>
  <c r="F13" i="22"/>
  <c r="I13" i="22" s="1"/>
  <c r="K35" i="19"/>
  <c r="F17" i="22"/>
  <c r="I17" i="22" s="1"/>
  <c r="K38" i="19"/>
  <c r="F16" i="22"/>
  <c r="I16" i="22" s="1"/>
  <c r="K37" i="19"/>
  <c r="F15" i="22"/>
  <c r="I15" i="22" s="1"/>
  <c r="K33" i="19"/>
  <c r="F10" i="22"/>
  <c r="I10" i="22" s="1"/>
  <c r="K31" i="19"/>
  <c r="F14" i="22"/>
  <c r="I14" i="22" s="1"/>
  <c r="K36" i="19"/>
  <c r="F9" i="22"/>
  <c r="I9" i="22" s="1"/>
  <c r="K30" i="19"/>
  <c r="F11" i="22"/>
  <c r="I11" i="22" s="1"/>
  <c r="K32" i="19"/>
  <c r="F18" i="22"/>
  <c r="I18" i="22" s="1"/>
  <c r="K39" i="19"/>
  <c r="F22" i="22"/>
  <c r="J15" i="19"/>
  <c r="D54" i="23" l="1"/>
  <c r="K9" i="19"/>
  <c r="F48" i="23" s="1"/>
  <c r="K11" i="19"/>
  <c r="F50" i="23" s="1"/>
  <c r="K48" i="19"/>
  <c r="K10" i="19"/>
  <c r="F49" i="23" s="1"/>
  <c r="I22" i="22"/>
  <c r="H48" i="23" l="1"/>
  <c r="H49" i="23"/>
  <c r="H50" i="23"/>
  <c r="F25" i="22"/>
  <c r="I48" i="19" l="1"/>
  <c r="J35" i="19" s="1"/>
  <c r="F21" i="22"/>
  <c r="F24" i="22"/>
  <c r="F23" i="22"/>
  <c r="F26" i="22"/>
  <c r="F20" i="22"/>
  <c r="F19" i="22"/>
  <c r="K12" i="19"/>
  <c r="F51" i="23" s="1"/>
  <c r="I25" i="22"/>
  <c r="H51" i="23" l="1"/>
  <c r="J45" i="19"/>
  <c r="J43" i="19"/>
  <c r="J42" i="19"/>
  <c r="K14" i="19"/>
  <c r="F53" i="23" s="1"/>
  <c r="I20" i="22"/>
  <c r="I23" i="22"/>
  <c r="J40" i="19"/>
  <c r="I24" i="22"/>
  <c r="I19" i="22"/>
  <c r="F27" i="22"/>
  <c r="I26" i="22"/>
  <c r="J31" i="19"/>
  <c r="J30" i="19"/>
  <c r="J32" i="19"/>
  <c r="J38" i="19"/>
  <c r="J33" i="19"/>
  <c r="J39" i="19"/>
  <c r="J36" i="19"/>
  <c r="J34" i="19"/>
  <c r="J37" i="19"/>
  <c r="J46" i="19"/>
  <c r="K13" i="19"/>
  <c r="F52" i="23" s="1"/>
  <c r="J47" i="19"/>
  <c r="J41" i="19"/>
  <c r="J44" i="19"/>
  <c r="I21" i="22"/>
  <c r="H52" i="23" l="1"/>
  <c r="H53" i="23"/>
  <c r="F54" i="23"/>
  <c r="H20" i="22"/>
  <c r="H22" i="22"/>
  <c r="G22" i="22"/>
  <c r="L42" i="19"/>
  <c r="L43" i="19"/>
  <c r="H24" i="22"/>
  <c r="J48" i="19"/>
  <c r="H19" i="22"/>
  <c r="G23" i="22"/>
  <c r="G19" i="22"/>
  <c r="L47" i="19"/>
  <c r="L41" i="19"/>
  <c r="G26" i="22"/>
  <c r="G20" i="22"/>
  <c r="H21" i="22"/>
  <c r="G24" i="22"/>
  <c r="G21" i="22"/>
  <c r="L44" i="19"/>
  <c r="H11" i="22"/>
  <c r="H17" i="22"/>
  <c r="G13" i="22"/>
  <c r="H14" i="22"/>
  <c r="G18" i="22"/>
  <c r="G15" i="22"/>
  <c r="G10" i="22"/>
  <c r="H16" i="22"/>
  <c r="H13" i="22"/>
  <c r="H10" i="22"/>
  <c r="H9" i="22"/>
  <c r="G9" i="22"/>
  <c r="G16" i="22"/>
  <c r="H12" i="22"/>
  <c r="H18" i="22"/>
  <c r="G17" i="22"/>
  <c r="G14" i="22"/>
  <c r="G11" i="22"/>
  <c r="G12" i="22"/>
  <c r="H15" i="22"/>
  <c r="H25" i="22"/>
  <c r="G25" i="22"/>
  <c r="H23" i="22"/>
  <c r="K15" i="19"/>
  <c r="I27" i="22"/>
  <c r="L34" i="19"/>
  <c r="L30" i="19"/>
  <c r="L32" i="19"/>
  <c r="L36" i="19"/>
  <c r="D25" i="19"/>
  <c r="L39" i="19"/>
  <c r="L38" i="19"/>
  <c r="L37" i="19"/>
  <c r="L31" i="19"/>
  <c r="L35" i="19"/>
  <c r="L33" i="19"/>
  <c r="L46" i="19"/>
  <c r="L40" i="19"/>
  <c r="H26" i="22"/>
  <c r="L45" i="19"/>
  <c r="H54" i="23" l="1"/>
  <c r="G50" i="23"/>
  <c r="G48" i="23"/>
  <c r="G49" i="23"/>
  <c r="G51" i="23"/>
  <c r="G53" i="23"/>
  <c r="G52" i="23"/>
  <c r="L12" i="19"/>
  <c r="L11" i="19"/>
  <c r="J26" i="22"/>
  <c r="J22" i="22"/>
  <c r="G27" i="22"/>
  <c r="J20" i="22"/>
  <c r="J21" i="22"/>
  <c r="J24" i="22"/>
  <c r="J19" i="22"/>
  <c r="H27" i="22"/>
  <c r="L10" i="19"/>
  <c r="L9" i="19"/>
  <c r="L14" i="19"/>
  <c r="J23" i="22"/>
  <c r="L48" i="19"/>
  <c r="J17" i="22"/>
  <c r="J11" i="22"/>
  <c r="J12" i="22"/>
  <c r="J15" i="22"/>
  <c r="J18" i="22"/>
  <c r="J9" i="22"/>
  <c r="J16" i="22"/>
  <c r="J10" i="22"/>
  <c r="J13" i="22"/>
  <c r="J14" i="22"/>
  <c r="J25" i="22"/>
  <c r="L13" i="19"/>
  <c r="D11" i="19" l="1"/>
  <c r="G54" i="23"/>
  <c r="J27" i="22"/>
  <c r="L15" i="19"/>
</calcChain>
</file>

<file path=xl/sharedStrings.xml><?xml version="1.0" encoding="utf-8"?>
<sst xmlns="http://schemas.openxmlformats.org/spreadsheetml/2006/main" count="262" uniqueCount="162">
  <si>
    <t>Cells in BLACK are formulas, and should not be altered</t>
  </si>
  <si>
    <t>Total</t>
  </si>
  <si>
    <t>Post Money Valuation</t>
  </si>
  <si>
    <t>Shareholder</t>
  </si>
  <si>
    <t>Common</t>
  </si>
  <si>
    <t>Series A</t>
  </si>
  <si>
    <t>Stock</t>
  </si>
  <si>
    <t>Shares</t>
  </si>
  <si>
    <t>Capitalization Table Template</t>
  </si>
  <si>
    <t>Employee #1</t>
  </si>
  <si>
    <t>Employee #2</t>
  </si>
  <si>
    <t>Employee #3</t>
  </si>
  <si>
    <t>Options</t>
  </si>
  <si>
    <t>% Fully</t>
  </si>
  <si>
    <t>Diluted</t>
  </si>
  <si>
    <t>Employees</t>
  </si>
  <si>
    <t>Option Pool</t>
  </si>
  <si>
    <t>FD %</t>
  </si>
  <si>
    <t>TOTAL</t>
  </si>
  <si>
    <t>Share Price</t>
  </si>
  <si>
    <t>Investment $</t>
  </si>
  <si>
    <t>Series A INPUTS</t>
  </si>
  <si>
    <t xml:space="preserve">Series B  </t>
  </si>
  <si>
    <t>Series B INPUTS</t>
  </si>
  <si>
    <t>Total Series A Value</t>
  </si>
  <si>
    <t>Common 
Shares</t>
  </si>
  <si>
    <t>Common
Options</t>
  </si>
  <si>
    <t>Series A
Shares</t>
  </si>
  <si>
    <t>Series A
%</t>
  </si>
  <si>
    <t>Fully Diluted
Shares</t>
  </si>
  <si>
    <t>Series B
Shares</t>
  </si>
  <si>
    <t>Series B
%</t>
  </si>
  <si>
    <t>% Fully
Diluted</t>
  </si>
  <si>
    <t>Cells in BLUE are inputs - only enter number into these cells</t>
  </si>
  <si>
    <t>Total Series A Cash</t>
  </si>
  <si>
    <t>New $</t>
  </si>
  <si>
    <t>Investor</t>
  </si>
  <si>
    <t xml:space="preserve">Total </t>
  </si>
  <si>
    <t>Shares Prior to A Round</t>
  </si>
  <si>
    <t>Pre-Money Valuation</t>
  </si>
  <si>
    <t>Actual $</t>
  </si>
  <si>
    <t>Invested</t>
  </si>
  <si>
    <t>Angel Investors</t>
  </si>
  <si>
    <t>% of</t>
  </si>
  <si>
    <t>% Common</t>
  </si>
  <si>
    <t>Fully Diluted</t>
  </si>
  <si>
    <t>Shares Prior to B Round</t>
  </si>
  <si>
    <t>Total Series B Value &amp; Cash</t>
  </si>
  <si>
    <t>Post-Series A</t>
  </si>
  <si>
    <t>Srs A Investors</t>
  </si>
  <si>
    <t>Summary</t>
  </si>
  <si>
    <t>Cap Table</t>
  </si>
  <si>
    <t>Srs B Investors</t>
  </si>
  <si>
    <t>Post-Series B</t>
  </si>
  <si>
    <t>Srs A Option Pool Expansion</t>
  </si>
  <si>
    <t>Srs B Option Pool Expansion</t>
  </si>
  <si>
    <t>Total
Preferred %</t>
  </si>
  <si>
    <t>Fully
Diluted %</t>
  </si>
  <si>
    <t>Conv. Note</t>
  </si>
  <si>
    <t>Series A Post-Money Valuation</t>
  </si>
  <si>
    <t>Valuation Step-Up</t>
  </si>
  <si>
    <t>Series B Pre-Money Valuation</t>
  </si>
  <si>
    <t>Cap Table Summary</t>
  </si>
  <si>
    <t>% FD</t>
  </si>
  <si>
    <t>Date of Funding</t>
  </si>
  <si>
    <t>Option Pool Expansion</t>
  </si>
  <si>
    <t xml:space="preserve"> </t>
  </si>
  <si>
    <t>Pre-Investment &amp;</t>
  </si>
  <si>
    <t>Post-Series A, Pre-Series</t>
  </si>
  <si>
    <t>B Option Pool Expansion</t>
  </si>
  <si>
    <t xml:space="preserve">Pre-Investment &amp; </t>
  </si>
  <si>
    <t>Option Pool Expansion (added prior to Series A share price calculation)</t>
  </si>
  <si>
    <t>Option Pool Expansion (prior to Series B share price calculation)</t>
  </si>
  <si>
    <t>Principal</t>
  </si>
  <si>
    <t>Interest Rate</t>
  </si>
  <si>
    <t>Discount</t>
  </si>
  <si>
    <t>Interest 
Accured</t>
  </si>
  <si>
    <t>Date of 
Series A</t>
  </si>
  <si>
    <t>Principal Plus Interest</t>
  </si>
  <si>
    <t>Date of Issuance</t>
  </si>
  <si>
    <t>Cap</t>
  </si>
  <si>
    <t>Note Inputs</t>
  </si>
  <si>
    <t>Days 
Note Held</t>
  </si>
  <si>
    <t>Note Calculations</t>
  </si>
  <si>
    <t>Advisor #1</t>
  </si>
  <si>
    <t>Advisor #2</t>
  </si>
  <si>
    <t>Consultant #1</t>
  </si>
  <si>
    <t>Series A Lead Investor</t>
  </si>
  <si>
    <t>Series A Other Investors</t>
  </si>
  <si>
    <t>Series B Lead Investor</t>
  </si>
  <si>
    <t>Series B Other Investors</t>
  </si>
  <si>
    <t>Pre-Investment Option Pool</t>
  </si>
  <si>
    <t>Angel #1</t>
  </si>
  <si>
    <t>Angel #2</t>
  </si>
  <si>
    <t>Angel #3</t>
  </si>
  <si>
    <t>Angel #4</t>
  </si>
  <si>
    <t>Angel #5</t>
  </si>
  <si>
    <t>Angel #6</t>
  </si>
  <si>
    <t>Angel #7</t>
  </si>
  <si>
    <t>Angel #8</t>
  </si>
  <si>
    <t>Angel #9</t>
  </si>
  <si>
    <t>Angel #10</t>
  </si>
  <si>
    <t>Principal &amp;</t>
  </si>
  <si>
    <t>Interest</t>
  </si>
  <si>
    <t>Conversion</t>
  </si>
  <si>
    <t>Price</t>
  </si>
  <si>
    <t>at Discount</t>
  </si>
  <si>
    <t>at Cap</t>
  </si>
  <si>
    <t>Effective</t>
  </si>
  <si>
    <t xml:space="preserve">Discount </t>
  </si>
  <si>
    <t>Note Conversion</t>
  </si>
  <si>
    <t>Value</t>
  </si>
  <si>
    <t>Series A Issue</t>
  </si>
  <si>
    <t>Conv. Price</t>
  </si>
  <si>
    <t>Angels #4-10</t>
  </si>
  <si>
    <t>Security Definitions</t>
  </si>
  <si>
    <r>
      <rPr>
        <u/>
        <sz val="11"/>
        <rFont val="Times New Roman"/>
        <family val="1"/>
      </rPr>
      <t>Common Options:</t>
    </r>
    <r>
      <rPr>
        <sz val="11"/>
        <rFont val="Times New Roman"/>
        <family val="1"/>
      </rPr>
      <t xml:space="preserve"> Frequently issued to employees, board members, and advisors. Common options provide the holder with the right to purchase a share of the company's common stock for a fixed price in the future (strike price).</t>
    </r>
  </si>
  <si>
    <r>
      <rPr>
        <u/>
        <sz val="11"/>
        <rFont val="Times New Roman"/>
        <family val="1"/>
      </rPr>
      <t>Preferred Stock:</t>
    </r>
    <r>
      <rPr>
        <sz val="11"/>
        <rFont val="Times New Roman"/>
        <family val="1"/>
      </rPr>
      <t xml:space="preserve"> Preferred stock is commonly issued to investors, for example in Series A and B rounds.</t>
    </r>
  </si>
  <si>
    <r>
      <rPr>
        <u/>
        <sz val="11"/>
        <rFont val="Times New Roman"/>
        <family val="1"/>
      </rPr>
      <t>Common Stock:</t>
    </r>
    <r>
      <rPr>
        <sz val="11"/>
        <rFont val="Times New Roman"/>
        <family val="1"/>
      </rPr>
      <t xml:space="preserve"> Frequently held by employees who have exercised their vested options or by founders.</t>
    </r>
  </si>
  <si>
    <t>Series A Value</t>
  </si>
  <si>
    <t>to Cash Invested</t>
  </si>
  <si>
    <t>Other Employees</t>
  </si>
  <si>
    <t>Advisors</t>
  </si>
  <si>
    <t>Issue</t>
  </si>
  <si>
    <t>Securities</t>
  </si>
  <si>
    <t>Total Common</t>
  </si>
  <si>
    <t>Series B</t>
  </si>
  <si>
    <t xml:space="preserve">Series A </t>
  </si>
  <si>
    <t xml:space="preserve">Cap Table </t>
  </si>
  <si>
    <t>After</t>
  </si>
  <si>
    <t>If your company is not receiving angel investment, enter zero for each angel investment in cells B9 through B18</t>
  </si>
  <si>
    <t>Capitalization Table Prior to Investment</t>
  </si>
  <si>
    <t>Total Securities</t>
  </si>
  <si>
    <t>Option Pool % of Fully Diluted after Financing</t>
  </si>
  <si>
    <t>Series A Cap Table</t>
  </si>
  <si>
    <t>Series B Cap Table</t>
  </si>
  <si>
    <t>If your notes do not have discount or cap, enter zero for each in cells E9 through F12 (some notes do not have a discount or a cap)</t>
  </si>
  <si>
    <t>If you are using a SAFE, enter zero for interest rate in cell D9 through D12</t>
  </si>
  <si>
    <t>Investors of notes 5 through 10 are assumed to have the same interest rate, discount rate and cap as the investor of note 4; do not edit cells D13 through F18</t>
  </si>
  <si>
    <t>Goals with this template are:</t>
  </si>
  <si>
    <t>1.  Help entrepreneurs understand how a cap table is structured</t>
  </si>
  <si>
    <t>2.  Illustrate how ownership changes with valuation in Series A and Series B financing rounds</t>
  </si>
  <si>
    <t>3.  Increase efficiency during the diligence process</t>
  </si>
  <si>
    <t>Notes to help fill out the Cap Table Template:</t>
  </si>
  <si>
    <t>Notice that the template has different colored tabs at the bottom, which will show cap tables before financing and through the Series A and Series B rounds. The last two tabs are simply summaries for easy printing.</t>
  </si>
  <si>
    <t>The only cells that need to be filled in are in blue font. All other cells will auto-populate.</t>
  </si>
  <si>
    <t>Enter your current cap table and ownership of common securities for employees here. If you have more employees than spaces in the table, you can add them up and include them in “other employees” line.</t>
  </si>
  <si>
    <t>Every employee does not need to be listed in order to understand how the ownership changes with investment.</t>
  </si>
  <si>
    <t>All of the initial share counts are place holders, and not intended to advise entrepreneurs on how to divide up stock among employees.</t>
  </si>
  <si>
    <t>‘Convertible Notes’ tab:</t>
  </si>
  <si>
    <t>This tab is for companies who have taken a convertible note or SAFE investment from angel investors.</t>
  </si>
  <si>
    <t>Typically, convertible notes have an annual interest rate, a discount, and/or a cap for conversion into the next financing round. The template is set up to let you enter all variables (convertible notes often have both). If the convertible notes to your company do not have one of these variables, just enter ‘zero’ for those inputs.</t>
  </si>
  <si>
    <t>As noted in the red font, if your company has not taken any investment in the form of convertible notes, just enter zero for the “Principal Amount” in column B.</t>
  </si>
  <si>
    <t>‘Series A’ tab:</t>
  </si>
  <si>
    <t>Pre-Money valuation in this example is $6 million. This means that the investors have placed a value of the current business (prior to funding) of $6 million. This number can vary widely for start-ups depending on many factors, so again, please note that this is just a placeholder for the template.</t>
  </si>
  <si>
    <t>When investors fund a Series A round, the option pool is often increased so that the company will have equity to give to new hires. Somewhere in the 10-20% range is typical for most early stage start-ups, but this depends on planned hires, current option pool size, and other factors. You will see that the options are added to the cap table prior to Series A round and therefore, included in the total share count to calculate the share price.</t>
  </si>
  <si>
    <t>‘Series B’ tab:</t>
  </si>
  <si>
    <t>For companies planning to become cash flow positive on the Series A funding, this tab might not be needed. However, many companies that raise a Series A often raise a Series B round to execute on early success before becoming cash flow positive.</t>
  </si>
  <si>
    <t>Much like the ‘Series A’ tab, the ‘Series B’ tab only requires a few inputs as well – Pre-money valuation, Series B investment sizes, and option pool increase.</t>
  </si>
  <si>
    <t>In this example, we entered $18.5 million as the Pre-Money valuation. As with the earlier Pre-Money valuations, this number can vary widely depending on a multitude of factors.</t>
  </si>
  <si>
    <t>Often, when a company raises a Series B, it will be led by a new investor, who sets the price for the round. When this happens, the Series A investors often invest additional money into the round. The template is set up for this, but you could just zero out one of the investor lines if your company raises money from your current investors or the B investor financed the complete round.</t>
  </si>
  <si>
    <t>Pre-Investment Cap Table’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</si>
</sst>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_(&quot;$&quot;* #,##0.0000_);_(&quot;$&quot;* \(#,##0.0000\);_(&quot;$&quot;* &quot;-&quot;??_);_(@_)"/>
    <numFmt numFmtId="168" formatCode="_(&quot;$&quot;* #,##0.000_);_(&quot;$&quot;* \(#,##0.000\);_(&quot;$&quot;* &quot;-&quot;???_);_(@_)"/>
    <numFmt numFmtId="169" formatCode="&quot;$&quot;#,##0"/>
    <numFmt numFmtId="170" formatCode="&quot;$&quot;#,##0.0"/>
    <numFmt numFmtId="171" formatCode="&quot;$&quot;#,##0.00"/>
    <numFmt numFmtId="172" formatCode="_(&quot;$&quot;* #,##0.00_);_(&quot;$&quot;* \(#,##0.00\);_(&quot;$&quot;* &quot;-&quot;_);_(@_)"/>
    <numFmt numFmtId="173" formatCode="0.00\x"/>
  </numFmts>
  <fonts count="26" x14ac:knownFonts="1">
    <font>
      <sz val="10"/>
      <name val="Verdana"/>
      <family val="2"/>
    </font>
    <font>
      <sz val="10"/>
      <name val="Verdana"/>
      <family val="2"/>
    </font>
    <font>
      <sz val="10"/>
      <color theme="1"/>
      <name val="Arial"/>
      <family val="2"/>
    </font>
    <font>
      <sz val="24"/>
      <name val="Verdana"/>
      <family val="2"/>
    </font>
    <font>
      <sz val="10"/>
      <color rgb="FF0000FF"/>
      <name val="Verdana"/>
      <family val="2"/>
    </font>
    <font>
      <b/>
      <sz val="16"/>
      <name val="Times New Roman"/>
      <family val="1"/>
    </font>
    <font>
      <sz val="10"/>
      <name val="Times New Roman"/>
      <family val="1"/>
    </font>
    <font>
      <b/>
      <sz val="10"/>
      <color rgb="FFFF0000"/>
      <name val="Times New Roman"/>
      <family val="1"/>
    </font>
    <font>
      <b/>
      <sz val="11"/>
      <color theme="0"/>
      <name val="Times New Roman"/>
      <family val="1"/>
    </font>
    <font>
      <sz val="11"/>
      <name val="Times New Roman"/>
      <family val="1"/>
    </font>
    <font>
      <b/>
      <sz val="11"/>
      <name val="Times New Roman"/>
      <family val="1"/>
    </font>
    <font>
      <sz val="11"/>
      <color rgb="FF0000FF"/>
      <name val="Times New Roman"/>
      <family val="1"/>
    </font>
    <font>
      <sz val="11"/>
      <color rgb="FF000000"/>
      <name val="Times New Roman"/>
      <family val="1"/>
    </font>
    <font>
      <b/>
      <sz val="11"/>
      <color rgb="FF000000"/>
      <name val="Times New Roman"/>
      <family val="1"/>
    </font>
    <font>
      <b/>
      <sz val="10"/>
      <name val="Times New Roman"/>
      <family val="1"/>
    </font>
    <font>
      <b/>
      <sz val="10"/>
      <color theme="0"/>
      <name val="Times New Roman"/>
      <family val="1"/>
    </font>
    <font>
      <i/>
      <sz val="11"/>
      <color rgb="FFFF0000"/>
      <name val="Times New Roman"/>
      <family val="1"/>
    </font>
    <font>
      <sz val="12"/>
      <name val="Times New Roman"/>
      <family val="1"/>
    </font>
    <font>
      <b/>
      <sz val="12"/>
      <name val="Times New Roman"/>
      <family val="1"/>
    </font>
    <font>
      <i/>
      <sz val="11"/>
      <name val="Times New Roman"/>
      <family val="1"/>
    </font>
    <font>
      <i/>
      <sz val="10"/>
      <name val="Times New Roman"/>
      <family val="1"/>
    </font>
    <font>
      <sz val="10"/>
      <color theme="0"/>
      <name val="Times New Roman"/>
      <family val="1"/>
    </font>
    <font>
      <sz val="11"/>
      <color theme="0"/>
      <name val="Times New Roman"/>
      <family val="1"/>
    </font>
    <font>
      <b/>
      <sz val="11"/>
      <color rgb="FF0000FF"/>
      <name val="Times New Roman"/>
      <family val="1"/>
    </font>
    <font>
      <u/>
      <sz val="11"/>
      <name val="Times New Roman"/>
      <family val="1"/>
    </font>
    <font>
      <b/>
      <sz val="10"/>
      <name val="Verdana"/>
      <family val="2"/>
    </font>
  </fonts>
  <fills count="10">
    <fill>
      <patternFill patternType="none"/>
    </fill>
    <fill>
      <patternFill patternType="gray125"/>
    </fill>
    <fill>
      <patternFill patternType="solid">
        <fgColor theme="4" tint="-0.499984740745262"/>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theme="5" tint="-0.499984740745262"/>
        <bgColor indexed="64"/>
      </patternFill>
    </fill>
    <fill>
      <patternFill patternType="solid">
        <fgColor rgb="FF244062"/>
        <bgColor indexed="64"/>
      </patternFill>
    </fill>
    <fill>
      <patternFill patternType="solid">
        <fgColor theme="1" tint="4.9989318521683403E-2"/>
        <bgColor indexed="64"/>
      </patternFill>
    </fill>
    <fill>
      <patternFill patternType="solid">
        <fgColor theme="0"/>
        <bgColor indexed="64"/>
      </patternFill>
    </fill>
  </fills>
  <borders count="47">
    <border>
      <left/>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bottom/>
      <diagonal/>
    </border>
    <border>
      <left style="thin">
        <color indexed="64"/>
      </left>
      <right style="medium">
        <color auto="1"/>
      </right>
      <top/>
      <bottom/>
      <diagonal/>
    </border>
    <border>
      <left/>
      <right style="medium">
        <color auto="1"/>
      </right>
      <top style="thin">
        <color indexed="64"/>
      </top>
      <bottom/>
      <diagonal/>
    </border>
    <border>
      <left style="medium">
        <color auto="1"/>
      </left>
      <right style="medium">
        <color auto="1"/>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auto="1"/>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44" fontId="1" fillId="0" borderId="0" applyFont="0" applyFill="0" applyBorder="0" applyAlignment="0" applyProtection="0"/>
  </cellStyleXfs>
  <cellXfs count="366">
    <xf numFmtId="0" fontId="0" fillId="0" borderId="0" xfId="0"/>
    <xf numFmtId="0" fontId="5" fillId="0" borderId="0" xfId="0" applyFont="1" applyFill="1"/>
    <xf numFmtId="0" fontId="6" fillId="0" borderId="0" xfId="0" applyFont="1" applyFill="1"/>
    <xf numFmtId="0" fontId="6" fillId="0" borderId="0" xfId="0" applyFont="1" applyFill="1" applyBorder="1"/>
    <xf numFmtId="0" fontId="6" fillId="0" borderId="0" xfId="0" applyFont="1"/>
    <xf numFmtId="0" fontId="7" fillId="0" borderId="0" xfId="0" applyFont="1" applyFill="1"/>
    <xf numFmtId="0" fontId="8" fillId="0" borderId="0" xfId="0" applyFont="1" applyFill="1" applyBorder="1"/>
    <xf numFmtId="0" fontId="9" fillId="0" borderId="0" xfId="0" applyFont="1" applyFill="1" applyBorder="1"/>
    <xf numFmtId="166" fontId="9" fillId="0" borderId="0" xfId="8" applyNumberFormat="1" applyFont="1" applyFill="1" applyBorder="1"/>
    <xf numFmtId="167" fontId="9" fillId="0" borderId="0" xfId="8" applyNumberFormat="1" applyFont="1" applyFill="1" applyBorder="1"/>
    <xf numFmtId="0" fontId="9" fillId="0" borderId="0" xfId="0" applyFont="1"/>
    <xf numFmtId="164" fontId="9" fillId="0" borderId="0" xfId="1" applyNumberFormat="1" applyFont="1" applyFill="1" applyBorder="1"/>
    <xf numFmtId="0" fontId="8" fillId="2" borderId="0" xfId="0" applyFont="1" applyFill="1" applyBorder="1" applyAlignment="1">
      <alignment horizontal="center"/>
    </xf>
    <xf numFmtId="0" fontId="8" fillId="0" borderId="0" xfId="0" applyFont="1" applyFill="1" applyBorder="1" applyAlignment="1">
      <alignment horizontal="center"/>
    </xf>
    <xf numFmtId="0" fontId="8" fillId="2" borderId="5" xfId="0" applyFont="1" applyFill="1" applyBorder="1" applyAlignment="1">
      <alignment horizontal="center"/>
    </xf>
    <xf numFmtId="164" fontId="11" fillId="0" borderId="7" xfId="1" applyNumberFormat="1" applyFont="1" applyFill="1" applyBorder="1" applyAlignment="1">
      <alignment horizontal="left" wrapText="1" readingOrder="1"/>
    </xf>
    <xf numFmtId="164" fontId="12" fillId="0" borderId="8" xfId="1" applyNumberFormat="1" applyFont="1" applyFill="1" applyBorder="1" applyAlignment="1">
      <alignment horizontal="left" wrapText="1" readingOrder="1"/>
    </xf>
    <xf numFmtId="164" fontId="12" fillId="0" borderId="0" xfId="1" applyNumberFormat="1" applyFont="1" applyFill="1" applyBorder="1" applyAlignment="1">
      <alignment horizontal="left" wrapText="1" readingOrder="1"/>
    </xf>
    <xf numFmtId="164" fontId="13" fillId="0" borderId="0" xfId="1" applyNumberFormat="1" applyFont="1" applyFill="1" applyBorder="1" applyAlignment="1">
      <alignment horizontal="left" wrapText="1" readingOrder="1"/>
    </xf>
    <xf numFmtId="0" fontId="6" fillId="0" borderId="0" xfId="0" applyFont="1" applyBorder="1"/>
    <xf numFmtId="0" fontId="9" fillId="0" borderId="0" xfId="0" applyFont="1" applyFill="1"/>
    <xf numFmtId="0" fontId="9" fillId="0" borderId="11" xfId="0" applyFont="1" applyFill="1" applyBorder="1"/>
    <xf numFmtId="164" fontId="9" fillId="0" borderId="7" xfId="0" applyNumberFormat="1" applyFont="1" applyFill="1" applyBorder="1"/>
    <xf numFmtId="44" fontId="9" fillId="0" borderId="7" xfId="0" applyNumberFormat="1" applyFont="1" applyFill="1" applyBorder="1"/>
    <xf numFmtId="42" fontId="9" fillId="0" borderId="7" xfId="0" applyNumberFormat="1" applyFont="1" applyFill="1" applyBorder="1"/>
    <xf numFmtId="42" fontId="11" fillId="0" borderId="7" xfId="0" applyNumberFormat="1" applyFont="1" applyFill="1" applyBorder="1"/>
    <xf numFmtId="0" fontId="10" fillId="0" borderId="2" xfId="0" applyFont="1" applyFill="1" applyBorder="1" applyAlignment="1">
      <alignment horizontal="left" indent="1"/>
    </xf>
    <xf numFmtId="42" fontId="9" fillId="0" borderId="7" xfId="0" applyNumberFormat="1" applyFont="1" applyBorder="1"/>
    <xf numFmtId="0" fontId="10" fillId="0" borderId="9" xfId="0" applyFont="1" applyFill="1" applyBorder="1" applyAlignment="1">
      <alignment horizontal="left" indent="1"/>
    </xf>
    <xf numFmtId="0" fontId="16" fillId="0" borderId="0" xfId="0" applyFont="1"/>
    <xf numFmtId="0" fontId="8" fillId="3" borderId="0" xfId="0" applyFont="1" applyFill="1" applyBorder="1" applyAlignment="1">
      <alignment horizontal="center"/>
    </xf>
    <xf numFmtId="0" fontId="8" fillId="3" borderId="5" xfId="0" applyFont="1" applyFill="1" applyBorder="1" applyAlignment="1">
      <alignment horizontal="center"/>
    </xf>
    <xf numFmtId="0" fontId="8" fillId="3" borderId="6" xfId="0" applyFont="1" applyFill="1" applyBorder="1" applyAlignment="1">
      <alignment horizontal="center"/>
    </xf>
    <xf numFmtId="164" fontId="9" fillId="0" borderId="0" xfId="1" applyNumberFormat="1" applyFont="1" applyFill="1" applyBorder="1" applyAlignment="1">
      <alignment horizontal="left" wrapText="1" readingOrder="1"/>
    </xf>
    <xf numFmtId="41" fontId="9" fillId="0" borderId="7" xfId="0" applyNumberFormat="1" applyFont="1" applyFill="1" applyBorder="1" applyAlignment="1"/>
    <xf numFmtId="41" fontId="9" fillId="0" borderId="8" xfId="0" applyNumberFormat="1" applyFont="1" applyFill="1" applyBorder="1" applyAlignment="1"/>
    <xf numFmtId="164" fontId="12" fillId="0" borderId="7" xfId="1" applyNumberFormat="1" applyFont="1" applyFill="1" applyBorder="1" applyAlignment="1">
      <alignment horizontal="left" wrapText="1" readingOrder="1"/>
    </xf>
    <xf numFmtId="42" fontId="9" fillId="0" borderId="0" xfId="0" applyNumberFormat="1" applyFont="1"/>
    <xf numFmtId="41" fontId="6" fillId="0" borderId="0" xfId="0" applyNumberFormat="1" applyFont="1"/>
    <xf numFmtId="41" fontId="9" fillId="0" borderId="0" xfId="0" applyNumberFormat="1" applyFont="1"/>
    <xf numFmtId="170" fontId="6" fillId="0" borderId="0" xfId="0" applyNumberFormat="1" applyFont="1"/>
    <xf numFmtId="42" fontId="9" fillId="0" borderId="0" xfId="0" applyNumberFormat="1" applyFont="1" applyFill="1" applyBorder="1"/>
    <xf numFmtId="0" fontId="10" fillId="0" borderId="0" xfId="0" applyFont="1" applyFill="1" applyBorder="1" applyAlignment="1">
      <alignment horizontal="left" indent="1"/>
    </xf>
    <xf numFmtId="41" fontId="9" fillId="0" borderId="0" xfId="0" applyNumberFormat="1" applyFont="1" applyFill="1" applyBorder="1"/>
    <xf numFmtId="0" fontId="8" fillId="4" borderId="0" xfId="0" applyFont="1" applyFill="1" applyBorder="1" applyAlignment="1">
      <alignment horizontal="center"/>
    </xf>
    <xf numFmtId="0" fontId="8" fillId="4" borderId="7" xfId="0" applyFont="1" applyFill="1" applyBorder="1" applyAlignment="1">
      <alignment horizontal="center"/>
    </xf>
    <xf numFmtId="0" fontId="8" fillId="4" borderId="5" xfId="0" applyFont="1" applyFill="1" applyBorder="1" applyAlignment="1">
      <alignment horizontal="center"/>
    </xf>
    <xf numFmtId="164" fontId="9" fillId="0" borderId="7" xfId="1" applyNumberFormat="1" applyFont="1" applyFill="1" applyBorder="1" applyAlignment="1">
      <alignment horizontal="left" wrapText="1" readingOrder="1"/>
    </xf>
    <xf numFmtId="0" fontId="15" fillId="6" borderId="14" xfId="0" applyFont="1" applyFill="1" applyBorder="1"/>
    <xf numFmtId="0" fontId="15" fillId="6" borderId="15" xfId="0" applyFont="1" applyFill="1" applyBorder="1" applyAlignment="1">
      <alignment horizontal="center" wrapText="1"/>
    </xf>
    <xf numFmtId="0" fontId="15" fillId="6" borderId="16" xfId="0" applyFont="1" applyFill="1" applyBorder="1" applyAlignment="1">
      <alignment horizontal="center" wrapText="1"/>
    </xf>
    <xf numFmtId="41" fontId="6" fillId="0" borderId="17" xfId="0" applyNumberFormat="1" applyFont="1" applyBorder="1"/>
    <xf numFmtId="41" fontId="6" fillId="0" borderId="8" xfId="0" applyNumberFormat="1" applyFont="1" applyBorder="1"/>
    <xf numFmtId="165" fontId="6" fillId="0" borderId="17" xfId="0" applyNumberFormat="1" applyFont="1" applyBorder="1"/>
    <xf numFmtId="41" fontId="6" fillId="0" borderId="7" xfId="0" applyNumberFormat="1" applyFont="1" applyBorder="1"/>
    <xf numFmtId="0" fontId="15" fillId="6" borderId="13" xfId="0" applyFont="1" applyFill="1" applyBorder="1" applyAlignment="1">
      <alignment horizontal="center" wrapText="1"/>
    </xf>
    <xf numFmtId="165" fontId="6" fillId="0" borderId="18" xfId="0" applyNumberFormat="1" applyFont="1" applyBorder="1"/>
    <xf numFmtId="165" fontId="6" fillId="0" borderId="20" xfId="0" applyNumberFormat="1" applyFont="1" applyBorder="1"/>
    <xf numFmtId="0" fontId="17" fillId="0" borderId="0" xfId="0" applyFont="1" applyBorder="1"/>
    <xf numFmtId="0" fontId="17" fillId="0" borderId="0" xfId="0" applyFont="1"/>
    <xf numFmtId="42" fontId="6" fillId="0" borderId="0" xfId="0" applyNumberFormat="1" applyFont="1" applyFill="1" applyBorder="1"/>
    <xf numFmtId="0" fontId="10" fillId="0" borderId="21" xfId="0" applyFont="1" applyFill="1" applyBorder="1" applyAlignment="1">
      <alignment horizontal="left" indent="1"/>
    </xf>
    <xf numFmtId="0" fontId="8" fillId="3" borderId="9" xfId="0" applyFont="1" applyFill="1" applyBorder="1" applyAlignment="1">
      <alignment horizontal="centerContinuous"/>
    </xf>
    <xf numFmtId="0" fontId="8" fillId="3" borderId="21" xfId="0" applyFont="1" applyFill="1" applyBorder="1" applyAlignment="1">
      <alignment horizontal="centerContinuous"/>
    </xf>
    <xf numFmtId="0" fontId="8" fillId="3" borderId="10" xfId="0" applyFont="1" applyFill="1" applyBorder="1" applyAlignment="1">
      <alignment horizontal="centerContinuous"/>
    </xf>
    <xf numFmtId="42" fontId="11" fillId="0" borderId="0" xfId="0" applyNumberFormat="1" applyFont="1" applyFill="1" applyBorder="1"/>
    <xf numFmtId="42" fontId="9" fillId="0" borderId="0" xfId="0" applyNumberFormat="1" applyFont="1" applyBorder="1"/>
    <xf numFmtId="0" fontId="10" fillId="0" borderId="4" xfId="0" applyFont="1" applyFill="1" applyBorder="1"/>
    <xf numFmtId="0" fontId="10" fillId="0" borderId="5" xfId="0" applyFont="1" applyFill="1" applyBorder="1"/>
    <xf numFmtId="168" fontId="10" fillId="0" borderId="5" xfId="0" applyNumberFormat="1" applyFont="1" applyFill="1" applyBorder="1" applyAlignment="1">
      <alignment horizontal="center"/>
    </xf>
    <xf numFmtId="41" fontId="11" fillId="0" borderId="0" xfId="0" applyNumberFormat="1" applyFont="1" applyFill="1" applyBorder="1"/>
    <xf numFmtId="41" fontId="11" fillId="0" borderId="7" xfId="0" applyNumberFormat="1" applyFont="1" applyFill="1" applyBorder="1"/>
    <xf numFmtId="164" fontId="9" fillId="0" borderId="0" xfId="0" applyNumberFormat="1" applyFont="1" applyBorder="1"/>
    <xf numFmtId="165" fontId="9" fillId="0" borderId="7" xfId="0" applyNumberFormat="1" applyFont="1" applyBorder="1"/>
    <xf numFmtId="41" fontId="9" fillId="0" borderId="0" xfId="0" applyNumberFormat="1" applyFont="1" applyBorder="1"/>
    <xf numFmtId="164" fontId="10" fillId="0" borderId="21" xfId="0" applyNumberFormat="1" applyFont="1" applyBorder="1"/>
    <xf numFmtId="0" fontId="19" fillId="0" borderId="0" xfId="0" applyFont="1"/>
    <xf numFmtId="42" fontId="6" fillId="0" borderId="5" xfId="0" applyNumberFormat="1" applyFont="1" applyFill="1" applyBorder="1"/>
    <xf numFmtId="0" fontId="8" fillId="4" borderId="9" xfId="0" applyFont="1" applyFill="1" applyBorder="1" applyAlignment="1">
      <alignment horizontal="centerContinuous"/>
    </xf>
    <xf numFmtId="0" fontId="8" fillId="4" borderId="10" xfId="0" applyFont="1" applyFill="1" applyBorder="1" applyAlignment="1">
      <alignment horizontal="centerContinuous"/>
    </xf>
    <xf numFmtId="42" fontId="11" fillId="0" borderId="6" xfId="0" applyNumberFormat="1" applyFont="1" applyFill="1" applyBorder="1"/>
    <xf numFmtId="0" fontId="9" fillId="0" borderId="12" xfId="0" applyFont="1" applyBorder="1"/>
    <xf numFmtId="0" fontId="9" fillId="0" borderId="8" xfId="0" applyFont="1" applyBorder="1"/>
    <xf numFmtId="0" fontId="10" fillId="0" borderId="22" xfId="0" applyFont="1" applyBorder="1" applyAlignment="1">
      <alignment horizontal="left" indent="1"/>
    </xf>
    <xf numFmtId="0" fontId="8" fillId="5" borderId="2" xfId="0" applyFont="1" applyFill="1" applyBorder="1" applyAlignment="1">
      <alignment horizontal="centerContinuous"/>
    </xf>
    <xf numFmtId="0" fontId="8" fillId="5" borderId="4" xfId="0" applyFont="1" applyFill="1" applyBorder="1" applyAlignment="1">
      <alignment horizontal="center"/>
    </xf>
    <xf numFmtId="0" fontId="9" fillId="0" borderId="0" xfId="0" applyFont="1" applyBorder="1"/>
    <xf numFmtId="41" fontId="14" fillId="0" borderId="16" xfId="0" applyNumberFormat="1" applyFont="1" applyBorder="1"/>
    <xf numFmtId="41" fontId="14" fillId="0" borderId="25" xfId="0" applyNumberFormat="1" applyFont="1" applyBorder="1"/>
    <xf numFmtId="165" fontId="14" fillId="0" borderId="16" xfId="0" applyNumberFormat="1" applyFont="1" applyBorder="1"/>
    <xf numFmtId="41" fontId="14" fillId="0" borderId="24" xfId="0" applyNumberFormat="1" applyFont="1" applyBorder="1"/>
    <xf numFmtId="0" fontId="19" fillId="0" borderId="0" xfId="0" applyFont="1" applyFill="1" applyBorder="1"/>
    <xf numFmtId="167" fontId="19" fillId="0" borderId="0" xfId="8" applyNumberFormat="1" applyFont="1" applyFill="1" applyBorder="1"/>
    <xf numFmtId="165" fontId="14" fillId="0" borderId="26" xfId="0" applyNumberFormat="1" applyFont="1" applyBorder="1"/>
    <xf numFmtId="165" fontId="14" fillId="0" borderId="13" xfId="0" applyNumberFormat="1" applyFont="1" applyBorder="1"/>
    <xf numFmtId="42" fontId="10" fillId="0" borderId="10" xfId="0" applyNumberFormat="1" applyFont="1" applyBorder="1"/>
    <xf numFmtId="42" fontId="10" fillId="0" borderId="7" xfId="0" applyNumberFormat="1" applyFont="1" applyBorder="1"/>
    <xf numFmtId="164" fontId="10" fillId="0" borderId="5" xfId="0" applyNumberFormat="1" applyFont="1" applyBorder="1"/>
    <xf numFmtId="164" fontId="9" fillId="0" borderId="4" xfId="0" applyNumberFormat="1" applyFont="1" applyBorder="1"/>
    <xf numFmtId="0" fontId="8" fillId="2" borderId="17" xfId="0" applyFont="1" applyFill="1" applyBorder="1" applyAlignment="1">
      <alignment horizontal="center"/>
    </xf>
    <xf numFmtId="0" fontId="8" fillId="2" borderId="31" xfId="0" applyFont="1" applyFill="1" applyBorder="1" applyAlignment="1">
      <alignment horizontal="center"/>
    </xf>
    <xf numFmtId="165" fontId="12" fillId="0" borderId="17" xfId="1" applyNumberFormat="1" applyFont="1" applyFill="1" applyBorder="1" applyAlignment="1">
      <alignment horizontal="center" wrapText="1" readingOrder="1"/>
    </xf>
    <xf numFmtId="164" fontId="9" fillId="0" borderId="3" xfId="1" applyNumberFormat="1" applyFont="1" applyFill="1" applyBorder="1" applyAlignment="1">
      <alignment horizontal="left" wrapText="1" readingOrder="1"/>
    </xf>
    <xf numFmtId="0" fontId="8" fillId="3" borderId="23" xfId="0" applyFont="1" applyFill="1" applyBorder="1" applyAlignment="1">
      <alignment horizontal="center"/>
    </xf>
    <xf numFmtId="0" fontId="8" fillId="3" borderId="30" xfId="0" applyFont="1" applyFill="1" applyBorder="1" applyAlignment="1">
      <alignment horizontal="center"/>
    </xf>
    <xf numFmtId="42" fontId="12" fillId="0" borderId="33" xfId="1" applyNumberFormat="1" applyFont="1" applyFill="1" applyBorder="1" applyAlignment="1">
      <alignment horizontal="left" wrapText="1" readingOrder="1"/>
    </xf>
    <xf numFmtId="42" fontId="13" fillId="0" borderId="34" xfId="1" applyNumberFormat="1" applyFont="1" applyFill="1" applyBorder="1" applyAlignment="1">
      <alignment horizontal="left" wrapText="1" readingOrder="1"/>
    </xf>
    <xf numFmtId="41" fontId="10" fillId="0" borderId="24" xfId="1" applyNumberFormat="1" applyFont="1" applyFill="1" applyBorder="1" applyAlignment="1"/>
    <xf numFmtId="164" fontId="13" fillId="0" borderId="24" xfId="1" applyNumberFormat="1" applyFont="1" applyFill="1" applyBorder="1" applyAlignment="1">
      <alignment horizontal="left" wrapText="1" readingOrder="1"/>
    </xf>
    <xf numFmtId="9" fontId="13" fillId="0" borderId="16" xfId="1" applyNumberFormat="1" applyFont="1" applyFill="1" applyBorder="1" applyAlignment="1">
      <alignment horizontal="center" wrapText="1" readingOrder="1"/>
    </xf>
    <xf numFmtId="0" fontId="12" fillId="0" borderId="32" xfId="0" applyFont="1" applyFill="1" applyBorder="1" applyAlignment="1">
      <alignment horizontal="left" vertical="top" wrapText="1" readingOrder="1"/>
    </xf>
    <xf numFmtId="0" fontId="12" fillId="0" borderId="33" xfId="0" applyFont="1" applyFill="1" applyBorder="1" applyAlignment="1">
      <alignment horizontal="left" vertical="top" wrapText="1" readingOrder="1"/>
    </xf>
    <xf numFmtId="0" fontId="11" fillId="0" borderId="33" xfId="0" applyFont="1" applyFill="1" applyBorder="1" applyAlignment="1">
      <alignment horizontal="left" vertical="top" wrapText="1" readingOrder="1"/>
    </xf>
    <xf numFmtId="0" fontId="13" fillId="0" borderId="34" xfId="0" applyFont="1" applyFill="1" applyBorder="1" applyAlignment="1">
      <alignment horizontal="left" vertical="top" wrapText="1" readingOrder="1"/>
    </xf>
    <xf numFmtId="164" fontId="12" fillId="0" borderId="3" xfId="1" applyNumberFormat="1" applyFont="1" applyFill="1" applyBorder="1" applyAlignment="1">
      <alignment horizontal="left" wrapText="1" readingOrder="1"/>
    </xf>
    <xf numFmtId="165" fontId="12" fillId="0" borderId="19" xfId="1" applyNumberFormat="1" applyFont="1" applyFill="1" applyBorder="1" applyAlignment="1">
      <alignment horizontal="center" wrapText="1" readingOrder="1"/>
    </xf>
    <xf numFmtId="0" fontId="12" fillId="0" borderId="33" xfId="0" applyFont="1" applyFill="1" applyBorder="1" applyAlignment="1">
      <alignment horizontal="left" vertical="top" readingOrder="1"/>
    </xf>
    <xf numFmtId="0" fontId="8" fillId="4" borderId="23" xfId="0" applyFont="1" applyFill="1" applyBorder="1" applyAlignment="1">
      <alignment horizontal="center"/>
    </xf>
    <xf numFmtId="0" fontId="8" fillId="4" borderId="30" xfId="0" applyFont="1" applyFill="1" applyBorder="1" applyAlignment="1">
      <alignment horizontal="center"/>
    </xf>
    <xf numFmtId="0" fontId="8" fillId="4" borderId="31" xfId="0" applyFont="1" applyFill="1" applyBorder="1" applyAlignment="1">
      <alignment horizontal="center"/>
    </xf>
    <xf numFmtId="164" fontId="11" fillId="0" borderId="3" xfId="1" applyNumberFormat="1" applyFont="1" applyFill="1" applyBorder="1" applyAlignment="1">
      <alignment horizontal="left" wrapText="1" readingOrder="1"/>
    </xf>
    <xf numFmtId="165" fontId="9" fillId="0" borderId="17" xfId="0" applyNumberFormat="1" applyFont="1" applyBorder="1"/>
    <xf numFmtId="0" fontId="9" fillId="0" borderId="33" xfId="0" applyFont="1" applyBorder="1"/>
    <xf numFmtId="164" fontId="9" fillId="0" borderId="3" xfId="0" applyNumberFormat="1" applyFont="1" applyBorder="1"/>
    <xf numFmtId="164" fontId="9" fillId="0" borderId="7" xfId="0" applyNumberFormat="1" applyFont="1" applyBorder="1"/>
    <xf numFmtId="0" fontId="10" fillId="0" borderId="34" xfId="0" applyFont="1" applyBorder="1" applyAlignment="1">
      <alignment horizontal="left" indent="1"/>
    </xf>
    <xf numFmtId="164" fontId="10" fillId="0" borderId="24" xfId="0" applyNumberFormat="1" applyFont="1" applyBorder="1"/>
    <xf numFmtId="165" fontId="10" fillId="0" borderId="16" xfId="0" applyNumberFormat="1" applyFont="1" applyBorder="1"/>
    <xf numFmtId="0" fontId="8" fillId="7" borderId="5" xfId="0" applyFont="1" applyFill="1" applyBorder="1" applyAlignment="1">
      <alignment horizontal="center"/>
    </xf>
    <xf numFmtId="0" fontId="8" fillId="7" borderId="6" xfId="0" applyFont="1" applyFill="1" applyBorder="1" applyAlignment="1">
      <alignment horizontal="center"/>
    </xf>
    <xf numFmtId="0" fontId="8" fillId="7" borderId="30" xfId="0" applyFont="1" applyFill="1" applyBorder="1" applyAlignment="1">
      <alignment horizontal="center"/>
    </xf>
    <xf numFmtId="0" fontId="8" fillId="7" borderId="5" xfId="0" applyFont="1" applyFill="1" applyBorder="1" applyAlignment="1">
      <alignment horizontal="center" wrapText="1"/>
    </xf>
    <xf numFmtId="0" fontId="8" fillId="7" borderId="31" xfId="0" applyFont="1" applyFill="1" applyBorder="1" applyAlignment="1">
      <alignment horizontal="center" wrapText="1"/>
    </xf>
    <xf numFmtId="0" fontId="8" fillId="0" borderId="0" xfId="0" applyFont="1" applyFill="1" applyBorder="1" applyAlignment="1">
      <alignment horizontal="centerContinuous"/>
    </xf>
    <xf numFmtId="14" fontId="11" fillId="0" borderId="7" xfId="0" applyNumberFormat="1" applyFont="1" applyFill="1" applyBorder="1" applyAlignment="1">
      <alignment horizontal="right"/>
    </xf>
    <xf numFmtId="41" fontId="6" fillId="0" borderId="35" xfId="0" applyNumberFormat="1" applyFont="1" applyBorder="1"/>
    <xf numFmtId="0" fontId="6" fillId="0" borderId="36" xfId="0" applyFont="1" applyBorder="1"/>
    <xf numFmtId="0" fontId="6" fillId="0" borderId="33" xfId="0" applyFont="1" applyBorder="1"/>
    <xf numFmtId="0" fontId="14" fillId="0" borderId="34" xfId="0" applyFont="1" applyBorder="1" applyAlignment="1">
      <alignment horizontal="left" indent="1"/>
    </xf>
    <xf numFmtId="0" fontId="10" fillId="0" borderId="5" xfId="0" applyFont="1" applyBorder="1" applyAlignment="1">
      <alignment horizontal="center"/>
    </xf>
    <xf numFmtId="0" fontId="10" fillId="0" borderId="6" xfId="0" applyFont="1" applyBorder="1" applyAlignment="1">
      <alignment horizontal="center"/>
    </xf>
    <xf numFmtId="0" fontId="9" fillId="0" borderId="5" xfId="0" applyFont="1" applyBorder="1"/>
    <xf numFmtId="0" fontId="8" fillId="7" borderId="0" xfId="0" applyFont="1" applyFill="1" applyBorder="1" applyAlignment="1">
      <alignment horizontal="centerContinuous"/>
    </xf>
    <xf numFmtId="0" fontId="8" fillId="7" borderId="7" xfId="0" applyFont="1" applyFill="1" applyBorder="1" applyAlignment="1">
      <alignment horizontal="centerContinuous"/>
    </xf>
    <xf numFmtId="0" fontId="8" fillId="3" borderId="0" xfId="0" applyFont="1" applyFill="1" applyBorder="1" applyAlignment="1">
      <alignment horizontal="centerContinuous"/>
    </xf>
    <xf numFmtId="0" fontId="8" fillId="4" borderId="0" xfId="0" applyFont="1" applyFill="1" applyBorder="1" applyAlignment="1">
      <alignment horizontal="centerContinuous"/>
    </xf>
    <xf numFmtId="0" fontId="8" fillId="4" borderId="7" xfId="0" applyFont="1" applyFill="1" applyBorder="1" applyAlignment="1">
      <alignment horizontal="centerContinuous"/>
    </xf>
    <xf numFmtId="0" fontId="8" fillId="3" borderId="7" xfId="0" applyFont="1" applyFill="1" applyBorder="1" applyAlignment="1">
      <alignment horizontal="centerContinuous"/>
    </xf>
    <xf numFmtId="0" fontId="8" fillId="5" borderId="8" xfId="0" applyFont="1" applyFill="1" applyBorder="1" applyAlignment="1">
      <alignment horizontal="centerContinuous"/>
    </xf>
    <xf numFmtId="0" fontId="8" fillId="5" borderId="37" xfId="0" applyFont="1" applyFill="1" applyBorder="1" applyAlignment="1">
      <alignment horizontal="center"/>
    </xf>
    <xf numFmtId="0" fontId="11" fillId="0" borderId="11" xfId="0" applyFont="1" applyFill="1" applyBorder="1"/>
    <xf numFmtId="0" fontId="9" fillId="0" borderId="33" xfId="0" applyFont="1" applyFill="1" applyBorder="1" applyAlignment="1">
      <alignment horizontal="left" vertical="top" wrapText="1" readingOrder="1"/>
    </xf>
    <xf numFmtId="0" fontId="18" fillId="0" borderId="0" xfId="0" applyFont="1" applyFill="1" applyBorder="1"/>
    <xf numFmtId="0" fontId="17" fillId="0" borderId="0" xfId="0" applyFont="1" applyBorder="1" applyAlignment="1"/>
    <xf numFmtId="0" fontId="17" fillId="0" borderId="0" xfId="0" applyFont="1" applyFill="1"/>
    <xf numFmtId="9" fontId="17" fillId="0" borderId="0" xfId="2" applyFont="1" applyFill="1" applyAlignment="1">
      <alignment horizontal="center"/>
    </xf>
    <xf numFmtId="165" fontId="6" fillId="0" borderId="0" xfId="0" applyNumberFormat="1" applyFont="1" applyFill="1" applyBorder="1"/>
    <xf numFmtId="0" fontId="20" fillId="0" borderId="0" xfId="0" applyFont="1" applyFill="1" applyBorder="1"/>
    <xf numFmtId="0" fontId="10" fillId="0" borderId="9" xfId="0" applyFont="1" applyFill="1" applyBorder="1"/>
    <xf numFmtId="0" fontId="10" fillId="0" borderId="21" xfId="0" applyFont="1" applyFill="1" applyBorder="1"/>
    <xf numFmtId="0" fontId="10" fillId="0" borderId="21" xfId="0" applyFont="1" applyBorder="1"/>
    <xf numFmtId="42" fontId="10" fillId="0" borderId="10" xfId="0" applyNumberFormat="1" applyFont="1" applyFill="1" applyBorder="1"/>
    <xf numFmtId="0" fontId="21" fillId="0" borderId="0" xfId="0" applyFont="1" applyFill="1" applyAlignment="1">
      <alignment horizontal="centerContinuous"/>
    </xf>
    <xf numFmtId="0" fontId="9" fillId="0" borderId="0" xfId="8" applyNumberFormat="1" applyFont="1" applyFill="1" applyBorder="1"/>
    <xf numFmtId="166" fontId="11" fillId="0" borderId="7" xfId="0" applyNumberFormat="1" applyFont="1" applyFill="1" applyBorder="1"/>
    <xf numFmtId="165" fontId="9" fillId="0" borderId="7" xfId="2" applyNumberFormat="1" applyFont="1" applyFill="1" applyBorder="1"/>
    <xf numFmtId="0" fontId="9" fillId="0" borderId="23" xfId="0" applyFont="1" applyFill="1" applyBorder="1"/>
    <xf numFmtId="169" fontId="9" fillId="0" borderId="0" xfId="0" applyNumberFormat="1" applyFont="1" applyBorder="1"/>
    <xf numFmtId="0" fontId="9" fillId="0" borderId="38" xfId="0" applyFont="1" applyFill="1" applyBorder="1"/>
    <xf numFmtId="0" fontId="22" fillId="2" borderId="28" xfId="0" applyFont="1" applyFill="1" applyBorder="1" applyAlignment="1">
      <alignment horizontal="centerContinuous" vertical="center"/>
    </xf>
    <xf numFmtId="0" fontId="22" fillId="2" borderId="29" xfId="0" applyFont="1" applyFill="1" applyBorder="1" applyAlignment="1">
      <alignment horizontal="centerContinuous" vertical="center"/>
    </xf>
    <xf numFmtId="0" fontId="22" fillId="0" borderId="0" xfId="0" applyFont="1" applyFill="1" applyBorder="1" applyAlignment="1">
      <alignment horizontal="center" vertical="center" wrapText="1"/>
    </xf>
    <xf numFmtId="169" fontId="9" fillId="0" borderId="0" xfId="0" applyNumberFormat="1" applyFont="1" applyFill="1" applyBorder="1" applyAlignment="1">
      <alignment horizontal="right"/>
    </xf>
    <xf numFmtId="169" fontId="9" fillId="0" borderId="0" xfId="0" applyNumberFormat="1" applyFont="1" applyBorder="1" applyAlignment="1">
      <alignment horizontal="right"/>
    </xf>
    <xf numFmtId="165" fontId="9" fillId="0" borderId="0" xfId="2" applyNumberFormat="1" applyFont="1" applyBorder="1" applyAlignment="1">
      <alignment horizontal="center"/>
    </xf>
    <xf numFmtId="172" fontId="9" fillId="0" borderId="0" xfId="0" applyNumberFormat="1" applyFont="1" applyBorder="1"/>
    <xf numFmtId="0" fontId="11" fillId="0" borderId="23" xfId="0" applyFont="1" applyFill="1" applyBorder="1"/>
    <xf numFmtId="169" fontId="11" fillId="0" borderId="0" xfId="0" applyNumberFormat="1" applyFont="1" applyBorder="1" applyAlignment="1">
      <alignment horizontal="right"/>
    </xf>
    <xf numFmtId="14" fontId="11" fillId="0" borderId="0" xfId="0" applyNumberFormat="1" applyFont="1" applyBorder="1" applyAlignment="1">
      <alignment horizontal="right" vertical="center"/>
    </xf>
    <xf numFmtId="165" fontId="11" fillId="0" borderId="0" xfId="0" applyNumberFormat="1" applyFont="1" applyBorder="1" applyAlignment="1">
      <alignment horizontal="right" vertical="center"/>
    </xf>
    <xf numFmtId="165" fontId="11" fillId="0" borderId="0" xfId="2" applyNumberFormat="1" applyFont="1" applyFill="1" applyBorder="1" applyAlignment="1">
      <alignment horizontal="right"/>
    </xf>
    <xf numFmtId="14" fontId="9" fillId="0" borderId="23" xfId="0" applyNumberFormat="1" applyFont="1" applyBorder="1" applyAlignment="1">
      <alignment horizontal="center"/>
    </xf>
    <xf numFmtId="1" fontId="9" fillId="0" borderId="0" xfId="0" applyNumberFormat="1" applyFont="1" applyBorder="1" applyAlignment="1">
      <alignment horizontal="center"/>
    </xf>
    <xf numFmtId="169" fontId="9" fillId="0" borderId="0" xfId="0" applyNumberFormat="1" applyFont="1"/>
    <xf numFmtId="171" fontId="9" fillId="0" borderId="0" xfId="0" applyNumberFormat="1" applyFont="1"/>
    <xf numFmtId="0" fontId="11" fillId="0" borderId="0" xfId="0" applyFont="1" applyFill="1" applyBorder="1"/>
    <xf numFmtId="169" fontId="11" fillId="0" borderId="0" xfId="0" applyNumberFormat="1" applyFont="1" applyFill="1" applyBorder="1" applyAlignment="1">
      <alignment horizontal="right"/>
    </xf>
    <xf numFmtId="14" fontId="9" fillId="0" borderId="0" xfId="0" applyNumberFormat="1" applyFont="1" applyBorder="1" applyAlignment="1">
      <alignment horizontal="center"/>
    </xf>
    <xf numFmtId="14" fontId="10" fillId="0" borderId="0" xfId="0" applyNumberFormat="1" applyFont="1" applyBorder="1"/>
    <xf numFmtId="14" fontId="23" fillId="0" borderId="0" xfId="0" applyNumberFormat="1" applyFont="1" applyBorder="1"/>
    <xf numFmtId="0" fontId="19" fillId="0" borderId="0" xfId="0" applyFont="1" applyFill="1"/>
    <xf numFmtId="0" fontId="9" fillId="0" borderId="0" xfId="0" applyFont="1" applyBorder="1" applyAlignment="1"/>
    <xf numFmtId="42" fontId="11" fillId="0" borderId="0" xfId="0" applyNumberFormat="1" applyFont="1" applyBorder="1" applyAlignment="1">
      <alignment horizontal="right"/>
    </xf>
    <xf numFmtId="42" fontId="11" fillId="0" borderId="17" xfId="0" applyNumberFormat="1" applyFont="1" applyFill="1" applyBorder="1" applyAlignment="1">
      <alignment horizontal="right"/>
    </xf>
    <xf numFmtId="42" fontId="9" fillId="0" borderId="17" xfId="0" applyNumberFormat="1" applyFont="1" applyFill="1" applyBorder="1" applyAlignment="1">
      <alignment horizontal="right"/>
    </xf>
    <xf numFmtId="42" fontId="9" fillId="0" borderId="39" xfId="0" applyNumberFormat="1" applyFont="1" applyFill="1" applyBorder="1" applyAlignment="1">
      <alignment horizontal="right"/>
    </xf>
    <xf numFmtId="42" fontId="9" fillId="0" borderId="0" xfId="0" applyNumberFormat="1" applyFont="1" applyBorder="1" applyAlignment="1">
      <alignment horizontal="right"/>
    </xf>
    <xf numFmtId="42" fontId="9" fillId="0" borderId="17" xfId="0" applyNumberFormat="1" applyFont="1" applyBorder="1" applyAlignment="1">
      <alignment horizontal="right"/>
    </xf>
    <xf numFmtId="42" fontId="10" fillId="0" borderId="21" xfId="0" applyNumberFormat="1" applyFont="1" applyBorder="1"/>
    <xf numFmtId="0" fontId="6" fillId="0" borderId="11" xfId="0" applyFont="1" applyBorder="1"/>
    <xf numFmtId="0" fontId="6" fillId="0" borderId="7" xfId="0" applyFont="1" applyBorder="1"/>
    <xf numFmtId="14" fontId="11" fillId="0" borderId="0" xfId="0" applyNumberFormat="1" applyFont="1" applyBorder="1" applyAlignment="1">
      <alignment horizontal="center" vertical="center"/>
    </xf>
    <xf numFmtId="14" fontId="11" fillId="0" borderId="1" xfId="0" applyNumberFormat="1" applyFont="1" applyBorder="1" applyAlignment="1">
      <alignment horizontal="center" vertical="center"/>
    </xf>
    <xf numFmtId="0" fontId="6" fillId="0" borderId="5" xfId="0" applyFont="1" applyBorder="1"/>
    <xf numFmtId="165" fontId="11" fillId="0" borderId="0" xfId="0" applyNumberFormat="1" applyFont="1" applyBorder="1" applyAlignment="1">
      <alignment horizontal="center" vertical="center"/>
    </xf>
    <xf numFmtId="165" fontId="11" fillId="0" borderId="0" xfId="2" applyNumberFormat="1" applyFont="1" applyFill="1" applyBorder="1" applyAlignment="1">
      <alignment horizontal="center"/>
    </xf>
    <xf numFmtId="165" fontId="9" fillId="0" borderId="0" xfId="2" applyNumberFormat="1" applyFont="1" applyFill="1" applyBorder="1" applyAlignment="1">
      <alignment horizontal="center"/>
    </xf>
    <xf numFmtId="165" fontId="9" fillId="0" borderId="1" xfId="2" applyNumberFormat="1" applyFont="1" applyFill="1" applyBorder="1" applyAlignment="1">
      <alignment horizontal="center"/>
    </xf>
    <xf numFmtId="0" fontId="11" fillId="0" borderId="30" xfId="0" applyFont="1" applyFill="1" applyBorder="1"/>
    <xf numFmtId="42" fontId="11" fillId="0" borderId="5" xfId="0" applyNumberFormat="1" applyFont="1" applyBorder="1" applyAlignment="1">
      <alignment horizontal="right"/>
    </xf>
    <xf numFmtId="14" fontId="11" fillId="0" borderId="5" xfId="0" applyNumberFormat="1" applyFont="1" applyBorder="1" applyAlignment="1">
      <alignment horizontal="center" vertical="center"/>
    </xf>
    <xf numFmtId="165" fontId="9" fillId="0" borderId="5" xfId="2" applyNumberFormat="1" applyFont="1" applyFill="1" applyBorder="1" applyAlignment="1">
      <alignment horizontal="center"/>
    </xf>
    <xf numFmtId="42" fontId="9" fillId="0" borderId="31" xfId="0" applyNumberFormat="1" applyFont="1" applyFill="1" applyBorder="1" applyAlignment="1">
      <alignment horizontal="right"/>
    </xf>
    <xf numFmtId="14" fontId="9" fillId="0" borderId="30" xfId="0" applyNumberFormat="1" applyFont="1" applyBorder="1" applyAlignment="1">
      <alignment horizontal="center"/>
    </xf>
    <xf numFmtId="1" fontId="9" fillId="0" borderId="5" xfId="0" applyNumberFormat="1" applyFont="1" applyBorder="1" applyAlignment="1">
      <alignment horizontal="center"/>
    </xf>
    <xf numFmtId="42" fontId="9" fillId="0" borderId="5" xfId="0" applyNumberFormat="1" applyFont="1" applyBorder="1" applyAlignment="1">
      <alignment horizontal="right"/>
    </xf>
    <xf numFmtId="42" fontId="9" fillId="0" borderId="31" xfId="0" applyNumberFormat="1" applyFont="1" applyBorder="1" applyAlignment="1">
      <alignment horizontal="right"/>
    </xf>
    <xf numFmtId="42" fontId="10" fillId="0" borderId="15" xfId="0" applyNumberFormat="1" applyFont="1" applyBorder="1" applyAlignment="1">
      <alignment horizontal="right"/>
    </xf>
    <xf numFmtId="1" fontId="9" fillId="0" borderId="15" xfId="0" applyNumberFormat="1" applyFont="1" applyBorder="1" applyAlignment="1">
      <alignment horizontal="center"/>
    </xf>
    <xf numFmtId="42" fontId="10" fillId="0" borderId="16" xfId="0" applyNumberFormat="1" applyFont="1" applyBorder="1" applyAlignment="1">
      <alignment horizontal="right"/>
    </xf>
    <xf numFmtId="0" fontId="10" fillId="0" borderId="38" xfId="0" applyFont="1" applyFill="1" applyBorder="1"/>
    <xf numFmtId="42" fontId="10" fillId="0" borderId="1" xfId="0" applyNumberFormat="1" applyFont="1" applyBorder="1" applyAlignment="1">
      <alignment horizontal="right"/>
    </xf>
    <xf numFmtId="14" fontId="9" fillId="0" borderId="14" xfId="0" applyNumberFormat="1" applyFont="1" applyBorder="1" applyAlignment="1">
      <alignment horizontal="center"/>
    </xf>
    <xf numFmtId="14" fontId="9" fillId="0" borderId="0" xfId="0" applyNumberFormat="1" applyFont="1" applyBorder="1" applyAlignment="1">
      <alignment horizontal="center" vertical="center"/>
    </xf>
    <xf numFmtId="169" fontId="10" fillId="0" borderId="0" xfId="0" applyNumberFormat="1" applyFont="1" applyFill="1" applyBorder="1" applyAlignment="1">
      <alignment horizontal="right"/>
    </xf>
    <xf numFmtId="0" fontId="10" fillId="0" borderId="0" xfId="0" applyFont="1"/>
    <xf numFmtId="0" fontId="18" fillId="0" borderId="0" xfId="0" applyFont="1"/>
    <xf numFmtId="14" fontId="9" fillId="0" borderId="27" xfId="0" applyNumberFormat="1" applyFont="1" applyBorder="1" applyAlignment="1">
      <alignment horizontal="center"/>
    </xf>
    <xf numFmtId="1" fontId="9" fillId="0" borderId="28" xfId="0" applyNumberFormat="1" applyFont="1" applyBorder="1" applyAlignment="1">
      <alignment horizontal="center"/>
    </xf>
    <xf numFmtId="42" fontId="9" fillId="0" borderId="28" xfId="0" applyNumberFormat="1" applyFont="1" applyBorder="1" applyAlignment="1">
      <alignment horizontal="right"/>
    </xf>
    <xf numFmtId="42" fontId="9" fillId="0" borderId="29" xfId="0" applyNumberFormat="1" applyFont="1" applyBorder="1" applyAlignment="1">
      <alignment horizontal="right"/>
    </xf>
    <xf numFmtId="14" fontId="10" fillId="0" borderId="38" xfId="0" applyNumberFormat="1" applyFont="1" applyBorder="1" applyAlignment="1">
      <alignment horizontal="center"/>
    </xf>
    <xf numFmtId="1" fontId="10" fillId="0" borderId="1" xfId="0" applyNumberFormat="1" applyFont="1" applyBorder="1" applyAlignment="1">
      <alignment horizontal="center"/>
    </xf>
    <xf numFmtId="42" fontId="10" fillId="0" borderId="39" xfId="0" applyNumberFormat="1" applyFont="1" applyBorder="1" applyAlignment="1">
      <alignment horizontal="right"/>
    </xf>
    <xf numFmtId="0" fontId="9" fillId="0" borderId="27" xfId="0" applyFont="1" applyFill="1" applyBorder="1"/>
    <xf numFmtId="14" fontId="9" fillId="0" borderId="28" xfId="0" applyNumberFormat="1" applyFont="1" applyBorder="1" applyAlignment="1">
      <alignment horizontal="center" vertical="center"/>
    </xf>
    <xf numFmtId="165" fontId="9" fillId="0" borderId="28" xfId="2" applyNumberFormat="1" applyFont="1" applyFill="1" applyBorder="1" applyAlignment="1">
      <alignment horizontal="center"/>
    </xf>
    <xf numFmtId="42" fontId="9" fillId="0" borderId="29" xfId="0" applyNumberFormat="1" applyFont="1" applyFill="1" applyBorder="1" applyAlignment="1">
      <alignment horizontal="right"/>
    </xf>
    <xf numFmtId="14" fontId="10" fillId="0" borderId="1" xfId="0" applyNumberFormat="1" applyFont="1" applyBorder="1" applyAlignment="1">
      <alignment horizontal="center" vertical="center"/>
    </xf>
    <xf numFmtId="165" fontId="10" fillId="0" borderId="1" xfId="2" applyNumberFormat="1" applyFont="1" applyFill="1" applyBorder="1" applyAlignment="1">
      <alignment horizontal="center"/>
    </xf>
    <xf numFmtId="42" fontId="10" fillId="0" borderId="39" xfId="0" applyNumberFormat="1" applyFont="1" applyFill="1" applyBorder="1" applyAlignment="1">
      <alignment horizontal="right"/>
    </xf>
    <xf numFmtId="167" fontId="9" fillId="0" borderId="7" xfId="0" applyNumberFormat="1" applyFont="1" applyFill="1" applyBorder="1"/>
    <xf numFmtId="0" fontId="8" fillId="2" borderId="40" xfId="0" applyFont="1" applyFill="1" applyBorder="1" applyAlignment="1">
      <alignment horizontal="centerContinuous"/>
    </xf>
    <xf numFmtId="0" fontId="8" fillId="2" borderId="41" xfId="0" applyFont="1" applyFill="1" applyBorder="1" applyAlignment="1">
      <alignment horizontal="centerContinuous"/>
    </xf>
    <xf numFmtId="0" fontId="8" fillId="2" borderId="42" xfId="0" applyFont="1" applyFill="1" applyBorder="1" applyAlignment="1">
      <alignment horizontal="centerContinuous"/>
    </xf>
    <xf numFmtId="0" fontId="9" fillId="0" borderId="23" xfId="0" applyFont="1" applyBorder="1"/>
    <xf numFmtId="0" fontId="6" fillId="0" borderId="17" xfId="0" applyFont="1" applyBorder="1"/>
    <xf numFmtId="0" fontId="9" fillId="0" borderId="1" xfId="0" applyFont="1" applyFill="1" applyBorder="1"/>
    <xf numFmtId="0" fontId="8" fillId="7" borderId="43" xfId="0" applyFont="1" applyFill="1" applyBorder="1" applyAlignment="1">
      <alignment horizontal="centerContinuous"/>
    </xf>
    <xf numFmtId="0" fontId="8" fillId="7" borderId="3" xfId="0" applyFont="1" applyFill="1" applyBorder="1" applyAlignment="1">
      <alignment horizontal="centerContinuous"/>
    </xf>
    <xf numFmtId="0" fontId="8" fillId="3" borderId="43" xfId="0" applyFont="1" applyFill="1" applyBorder="1" applyAlignment="1">
      <alignment horizontal="centerContinuous"/>
    </xf>
    <xf numFmtId="0" fontId="8" fillId="3" borderId="3" xfId="0" applyFont="1" applyFill="1" applyBorder="1" applyAlignment="1">
      <alignment horizontal="centerContinuous"/>
    </xf>
    <xf numFmtId="0" fontId="8" fillId="5" borderId="12" xfId="0" applyFont="1" applyFill="1" applyBorder="1" applyAlignment="1">
      <alignment horizontal="centerContinuous"/>
    </xf>
    <xf numFmtId="164" fontId="10" fillId="0" borderId="9" xfId="0" applyNumberFormat="1" applyFont="1" applyBorder="1"/>
    <xf numFmtId="0" fontId="8" fillId="4" borderId="2" xfId="0" applyFont="1" applyFill="1" applyBorder="1" applyAlignment="1">
      <alignment horizontal="centerContinuous"/>
    </xf>
    <xf numFmtId="0" fontId="8" fillId="4" borderId="3" xfId="0" applyFont="1" applyFill="1" applyBorder="1" applyAlignment="1">
      <alignment horizontal="centerContinuous"/>
    </xf>
    <xf numFmtId="0" fontId="8" fillId="4" borderId="4" xfId="0" applyFont="1" applyFill="1" applyBorder="1" applyAlignment="1">
      <alignment horizontal="center"/>
    </xf>
    <xf numFmtId="166" fontId="9" fillId="0" borderId="7" xfId="0" applyNumberFormat="1" applyFont="1" applyBorder="1"/>
    <xf numFmtId="14" fontId="9" fillId="0" borderId="5" xfId="0" applyNumberFormat="1" applyFont="1" applyBorder="1" applyAlignment="1">
      <alignment horizontal="center" vertical="center"/>
    </xf>
    <xf numFmtId="0" fontId="6" fillId="0" borderId="1" xfId="0" applyFont="1" applyFill="1" applyBorder="1"/>
    <xf numFmtId="0" fontId="6" fillId="0" borderId="39" xfId="0" applyFont="1" applyFill="1" applyBorder="1"/>
    <xf numFmtId="0" fontId="8" fillId="3" borderId="27" xfId="0" applyFont="1" applyFill="1" applyBorder="1" applyAlignment="1">
      <alignment horizontal="centerContinuous" vertical="center"/>
    </xf>
    <xf numFmtId="0" fontId="8" fillId="3" borderId="28" xfId="0" applyFont="1" applyFill="1" applyBorder="1" applyAlignment="1">
      <alignment horizontal="centerContinuous" vertical="center"/>
    </xf>
    <xf numFmtId="0" fontId="8" fillId="7" borderId="27" xfId="0" applyFont="1" applyFill="1" applyBorder="1" applyAlignment="1">
      <alignment horizontal="centerContinuous" vertical="center"/>
    </xf>
    <xf numFmtId="0" fontId="8" fillId="7" borderId="28" xfId="0" applyFont="1" applyFill="1" applyBorder="1" applyAlignment="1">
      <alignment horizontal="centerContinuous" vertical="center"/>
    </xf>
    <xf numFmtId="0" fontId="8" fillId="7" borderId="29" xfId="0" applyFont="1" applyFill="1" applyBorder="1" applyAlignment="1">
      <alignment horizontal="centerContinuous" vertical="center"/>
    </xf>
    <xf numFmtId="0" fontId="8" fillId="4" borderId="27" xfId="0" applyFont="1" applyFill="1" applyBorder="1" applyAlignment="1">
      <alignment horizontal="centerContinuous" vertical="center"/>
    </xf>
    <xf numFmtId="0" fontId="8" fillId="4" borderId="28" xfId="0" applyFont="1" applyFill="1" applyBorder="1" applyAlignment="1">
      <alignment horizontal="centerContinuous" vertical="center"/>
    </xf>
    <xf numFmtId="164" fontId="9" fillId="0" borderId="11" xfId="0" applyNumberFormat="1" applyFont="1" applyBorder="1"/>
    <xf numFmtId="164" fontId="10" fillId="0" borderId="4" xfId="0" applyNumberFormat="1" applyFont="1" applyBorder="1"/>
    <xf numFmtId="0" fontId="8" fillId="8" borderId="29" xfId="0" applyFont="1" applyFill="1" applyBorder="1" applyAlignment="1">
      <alignment horizontal="centerContinuous" vertical="center"/>
    </xf>
    <xf numFmtId="0" fontId="8" fillId="8" borderId="17" xfId="0" applyFont="1" applyFill="1" applyBorder="1" applyAlignment="1">
      <alignment horizontal="center"/>
    </xf>
    <xf numFmtId="0" fontId="8" fillId="8" borderId="31" xfId="0" applyFont="1" applyFill="1" applyBorder="1" applyAlignment="1">
      <alignment horizontal="center"/>
    </xf>
    <xf numFmtId="0" fontId="8" fillId="8" borderId="27" xfId="0" applyFont="1" applyFill="1" applyBorder="1" applyAlignment="1">
      <alignment horizontal="centerContinuous" vertical="center"/>
    </xf>
    <xf numFmtId="0" fontId="8" fillId="8" borderId="23" xfId="0" applyFont="1" applyFill="1" applyBorder="1" applyAlignment="1">
      <alignment horizontal="center"/>
    </xf>
    <xf numFmtId="0" fontId="8" fillId="8" borderId="30" xfId="0" applyFont="1" applyFill="1" applyBorder="1" applyAlignment="1">
      <alignment horizontal="center"/>
    </xf>
    <xf numFmtId="41" fontId="9" fillId="0" borderId="33" xfId="0" applyNumberFormat="1" applyFont="1" applyFill="1" applyBorder="1" applyAlignment="1"/>
    <xf numFmtId="41" fontId="10" fillId="0" borderId="34" xfId="2" applyNumberFormat="1" applyFont="1" applyFill="1" applyBorder="1" applyAlignment="1"/>
    <xf numFmtId="41" fontId="10" fillId="0" borderId="25" xfId="2" applyNumberFormat="1" applyFont="1" applyFill="1" applyBorder="1" applyAlignment="1"/>
    <xf numFmtId="165" fontId="9" fillId="0" borderId="3" xfId="0" applyNumberFormat="1" applyFont="1" applyBorder="1" applyAlignment="1">
      <alignment horizontal="center"/>
    </xf>
    <xf numFmtId="165" fontId="9" fillId="0" borderId="7" xfId="0" applyNumberFormat="1" applyFont="1" applyBorder="1" applyAlignment="1">
      <alignment horizontal="center"/>
    </xf>
    <xf numFmtId="165" fontId="9" fillId="0" borderId="6" xfId="0" applyNumberFormat="1" applyFont="1" applyBorder="1" applyAlignment="1">
      <alignment horizontal="center"/>
    </xf>
    <xf numFmtId="165" fontId="10" fillId="0" borderId="6" xfId="0" applyNumberFormat="1" applyFont="1" applyBorder="1" applyAlignment="1">
      <alignment horizontal="center"/>
    </xf>
    <xf numFmtId="165" fontId="9" fillId="0" borderId="0" xfId="0" applyNumberFormat="1" applyFont="1" applyBorder="1" applyAlignment="1">
      <alignment horizontal="center"/>
    </xf>
    <xf numFmtId="165" fontId="9" fillId="0" borderId="5" xfId="0" applyNumberFormat="1" applyFont="1" applyBorder="1" applyAlignment="1">
      <alignment horizontal="center"/>
    </xf>
    <xf numFmtId="9" fontId="10" fillId="0" borderId="5" xfId="0" applyNumberFormat="1" applyFont="1" applyBorder="1" applyAlignment="1">
      <alignment horizontal="center"/>
    </xf>
    <xf numFmtId="9" fontId="10" fillId="0" borderId="6" xfId="0" applyNumberFormat="1" applyFont="1" applyBorder="1" applyAlignment="1">
      <alignment horizontal="center"/>
    </xf>
    <xf numFmtId="0" fontId="9" fillId="0" borderId="7" xfId="0" applyFont="1" applyBorder="1" applyAlignment="1">
      <alignment horizontal="center"/>
    </xf>
    <xf numFmtId="165" fontId="10" fillId="0" borderId="10" xfId="0" applyNumberFormat="1" applyFont="1" applyBorder="1" applyAlignment="1">
      <alignment horizontal="center"/>
    </xf>
    <xf numFmtId="9" fontId="10" fillId="0" borderId="10" xfId="0" applyNumberFormat="1" applyFont="1" applyBorder="1" applyAlignment="1">
      <alignment horizontal="center"/>
    </xf>
    <xf numFmtId="165" fontId="9" fillId="0" borderId="17" xfId="0" applyNumberFormat="1" applyFont="1" applyFill="1" applyBorder="1" applyAlignment="1">
      <alignment horizontal="center"/>
    </xf>
    <xf numFmtId="9" fontId="10" fillId="0" borderId="16" xfId="2" applyFont="1" applyFill="1" applyBorder="1" applyAlignment="1">
      <alignment horizontal="center"/>
    </xf>
    <xf numFmtId="165" fontId="9" fillId="0" borderId="0" xfId="0" applyNumberFormat="1" applyFont="1" applyFill="1" applyBorder="1" applyAlignment="1">
      <alignment horizontal="center"/>
    </xf>
    <xf numFmtId="9" fontId="10" fillId="0" borderId="15" xfId="2" applyNumberFormat="1" applyFont="1" applyFill="1" applyBorder="1" applyAlignment="1">
      <alignment horizontal="center"/>
    </xf>
    <xf numFmtId="165" fontId="9" fillId="0" borderId="19" xfId="0" applyNumberFormat="1" applyFont="1" applyFill="1" applyBorder="1" applyAlignment="1">
      <alignment horizontal="center"/>
    </xf>
    <xf numFmtId="165" fontId="9" fillId="0" borderId="43" xfId="0" applyNumberFormat="1" applyFont="1" applyFill="1" applyBorder="1" applyAlignment="1">
      <alignment horizontal="center"/>
    </xf>
    <xf numFmtId="165" fontId="9" fillId="0" borderId="7" xfId="0" applyNumberFormat="1" applyFont="1" applyFill="1" applyBorder="1" applyAlignment="1">
      <alignment horizontal="center"/>
    </xf>
    <xf numFmtId="9" fontId="10" fillId="0" borderId="24" xfId="2" applyNumberFormat="1" applyFont="1" applyFill="1" applyBorder="1" applyAlignment="1">
      <alignment horizontal="center"/>
    </xf>
    <xf numFmtId="164" fontId="10" fillId="0" borderId="44" xfId="0" applyNumberFormat="1" applyFont="1" applyBorder="1"/>
    <xf numFmtId="166" fontId="10" fillId="0" borderId="24" xfId="0" applyNumberFormat="1" applyFont="1" applyBorder="1"/>
    <xf numFmtId="164" fontId="10" fillId="0" borderId="15" xfId="0" applyNumberFormat="1" applyFont="1" applyBorder="1"/>
    <xf numFmtId="166" fontId="10" fillId="0" borderId="16" xfId="0" applyNumberFormat="1" applyFont="1" applyBorder="1"/>
    <xf numFmtId="0" fontId="8" fillId="5" borderId="27" xfId="0" applyFont="1" applyFill="1" applyBorder="1" applyAlignment="1">
      <alignment horizontal="centerContinuous"/>
    </xf>
    <xf numFmtId="0" fontId="8" fillId="5" borderId="23" xfId="0" applyFont="1" applyFill="1" applyBorder="1" applyAlignment="1">
      <alignment horizontal="center"/>
    </xf>
    <xf numFmtId="166" fontId="9" fillId="0" borderId="17" xfId="0" applyNumberFormat="1" applyFont="1" applyBorder="1"/>
    <xf numFmtId="165" fontId="9" fillId="0" borderId="43" xfId="2" applyNumberFormat="1" applyFont="1" applyBorder="1" applyAlignment="1">
      <alignment horizontal="center"/>
    </xf>
    <xf numFmtId="9" fontId="10" fillId="0" borderId="15" xfId="0" applyNumberFormat="1" applyFont="1" applyBorder="1" applyAlignment="1">
      <alignment horizontal="center"/>
    </xf>
    <xf numFmtId="173" fontId="9" fillId="0" borderId="7" xfId="0" applyNumberFormat="1" applyFont="1" applyBorder="1" applyAlignment="1">
      <alignment horizontal="center"/>
    </xf>
    <xf numFmtId="0" fontId="9" fillId="0" borderId="4" xfId="0" applyFont="1" applyFill="1" applyBorder="1"/>
    <xf numFmtId="169" fontId="9" fillId="0" borderId="5" xfId="0" applyNumberFormat="1" applyFont="1" applyBorder="1"/>
    <xf numFmtId="165" fontId="9" fillId="0" borderId="5" xfId="2" applyNumberFormat="1" applyFont="1" applyBorder="1" applyAlignment="1">
      <alignment horizontal="center"/>
    </xf>
    <xf numFmtId="42" fontId="9" fillId="0" borderId="5" xfId="0" applyNumberFormat="1" applyFont="1" applyBorder="1"/>
    <xf numFmtId="172" fontId="9" fillId="0" borderId="5" xfId="0" applyNumberFormat="1" applyFont="1" applyBorder="1"/>
    <xf numFmtId="164" fontId="12" fillId="0" borderId="5" xfId="1" applyNumberFormat="1" applyFont="1" applyFill="1" applyBorder="1" applyAlignment="1">
      <alignment horizontal="left" wrapText="1" readingOrder="1"/>
    </xf>
    <xf numFmtId="173" fontId="9" fillId="0" borderId="6" xfId="0" applyNumberFormat="1" applyFont="1" applyBorder="1" applyAlignment="1">
      <alignment horizontal="center"/>
    </xf>
    <xf numFmtId="0" fontId="8" fillId="2" borderId="27" xfId="0" applyFont="1" applyFill="1" applyBorder="1" applyAlignment="1">
      <alignment horizontal="centerContinuous" vertical="center"/>
    </xf>
    <xf numFmtId="0" fontId="8" fillId="2" borderId="46" xfId="0" applyFont="1" applyFill="1" applyBorder="1" applyAlignment="1">
      <alignment horizontal="centerContinuous" vertical="center"/>
    </xf>
    <xf numFmtId="0" fontId="8" fillId="7" borderId="27" xfId="0" applyFont="1" applyFill="1" applyBorder="1" applyAlignment="1">
      <alignment horizontal="centerContinuous"/>
    </xf>
    <xf numFmtId="0" fontId="8" fillId="7" borderId="28" xfId="0" applyFont="1" applyFill="1" applyBorder="1" applyAlignment="1">
      <alignment horizontal="centerContinuous"/>
    </xf>
    <xf numFmtId="0" fontId="8" fillId="7" borderId="29" xfId="0" applyFont="1" applyFill="1" applyBorder="1" applyAlignment="1">
      <alignment horizontal="centerContinuous"/>
    </xf>
    <xf numFmtId="0" fontId="8" fillId="2" borderId="0" xfId="0" applyFont="1" applyFill="1" applyBorder="1" applyAlignment="1">
      <alignment horizontal="center" vertical="center" wrapText="1"/>
    </xf>
    <xf numFmtId="0" fontId="8" fillId="2" borderId="30" xfId="0" applyFont="1" applyFill="1" applyBorder="1" applyAlignment="1">
      <alignment vertical="center"/>
    </xf>
    <xf numFmtId="0" fontId="8" fillId="2" borderId="5" xfId="0" applyFont="1" applyFill="1" applyBorder="1" applyAlignment="1">
      <alignment horizontal="center" vertical="center" wrapText="1"/>
    </xf>
    <xf numFmtId="0" fontId="8" fillId="2" borderId="31" xfId="0" applyFont="1" applyFill="1" applyBorder="1" applyAlignment="1">
      <alignment horizontal="center" vertical="center" wrapText="1"/>
    </xf>
    <xf numFmtId="9" fontId="8" fillId="2" borderId="30" xfId="2" applyFont="1" applyFill="1" applyBorder="1" applyAlignment="1">
      <alignment horizontal="center" vertical="center" wrapText="1"/>
    </xf>
    <xf numFmtId="9" fontId="8" fillId="2" borderId="5" xfId="2" applyFont="1" applyFill="1" applyBorder="1" applyAlignment="1">
      <alignment horizontal="center" vertical="center" wrapText="1"/>
    </xf>
    <xf numFmtId="9" fontId="8" fillId="2" borderId="31" xfId="2" applyFont="1" applyFill="1" applyBorder="1" applyAlignment="1">
      <alignment horizontal="center" vertical="center" wrapText="1"/>
    </xf>
    <xf numFmtId="172" fontId="9" fillId="0" borderId="0" xfId="0" applyNumberFormat="1" applyFont="1" applyBorder="1" applyAlignment="1">
      <alignment horizontal="center"/>
    </xf>
    <xf numFmtId="172" fontId="9" fillId="0" borderId="5" xfId="0" applyNumberFormat="1" applyFont="1" applyBorder="1" applyAlignment="1">
      <alignment horizontal="center"/>
    </xf>
    <xf numFmtId="0" fontId="8" fillId="7" borderId="2" xfId="0" applyFont="1" applyFill="1" applyBorder="1" applyAlignment="1">
      <alignment horizontal="centerContinuous"/>
    </xf>
    <xf numFmtId="0" fontId="8" fillId="7" borderId="19" xfId="0" applyFont="1" applyFill="1" applyBorder="1" applyAlignment="1">
      <alignment horizontal="centerContinuous"/>
    </xf>
    <xf numFmtId="0" fontId="8" fillId="2" borderId="11" xfId="0" applyFont="1" applyFill="1" applyBorder="1" applyAlignment="1">
      <alignment horizontal="centerContinuous" vertical="center" wrapText="1"/>
    </xf>
    <xf numFmtId="0" fontId="8" fillId="2" borderId="7" xfId="0" applyFont="1" applyFill="1" applyBorder="1" applyAlignment="1">
      <alignment horizontal="center" vertical="center" wrapText="1"/>
    </xf>
    <xf numFmtId="42" fontId="12" fillId="0" borderId="7" xfId="1" applyNumberFormat="1" applyFont="1" applyFill="1" applyBorder="1" applyAlignment="1">
      <alignment horizontal="left" wrapText="1" readingOrder="1"/>
    </xf>
    <xf numFmtId="42" fontId="13" fillId="0" borderId="24" xfId="1" applyNumberFormat="1" applyFont="1" applyFill="1" applyBorder="1" applyAlignment="1">
      <alignment horizontal="left" wrapText="1" readingOrder="1"/>
    </xf>
    <xf numFmtId="42" fontId="12" fillId="0" borderId="32" xfId="1" applyNumberFormat="1" applyFont="1" applyFill="1" applyBorder="1" applyAlignment="1">
      <alignment horizontal="left" wrapText="1" readingOrder="1"/>
    </xf>
    <xf numFmtId="165" fontId="0" fillId="0" borderId="0" xfId="2" applyNumberFormat="1" applyFont="1"/>
    <xf numFmtId="0" fontId="15" fillId="6" borderId="27" xfId="0" applyFont="1" applyFill="1" applyBorder="1" applyAlignment="1">
      <alignment horizontal="centerContinuous" wrapText="1"/>
    </xf>
    <xf numFmtId="0" fontId="15" fillId="6" borderId="28" xfId="0" applyFont="1" applyFill="1" applyBorder="1" applyAlignment="1">
      <alignment horizontal="centerContinuous" wrapText="1"/>
    </xf>
    <xf numFmtId="0" fontId="15" fillId="6" borderId="29" xfId="0" applyFont="1" applyFill="1" applyBorder="1" applyAlignment="1">
      <alignment horizontal="centerContinuous" wrapText="1"/>
    </xf>
    <xf numFmtId="0" fontId="15" fillId="6" borderId="14" xfId="0" applyFont="1" applyFill="1" applyBorder="1" applyAlignment="1">
      <alignment horizontal="centerContinuous"/>
    </xf>
    <xf numFmtId="0" fontId="15" fillId="6" borderId="13" xfId="0" applyFont="1" applyFill="1" applyBorder="1" applyAlignment="1">
      <alignment horizontal="centerContinuous"/>
    </xf>
    <xf numFmtId="0" fontId="3" fillId="0" borderId="1" xfId="0" applyFont="1" applyBorder="1" applyAlignment="1">
      <alignment horizontal="center" vertical="center" wrapText="1"/>
    </xf>
    <xf numFmtId="0" fontId="4" fillId="0" borderId="0" xfId="0" applyFont="1" applyAlignment="1">
      <alignment wrapText="1"/>
    </xf>
    <xf numFmtId="0" fontId="0" fillId="0" borderId="0" xfId="0" applyFont="1" applyAlignment="1">
      <alignment wrapTex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wrapText="1" indent="1"/>
    </xf>
    <xf numFmtId="0" fontId="8" fillId="2" borderId="23" xfId="0" applyFont="1" applyFill="1" applyBorder="1" applyAlignment="1">
      <alignment horizontal="center"/>
    </xf>
    <xf numFmtId="0" fontId="8" fillId="2" borderId="30" xfId="0" applyFont="1" applyFill="1" applyBorder="1" applyAlignment="1">
      <alignment horizontal="center"/>
    </xf>
    <xf numFmtId="0" fontId="8" fillId="3" borderId="28" xfId="0" applyFont="1" applyFill="1" applyBorder="1" applyAlignment="1">
      <alignment horizontal="center"/>
    </xf>
    <xf numFmtId="0" fontId="8" fillId="3" borderId="35" xfId="0" applyFont="1" applyFill="1" applyBorder="1" applyAlignment="1">
      <alignment horizontal="center"/>
    </xf>
    <xf numFmtId="0" fontId="8" fillId="4" borderId="45" xfId="0" applyFont="1" applyFill="1" applyBorder="1" applyAlignment="1">
      <alignment horizontal="center"/>
    </xf>
    <xf numFmtId="0" fontId="8" fillId="4" borderId="28" xfId="0" applyFont="1" applyFill="1" applyBorder="1" applyAlignment="1">
      <alignment horizontal="center"/>
    </xf>
    <xf numFmtId="0" fontId="8" fillId="4" borderId="29" xfId="0" applyFont="1" applyFill="1" applyBorder="1" applyAlignment="1">
      <alignment horizontal="center"/>
    </xf>
    <xf numFmtId="0" fontId="25" fillId="0" borderId="0" xfId="0" quotePrefix="1" applyFont="1" applyBorder="1" applyAlignment="1">
      <alignment wrapText="1"/>
    </xf>
    <xf numFmtId="0" fontId="25" fillId="0" borderId="0" xfId="0" applyFont="1" applyBorder="1" applyAlignment="1">
      <alignment wrapText="1"/>
    </xf>
    <xf numFmtId="0" fontId="0" fillId="9" borderId="0" xfId="0" applyFill="1" applyBorder="1" applyAlignment="1">
      <alignment wrapText="1"/>
    </xf>
    <xf numFmtId="0" fontId="0" fillId="9" borderId="0" xfId="0" applyFill="1" applyBorder="1"/>
    <xf numFmtId="0" fontId="3" fillId="9" borderId="0" xfId="0" applyFont="1" applyFill="1" applyBorder="1" applyAlignment="1">
      <alignment horizontal="center" vertical="center" wrapText="1"/>
    </xf>
    <xf numFmtId="0" fontId="4" fillId="9" borderId="0" xfId="0" applyFont="1" applyFill="1" applyBorder="1" applyAlignment="1">
      <alignment wrapText="1"/>
    </xf>
    <xf numFmtId="0" fontId="0" fillId="9" borderId="0" xfId="0" applyFont="1" applyFill="1" applyBorder="1" applyAlignment="1">
      <alignment wrapText="1"/>
    </xf>
    <xf numFmtId="0" fontId="0" fillId="9" borderId="0" xfId="0" applyFill="1" applyBorder="1" applyAlignment="1">
      <alignment horizontal="left" wrapText="1" indent="1"/>
    </xf>
    <xf numFmtId="0" fontId="25" fillId="9" borderId="0" xfId="0" quotePrefix="1" applyFont="1" applyFill="1" applyBorder="1" applyAlignment="1">
      <alignment wrapText="1"/>
    </xf>
    <xf numFmtId="0" fontId="25" fillId="9" borderId="0" xfId="0" applyFont="1" applyFill="1" applyBorder="1" applyAlignment="1">
      <alignment wrapText="1"/>
    </xf>
    <xf numFmtId="0" fontId="0" fillId="9" borderId="0" xfId="0" applyFill="1" applyBorder="1" applyAlignment="1">
      <alignment horizontal="left" wrapText="1" indent="2"/>
    </xf>
  </cellXfs>
  <cellStyles count="9">
    <cellStyle name="Comma" xfId="1" builtinId="3"/>
    <cellStyle name="Comma 2" xfId="3" xr:uid="{00000000-0005-0000-0000-000001000000}"/>
    <cellStyle name="Currency" xfId="8" builtinId="4"/>
    <cellStyle name="Currency 2" xfId="4" xr:uid="{00000000-0005-0000-0000-000003000000}"/>
    <cellStyle name="Normal" xfId="0" builtinId="0"/>
    <cellStyle name="Normal 3" xfId="5" xr:uid="{00000000-0005-0000-0000-000005000000}"/>
    <cellStyle name="Normal 8" xfId="6" xr:uid="{00000000-0005-0000-0000-000006000000}"/>
    <cellStyle name="Percent" xfId="2" builtinId="5"/>
    <cellStyle name="Percent 2" xfId="7" xr:uid="{00000000-0005-0000-0000-000008000000}"/>
  </cellStyles>
  <dxfs count="0"/>
  <tableStyles count="0" defaultTableStyle="TableStyleMedium9" defaultPivotStyle="PivotStyleLight16"/>
  <colors>
    <mruColors>
      <color rgb="FF0000FF"/>
      <color rgb="FF244062"/>
      <color rgb="FFFFFFCC"/>
      <color rgb="FFFFFFEF"/>
      <color rgb="FFFFFFFF"/>
      <color rgb="FFFFF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t>Growth in Company and Stakeholder Value Over Time</a:t>
            </a:r>
          </a:p>
        </c:rich>
      </c:tx>
      <c:layout>
        <c:manualLayout>
          <c:xMode val="edge"/>
          <c:yMode val="edge"/>
          <c:x val="0.28210812246838279"/>
          <c:y val="3.3437754024968763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1328084353530639E-2"/>
          <c:y val="0.12384738709691745"/>
          <c:w val="0.89694327426223108"/>
          <c:h val="0.76863521501436682"/>
        </c:manualLayout>
      </c:layout>
      <c:barChart>
        <c:barDir val="col"/>
        <c:grouping val="stacked"/>
        <c:varyColors val="0"/>
        <c:ser>
          <c:idx val="0"/>
          <c:order val="0"/>
          <c:tx>
            <c:strRef>
              <c:f>'Value Growth'!$B$48</c:f>
              <c:strCache>
                <c:ptCount val="1"/>
                <c:pt idx="0">
                  <c:v>Employees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 Growth'!$C$46,'Value Growth'!$F$46)</c:f>
              <c:strCache>
                <c:ptCount val="2"/>
                <c:pt idx="0">
                  <c:v>Series A </c:v>
                </c:pt>
                <c:pt idx="1">
                  <c:v>Series B</c:v>
                </c:pt>
              </c:strCache>
            </c:strRef>
          </c:cat>
          <c:val>
            <c:numRef>
              <c:f>('Value Growth'!$E$48,'Value Growth'!$H$48)</c:f>
              <c:numCache>
                <c:formatCode>_("$"* #,##0_);_("$"* \(#,##0\);_("$"* "-"??_);_(@_)</c:formatCode>
                <c:ptCount val="2"/>
                <c:pt idx="0">
                  <c:v>4890000</c:v>
                </c:pt>
                <c:pt idx="1">
                  <c:v>7829960.1621967694</c:v>
                </c:pt>
              </c:numCache>
            </c:numRef>
          </c:val>
          <c:extLst>
            <c:ext xmlns:c16="http://schemas.microsoft.com/office/drawing/2014/chart" uri="{C3380CC4-5D6E-409C-BE32-E72D297353CC}">
              <c16:uniqueId val="{00000000-DEED-4B2D-8AD4-F5B6C0A95E8B}"/>
            </c:ext>
          </c:extLst>
        </c:ser>
        <c:ser>
          <c:idx val="1"/>
          <c:order val="1"/>
          <c:tx>
            <c:strRef>
              <c:f>'Value Growth'!$B$49</c:f>
              <c:strCache>
                <c:ptCount val="1"/>
                <c:pt idx="0">
                  <c:v>Advisors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 Growth'!$C$46,'Value Growth'!$F$46)</c:f>
              <c:strCache>
                <c:ptCount val="2"/>
                <c:pt idx="0">
                  <c:v>Series A </c:v>
                </c:pt>
                <c:pt idx="1">
                  <c:v>Series B</c:v>
                </c:pt>
              </c:strCache>
            </c:strRef>
          </c:cat>
          <c:val>
            <c:numRef>
              <c:f>('Value Growth'!$E$49,'Value Growth'!$H$49)</c:f>
              <c:numCache>
                <c:formatCode>_("$"* #,##0_);_("$"* \(#,##0\);_("$"* "-"??_);_(@_)</c:formatCode>
                <c:ptCount val="2"/>
                <c:pt idx="0">
                  <c:v>60000</c:v>
                </c:pt>
                <c:pt idx="1">
                  <c:v>96073.130824500244</c:v>
                </c:pt>
              </c:numCache>
            </c:numRef>
          </c:val>
          <c:extLst>
            <c:ext xmlns:c16="http://schemas.microsoft.com/office/drawing/2014/chart" uri="{C3380CC4-5D6E-409C-BE32-E72D297353CC}">
              <c16:uniqueId val="{00000001-DEED-4B2D-8AD4-F5B6C0A95E8B}"/>
            </c:ext>
          </c:extLst>
        </c:ser>
        <c:ser>
          <c:idx val="2"/>
          <c:order val="2"/>
          <c:tx>
            <c:strRef>
              <c:f>'Value Growth'!$B$50</c:f>
              <c:strCache>
                <c:ptCount val="1"/>
                <c:pt idx="0">
                  <c:v>Option Pool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 Growth'!$C$46,'Value Growth'!$F$46)</c:f>
              <c:strCache>
                <c:ptCount val="2"/>
                <c:pt idx="0">
                  <c:v>Series A </c:v>
                </c:pt>
                <c:pt idx="1">
                  <c:v>Series B</c:v>
                </c:pt>
              </c:strCache>
            </c:strRef>
          </c:cat>
          <c:val>
            <c:numRef>
              <c:f>('Value Growth'!$E$50,'Value Growth'!$H$50)</c:f>
              <c:numCache>
                <c:formatCode>_("$"* #,##0_);_("$"* \(#,##0\);_("$"* "-"??_);_(@_)</c:formatCode>
                <c:ptCount val="2"/>
                <c:pt idx="0">
                  <c:v>1050000</c:v>
                </c:pt>
                <c:pt idx="1">
                  <c:v>2882193.9247350073</c:v>
                </c:pt>
              </c:numCache>
            </c:numRef>
          </c:val>
          <c:extLst>
            <c:ext xmlns:c16="http://schemas.microsoft.com/office/drawing/2014/chart" uri="{C3380CC4-5D6E-409C-BE32-E72D297353CC}">
              <c16:uniqueId val="{00000002-DEED-4B2D-8AD4-F5B6C0A95E8B}"/>
            </c:ext>
          </c:extLst>
        </c:ser>
        <c:ser>
          <c:idx val="3"/>
          <c:order val="3"/>
          <c:tx>
            <c:strRef>
              <c:f>'Value Growth'!$B$51</c:f>
              <c:strCache>
                <c:ptCount val="1"/>
                <c:pt idx="0">
                  <c:v>Angel Investors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 Growth'!$C$46,'Value Growth'!$F$46)</c:f>
              <c:strCache>
                <c:ptCount val="2"/>
                <c:pt idx="0">
                  <c:v>Series A </c:v>
                </c:pt>
                <c:pt idx="1">
                  <c:v>Series B</c:v>
                </c:pt>
              </c:strCache>
            </c:strRef>
          </c:cat>
          <c:val>
            <c:numRef>
              <c:f>('Value Growth'!$E$51,'Value Growth'!$H$51)</c:f>
              <c:numCache>
                <c:formatCode>_("$"* #,##0_);_("$"* \(#,##0\);_("$"* "-"??_);_(@_)</c:formatCode>
                <c:ptCount val="2"/>
                <c:pt idx="0">
                  <c:v>1803698.630136986</c:v>
                </c:pt>
                <c:pt idx="1">
                  <c:v>2888116.2410187088</c:v>
                </c:pt>
              </c:numCache>
            </c:numRef>
          </c:val>
          <c:extLst>
            <c:ext xmlns:c16="http://schemas.microsoft.com/office/drawing/2014/chart" uri="{C3380CC4-5D6E-409C-BE32-E72D297353CC}">
              <c16:uniqueId val="{00000003-DEED-4B2D-8AD4-F5B6C0A95E8B}"/>
            </c:ext>
          </c:extLst>
        </c:ser>
        <c:ser>
          <c:idx val="4"/>
          <c:order val="4"/>
          <c:tx>
            <c:strRef>
              <c:f>'Value Growth'!$B$52</c:f>
              <c:strCache>
                <c:ptCount val="1"/>
                <c:pt idx="0">
                  <c:v>Srs A Investors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 Growth'!$C$46,'Value Growth'!$F$46)</c:f>
              <c:strCache>
                <c:ptCount val="2"/>
                <c:pt idx="0">
                  <c:v>Series A </c:v>
                </c:pt>
                <c:pt idx="1">
                  <c:v>Series B</c:v>
                </c:pt>
              </c:strCache>
            </c:strRef>
          </c:cat>
          <c:val>
            <c:numRef>
              <c:f>('Value Growth'!$E$52,'Value Growth'!$H$52)</c:f>
              <c:numCache>
                <c:formatCode>_("$"* #,##0_);_("$"* \(#,##0\);_("$"* "-"??_);_(@_)</c:formatCode>
                <c:ptCount val="2"/>
                <c:pt idx="0">
                  <c:v>3000000</c:v>
                </c:pt>
                <c:pt idx="1">
                  <c:v>5803656.5412250124</c:v>
                </c:pt>
              </c:numCache>
            </c:numRef>
          </c:val>
          <c:extLst>
            <c:ext xmlns:c16="http://schemas.microsoft.com/office/drawing/2014/chart" uri="{C3380CC4-5D6E-409C-BE32-E72D297353CC}">
              <c16:uniqueId val="{00000004-DEED-4B2D-8AD4-F5B6C0A95E8B}"/>
            </c:ext>
          </c:extLst>
        </c:ser>
        <c:ser>
          <c:idx val="5"/>
          <c:order val="5"/>
          <c:tx>
            <c:strRef>
              <c:f>'Value Growth'!$B$53</c:f>
              <c:strCache>
                <c:ptCount val="1"/>
                <c:pt idx="0">
                  <c:v>Srs B Investors</c:v>
                </c:pt>
              </c:strCache>
            </c:strRef>
          </c:tx>
          <c:spPr>
            <a:solidFill>
              <a:schemeClr val="accent6"/>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DEED-4B2D-8AD4-F5B6C0A95E8B}"/>
                </c:ext>
              </c:extLst>
            </c:dLbl>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('Value Growth'!$C$46,'Value Growth'!$F$46)</c:f>
              <c:strCache>
                <c:ptCount val="2"/>
                <c:pt idx="0">
                  <c:v>Series A </c:v>
                </c:pt>
                <c:pt idx="1">
                  <c:v>Series B</c:v>
                </c:pt>
              </c:strCache>
            </c:strRef>
          </c:cat>
          <c:val>
            <c:numRef>
              <c:f>('Value Growth'!$E$53,'Value Growth'!$H$53)</c:f>
              <c:numCache>
                <c:formatCode>_("$"* #,##0_);_("$"* \(#,##0\);_("$"* "-"??_);_(@_)</c:formatCode>
                <c:ptCount val="2"/>
                <c:pt idx="0">
                  <c:v>0</c:v>
                </c:pt>
                <c:pt idx="1">
                  <c:v>8500000</c:v>
                </c:pt>
              </c:numCache>
            </c:numRef>
          </c:val>
          <c:extLst>
            <c:ext xmlns:c16="http://schemas.microsoft.com/office/drawing/2014/chart" uri="{C3380CC4-5D6E-409C-BE32-E72D297353CC}">
              <c16:uniqueId val="{00000006-DEED-4B2D-8AD4-F5B6C0A95E8B}"/>
            </c:ext>
          </c:extLst>
        </c:ser>
        <c:dLbls>
          <c:showLegendKey val="0"/>
          <c:showVal val="0"/>
          <c:showCatName val="0"/>
          <c:showSerName val="0"/>
          <c:showPercent val="0"/>
          <c:showBubbleSize val="0"/>
        </c:dLbls>
        <c:gapWidth val="150"/>
        <c:overlap val="100"/>
        <c:axId val="219568168"/>
        <c:axId val="219701648"/>
      </c:barChart>
      <c:catAx>
        <c:axId val="219568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19701648"/>
        <c:crosses val="autoZero"/>
        <c:auto val="1"/>
        <c:lblAlgn val="ctr"/>
        <c:lblOffset val="100"/>
        <c:noMultiLvlLbl val="0"/>
      </c:catAx>
      <c:valAx>
        <c:axId val="21970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Value ($)</a:t>
                </a:r>
              </a:p>
            </c:rich>
          </c:tx>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19568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12700" cap="flat" cmpd="sng" algn="ctr">
      <a:solidFill>
        <a:schemeClr val="tx1"/>
      </a:solidFill>
      <a:round/>
    </a:ln>
    <a:effectLst/>
  </c:spPr>
  <c:txPr>
    <a:bodyPr/>
    <a:lstStyle/>
    <a:p>
      <a:pPr>
        <a:defRPr sz="1050" b="1">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2231995</xdr:colOff>
      <xdr:row>2</xdr:row>
      <xdr:rowOff>15875</xdr:rowOff>
    </xdr:from>
    <xdr:to>
      <xdr:col>1</xdr:col>
      <xdr:colOff>4378355</xdr:colOff>
      <xdr:row>7</xdr:row>
      <xdr:rowOff>17145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335733" y="336519"/>
          <a:ext cx="2146360" cy="80287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2221279</xdr:colOff>
      <xdr:row>2</xdr:row>
      <xdr:rowOff>15875</xdr:rowOff>
    </xdr:from>
    <xdr:to>
      <xdr:col>1</xdr:col>
      <xdr:colOff>4389071</xdr:colOff>
      <xdr:row>7</xdr:row>
      <xdr:rowOff>17145</xdr:rowOff>
    </xdr:to>
    <xdr:pic>
      <xdr:nvPicPr>
        <xdr:cNvPr id="2" name="Picture 1">
          <a:extLst>
            <a:ext uri="{FF2B5EF4-FFF2-40B4-BE49-F238E27FC236}">
              <a16:creationId xmlns:a16="http://schemas.microsoft.com/office/drawing/2014/main" id="{7B7DF073-E5E7-46D7-B5DD-2DE4CDF75A5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326054" y="339725"/>
          <a:ext cx="2167792" cy="81089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339676</xdr:colOff>
      <xdr:row>0</xdr:row>
      <xdr:rowOff>23812</xdr:rowOff>
    </xdr:from>
    <xdr:to>
      <xdr:col>1</xdr:col>
      <xdr:colOff>762842</xdr:colOff>
      <xdr:row>4</xdr:row>
      <xdr:rowOff>88871</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339676" y="23812"/>
          <a:ext cx="2156716" cy="808009"/>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408599</xdr:colOff>
      <xdr:row>0</xdr:row>
      <xdr:rowOff>58412</xdr:rowOff>
    </xdr:from>
    <xdr:to>
      <xdr:col>2</xdr:col>
      <xdr:colOff>391499</xdr:colOff>
      <xdr:row>5</xdr:row>
      <xdr:rowOff>32497</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08599" y="58412"/>
          <a:ext cx="2078400" cy="758497"/>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450634</xdr:colOff>
      <xdr:row>0</xdr:row>
      <xdr:rowOff>128705</xdr:rowOff>
    </xdr:from>
    <xdr:to>
      <xdr:col>1</xdr:col>
      <xdr:colOff>899535</xdr:colOff>
      <xdr:row>5</xdr:row>
      <xdr:rowOff>3764</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50634" y="128705"/>
          <a:ext cx="2177512" cy="8158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379896</xdr:colOff>
      <xdr:row>0</xdr:row>
      <xdr:rowOff>85725</xdr:rowOff>
    </xdr:from>
    <xdr:to>
      <xdr:col>1</xdr:col>
      <xdr:colOff>804113</xdr:colOff>
      <xdr:row>4</xdr:row>
      <xdr:rowOff>147609</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379896" y="85725"/>
          <a:ext cx="2148242" cy="804834"/>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xdr:colOff>
      <xdr:row>5</xdr:row>
      <xdr:rowOff>123825</xdr:rowOff>
    </xdr:from>
    <xdr:to>
      <xdr:col>13</xdr:col>
      <xdr:colOff>152400</xdr:colOff>
      <xdr:row>43</xdr:row>
      <xdr:rowOff>152400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213416</xdr:colOff>
      <xdr:row>0</xdr:row>
      <xdr:rowOff>115221</xdr:rowOff>
    </xdr:from>
    <xdr:to>
      <xdr:col>3</xdr:col>
      <xdr:colOff>250379</xdr:colOff>
      <xdr:row>5</xdr:row>
      <xdr:rowOff>111045</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336319" y="115221"/>
          <a:ext cx="2141681" cy="802376"/>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412280</xdr:colOff>
      <xdr:row>0</xdr:row>
      <xdr:rowOff>104775</xdr:rowOff>
    </xdr:from>
    <xdr:to>
      <xdr:col>2</xdr:col>
      <xdr:colOff>286219</xdr:colOff>
      <xdr:row>5</xdr:row>
      <xdr:rowOff>122209</xdr:rowOff>
    </xdr:to>
    <xdr:pic>
      <xdr:nvPicPr>
        <xdr:cNvPr id="2" name="Picture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12280" y="104775"/>
          <a:ext cx="2207564" cy="827059"/>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477368</xdr:colOff>
      <xdr:row>0</xdr:row>
      <xdr:rowOff>123825</xdr:rowOff>
    </xdr:from>
    <xdr:to>
      <xdr:col>2</xdr:col>
      <xdr:colOff>284632</xdr:colOff>
      <xdr:row>5</xdr:row>
      <xdr:rowOff>141259</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77368" y="123825"/>
          <a:ext cx="2207564" cy="8270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pageSetUpPr autoPageBreaks="0" fitToPage="1"/>
  </sheetPr>
  <dimension ref="B14:B60"/>
  <sheetViews>
    <sheetView showGridLines="0" tabSelected="1" zoomScale="101" zoomScaleNormal="85" workbookViewId="0">
      <selection activeCell="B19" sqref="B19"/>
    </sheetView>
  </sheetViews>
  <sheetFormatPr defaultRowHeight="12.75" x14ac:dyDescent="0.2"/>
  <cols>
    <col min="1" max="1" width="1.375" customWidth="1"/>
    <col min="2" max="2" width="123.5" style="345" customWidth="1"/>
  </cols>
  <sheetData>
    <row r="14" spans="2:2" ht="33.75" customHeight="1" thickBot="1" x14ac:dyDescent="0.25">
      <c r="B14" s="342" t="s">
        <v>8</v>
      </c>
    </row>
    <row r="17" spans="2:2" x14ac:dyDescent="0.2">
      <c r="B17" s="343"/>
    </row>
    <row r="18" spans="2:2" x14ac:dyDescent="0.2">
      <c r="B18" s="344"/>
    </row>
    <row r="22" spans="2:2" x14ac:dyDescent="0.2">
      <c r="B22" s="346"/>
    </row>
    <row r="23" spans="2:2" x14ac:dyDescent="0.2">
      <c r="B23" s="347"/>
    </row>
    <row r="24" spans="2:2" x14ac:dyDescent="0.2">
      <c r="B24" s="347"/>
    </row>
    <row r="25" spans="2:2" x14ac:dyDescent="0.2">
      <c r="B25" s="347"/>
    </row>
    <row r="26" spans="2:2" x14ac:dyDescent="0.2">
      <c r="B26" s="346"/>
    </row>
    <row r="27" spans="2:2" x14ac:dyDescent="0.2">
      <c r="B27" s="346"/>
    </row>
    <row r="28" spans="2:2" x14ac:dyDescent="0.2">
      <c r="B28" s="347"/>
    </row>
    <row r="29" spans="2:2" x14ac:dyDescent="0.2">
      <c r="B29" s="347"/>
    </row>
    <row r="30" spans="2:2" x14ac:dyDescent="0.2">
      <c r="B30" s="346"/>
    </row>
    <row r="31" spans="2:2" x14ac:dyDescent="0.2">
      <c r="B31" s="355"/>
    </row>
    <row r="32" spans="2:2" x14ac:dyDescent="0.2">
      <c r="B32" s="347"/>
    </row>
    <row r="33" spans="2:2" x14ac:dyDescent="0.2">
      <c r="B33" s="347"/>
    </row>
    <row r="34" spans="2:2" x14ac:dyDescent="0.2">
      <c r="B34" s="347"/>
    </row>
    <row r="35" spans="2:2" x14ac:dyDescent="0.2">
      <c r="B35" s="346"/>
    </row>
    <row r="36" spans="2:2" x14ac:dyDescent="0.2">
      <c r="B36" s="356"/>
    </row>
    <row r="37" spans="2:2" x14ac:dyDescent="0.2">
      <c r="B37" s="347"/>
    </row>
    <row r="38" spans="2:2" x14ac:dyDescent="0.2">
      <c r="B38" s="347"/>
    </row>
    <row r="39" spans="2:2" x14ac:dyDescent="0.2">
      <c r="B39" s="347"/>
    </row>
    <row r="40" spans="2:2" x14ac:dyDescent="0.2">
      <c r="B40" s="346"/>
    </row>
    <row r="41" spans="2:2" x14ac:dyDescent="0.2">
      <c r="B41" s="356"/>
    </row>
    <row r="42" spans="2:2" x14ac:dyDescent="0.2">
      <c r="B42" s="347"/>
    </row>
    <row r="43" spans="2:2" x14ac:dyDescent="0.2">
      <c r="B43" s="347"/>
    </row>
    <row r="44" spans="2:2" x14ac:dyDescent="0.2">
      <c r="B44" s="346"/>
    </row>
    <row r="45" spans="2:2" x14ac:dyDescent="0.2">
      <c r="B45" s="356"/>
    </row>
    <row r="46" spans="2:2" x14ac:dyDescent="0.2">
      <c r="B46" s="347"/>
    </row>
    <row r="47" spans="2:2" x14ac:dyDescent="0.2">
      <c r="B47" s="347"/>
    </row>
    <row r="48" spans="2:2" x14ac:dyDescent="0.2">
      <c r="B48" s="347"/>
    </row>
    <row r="49" spans="2:2" x14ac:dyDescent="0.2">
      <c r="B49" s="347"/>
    </row>
    <row r="50" spans="2:2" x14ac:dyDescent="0.2">
      <c r="B50" s="346"/>
    </row>
    <row r="51" spans="2:2" x14ac:dyDescent="0.2">
      <c r="B51" s="346"/>
    </row>
    <row r="52" spans="2:2" x14ac:dyDescent="0.2">
      <c r="B52" s="346"/>
    </row>
    <row r="53" spans="2:2" x14ac:dyDescent="0.2">
      <c r="B53" s="346"/>
    </row>
    <row r="54" spans="2:2" x14ac:dyDescent="0.2">
      <c r="B54" s="346"/>
    </row>
    <row r="55" spans="2:2" x14ac:dyDescent="0.2">
      <c r="B55" s="346"/>
    </row>
    <row r="56" spans="2:2" x14ac:dyDescent="0.2">
      <c r="B56" s="346"/>
    </row>
    <row r="57" spans="2:2" x14ac:dyDescent="0.2">
      <c r="B57" s="346"/>
    </row>
    <row r="58" spans="2:2" x14ac:dyDescent="0.2">
      <c r="B58" s="346"/>
    </row>
    <row r="59" spans="2:2" x14ac:dyDescent="0.2">
      <c r="B59" s="346"/>
    </row>
    <row r="60" spans="2:2" x14ac:dyDescent="0.2">
      <c r="B60" s="346"/>
    </row>
  </sheetData>
  <pageMargins left="0.7" right="0.7" top="0.75" bottom="0.75" header="0.3" footer="0.3"/>
  <pageSetup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CD83-1BF9-44AE-9745-A43607888C1B}">
  <sheetPr>
    <tabColor theme="5" tint="-0.249977111117893"/>
  </sheetPr>
  <dimension ref="B14:B49"/>
  <sheetViews>
    <sheetView topLeftCell="A9" zoomScale="85" zoomScaleNormal="85" workbookViewId="0">
      <selection activeCell="B37" sqref="B37"/>
    </sheetView>
  </sheetViews>
  <sheetFormatPr defaultRowHeight="12.75" x14ac:dyDescent="0.2"/>
  <cols>
    <col min="1" max="1" width="1.375" style="358" customWidth="1"/>
    <col min="2" max="2" width="164.5" style="357" customWidth="1"/>
    <col min="3" max="16384" width="9" style="358"/>
  </cols>
  <sheetData>
    <row r="14" spans="2:2" ht="15" customHeight="1" x14ac:dyDescent="0.2">
      <c r="B14" s="359"/>
    </row>
    <row r="17" spans="2:2" x14ac:dyDescent="0.2">
      <c r="B17" s="360" t="s">
        <v>33</v>
      </c>
    </row>
    <row r="18" spans="2:2" x14ac:dyDescent="0.2">
      <c r="B18" s="361" t="s">
        <v>0</v>
      </c>
    </row>
    <row r="22" spans="2:2" x14ac:dyDescent="0.2">
      <c r="B22" s="357" t="s">
        <v>139</v>
      </c>
    </row>
    <row r="23" spans="2:2" x14ac:dyDescent="0.2">
      <c r="B23" s="362" t="s">
        <v>140</v>
      </c>
    </row>
    <row r="24" spans="2:2" x14ac:dyDescent="0.2">
      <c r="B24" s="362" t="s">
        <v>141</v>
      </c>
    </row>
    <row r="25" spans="2:2" x14ac:dyDescent="0.2">
      <c r="B25" s="362" t="s">
        <v>142</v>
      </c>
    </row>
    <row r="27" spans="2:2" x14ac:dyDescent="0.2">
      <c r="B27" s="357" t="s">
        <v>143</v>
      </c>
    </row>
    <row r="28" spans="2:2" ht="25.5" x14ac:dyDescent="0.2">
      <c r="B28" s="362" t="s">
        <v>144</v>
      </c>
    </row>
    <row r="29" spans="2:2" x14ac:dyDescent="0.2">
      <c r="B29" s="362" t="s">
        <v>145</v>
      </c>
    </row>
    <row r="31" spans="2:2" x14ac:dyDescent="0.2">
      <c r="B31" s="363" t="s">
        <v>161</v>
      </c>
    </row>
    <row r="32" spans="2:2" ht="25.5" x14ac:dyDescent="0.2">
      <c r="B32" s="365" t="s">
        <v>146</v>
      </c>
    </row>
    <row r="33" spans="2:2" x14ac:dyDescent="0.2">
      <c r="B33" s="365" t="s">
        <v>147</v>
      </c>
    </row>
    <row r="34" spans="2:2" x14ac:dyDescent="0.2">
      <c r="B34" s="365" t="s">
        <v>148</v>
      </c>
    </row>
    <row r="36" spans="2:2" x14ac:dyDescent="0.2">
      <c r="B36" s="364" t="s">
        <v>149</v>
      </c>
    </row>
    <row r="37" spans="2:2" x14ac:dyDescent="0.2">
      <c r="B37" s="365" t="s">
        <v>150</v>
      </c>
    </row>
    <row r="38" spans="2:2" ht="38.25" x14ac:dyDescent="0.2">
      <c r="B38" s="365" t="s">
        <v>151</v>
      </c>
    </row>
    <row r="39" spans="2:2" ht="25.5" x14ac:dyDescent="0.2">
      <c r="B39" s="365" t="s">
        <v>152</v>
      </c>
    </row>
    <row r="41" spans="2:2" x14ac:dyDescent="0.2">
      <c r="B41" s="364" t="s">
        <v>153</v>
      </c>
    </row>
    <row r="42" spans="2:2" ht="38.25" x14ac:dyDescent="0.2">
      <c r="B42" s="365" t="s">
        <v>154</v>
      </c>
    </row>
    <row r="43" spans="2:2" ht="51" x14ac:dyDescent="0.2">
      <c r="B43" s="365" t="s">
        <v>155</v>
      </c>
    </row>
    <row r="45" spans="2:2" x14ac:dyDescent="0.2">
      <c r="B45" s="364" t="s">
        <v>156</v>
      </c>
    </row>
    <row r="46" spans="2:2" ht="25.5" x14ac:dyDescent="0.2">
      <c r="B46" s="362" t="s">
        <v>157</v>
      </c>
    </row>
    <row r="47" spans="2:2" ht="25.5" x14ac:dyDescent="0.2">
      <c r="B47" s="362" t="s">
        <v>158</v>
      </c>
    </row>
    <row r="48" spans="2:2" ht="25.5" x14ac:dyDescent="0.2">
      <c r="B48" s="362" t="s">
        <v>159</v>
      </c>
    </row>
    <row r="49" spans="2:2" ht="38.25" x14ac:dyDescent="0.2">
      <c r="B49" s="362" t="s">
        <v>160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499984740745262"/>
  </sheetPr>
  <dimension ref="A1:O34"/>
  <sheetViews>
    <sheetView showGridLines="0" zoomScaleNormal="100" workbookViewId="0">
      <selection activeCell="G6" sqref="G6"/>
    </sheetView>
  </sheetViews>
  <sheetFormatPr defaultColWidth="9" defaultRowHeight="12.75" x14ac:dyDescent="0.2"/>
  <cols>
    <col min="1" max="1" width="22.75" style="4" customWidth="1"/>
    <col min="2" max="5" width="13" style="4" customWidth="1"/>
    <col min="6" max="6" width="2.875" style="3" customWidth="1"/>
    <col min="7" max="9" width="13" style="4" customWidth="1"/>
    <col min="10" max="14" width="9" style="4"/>
    <col min="15" max="15" width="12.375" style="4" customWidth="1"/>
    <col min="16" max="16384" width="9" style="4"/>
  </cols>
  <sheetData>
    <row r="1" spans="1:6" ht="20.25" x14ac:dyDescent="0.3">
      <c r="A1" s="1"/>
      <c r="B1" s="2"/>
      <c r="C1" s="2"/>
      <c r="D1" s="2"/>
      <c r="E1" s="2"/>
    </row>
    <row r="2" spans="1:6" x14ac:dyDescent="0.2">
      <c r="A2" s="5"/>
      <c r="B2" s="2"/>
      <c r="C2" s="2"/>
      <c r="D2" s="2"/>
      <c r="E2" s="2"/>
    </row>
    <row r="3" spans="1:6" x14ac:dyDescent="0.2">
      <c r="A3" s="2"/>
      <c r="B3" s="2"/>
      <c r="C3" s="2"/>
      <c r="D3" s="2"/>
      <c r="E3" s="2"/>
    </row>
    <row r="4" spans="1:6" x14ac:dyDescent="0.2">
      <c r="A4" s="2"/>
      <c r="B4" s="2"/>
      <c r="C4" s="2"/>
      <c r="D4" s="2"/>
      <c r="E4" s="2"/>
    </row>
    <row r="5" spans="1:6" ht="14.25" x14ac:dyDescent="0.2">
      <c r="A5" s="6"/>
      <c r="B5" s="3"/>
      <c r="C5" s="3"/>
      <c r="D5" s="3"/>
      <c r="E5" s="3"/>
    </row>
    <row r="6" spans="1:6" ht="15" customHeight="1" thickBot="1" x14ac:dyDescent="0.3">
      <c r="A6" s="7"/>
      <c r="B6" s="8"/>
      <c r="C6" s="8"/>
      <c r="D6" s="8"/>
      <c r="E6" s="8"/>
      <c r="F6" s="8"/>
    </row>
    <row r="7" spans="1:6" ht="15" x14ac:dyDescent="0.25">
      <c r="A7" s="315" t="s">
        <v>131</v>
      </c>
      <c r="B7" s="315"/>
      <c r="C7" s="315"/>
      <c r="D7" s="315"/>
      <c r="E7" s="316"/>
      <c r="F7" s="11"/>
    </row>
    <row r="8" spans="1:6" ht="15" customHeight="1" x14ac:dyDescent="0.2">
      <c r="A8" s="348" t="s">
        <v>3</v>
      </c>
      <c r="B8" s="12" t="s">
        <v>4</v>
      </c>
      <c r="C8" s="12" t="s">
        <v>4</v>
      </c>
      <c r="D8" s="12"/>
      <c r="E8" s="99"/>
      <c r="F8" s="13"/>
    </row>
    <row r="9" spans="1:6" ht="15" customHeight="1" x14ac:dyDescent="0.2">
      <c r="A9" s="349"/>
      <c r="B9" s="14" t="s">
        <v>6</v>
      </c>
      <c r="C9" s="14" t="s">
        <v>12</v>
      </c>
      <c r="D9" s="14" t="s">
        <v>45</v>
      </c>
      <c r="E9" s="100" t="s">
        <v>63</v>
      </c>
      <c r="F9" s="13"/>
    </row>
    <row r="10" spans="1:6" s="3" customFormat="1" ht="15" customHeight="1" x14ac:dyDescent="0.25">
      <c r="A10" s="112" t="s">
        <v>9</v>
      </c>
      <c r="B10" s="120">
        <v>7500000</v>
      </c>
      <c r="C10" s="15">
        <v>0</v>
      </c>
      <c r="D10" s="16">
        <f>B10+C10</f>
        <v>7500000</v>
      </c>
      <c r="E10" s="101">
        <f t="shared" ref="E10:E18" si="0">D10/$D$18</f>
        <v>0.42857142857142855</v>
      </c>
      <c r="F10" s="17"/>
    </row>
    <row r="11" spans="1:6" s="3" customFormat="1" ht="15" customHeight="1" x14ac:dyDescent="0.25">
      <c r="A11" s="112" t="s">
        <v>10</v>
      </c>
      <c r="B11" s="15">
        <v>1750000</v>
      </c>
      <c r="C11" s="15">
        <v>2500000</v>
      </c>
      <c r="D11" s="16">
        <f t="shared" ref="D11:D17" si="1">B11+C11</f>
        <v>4250000</v>
      </c>
      <c r="E11" s="101">
        <f t="shared" si="0"/>
        <v>0.24285714285714285</v>
      </c>
      <c r="F11" s="17"/>
    </row>
    <row r="12" spans="1:6" s="3" customFormat="1" ht="15" customHeight="1" x14ac:dyDescent="0.25">
      <c r="A12" s="112" t="s">
        <v>11</v>
      </c>
      <c r="B12" s="15">
        <v>0</v>
      </c>
      <c r="C12" s="15">
        <v>2000000</v>
      </c>
      <c r="D12" s="16">
        <f t="shared" si="1"/>
        <v>2000000</v>
      </c>
      <c r="E12" s="101">
        <f t="shared" si="0"/>
        <v>0.11428571428571428</v>
      </c>
      <c r="F12" s="17"/>
    </row>
    <row r="13" spans="1:6" s="3" customFormat="1" ht="15" customHeight="1" x14ac:dyDescent="0.25">
      <c r="A13" s="112" t="s">
        <v>121</v>
      </c>
      <c r="B13" s="15">
        <v>750000</v>
      </c>
      <c r="C13" s="15">
        <v>1800000</v>
      </c>
      <c r="D13" s="16">
        <f>B13+C13</f>
        <v>2550000</v>
      </c>
      <c r="E13" s="101">
        <f t="shared" si="0"/>
        <v>0.14571428571428571</v>
      </c>
      <c r="F13" s="17"/>
    </row>
    <row r="14" spans="1:6" s="3" customFormat="1" ht="15" customHeight="1" x14ac:dyDescent="0.25">
      <c r="A14" s="112" t="s">
        <v>84</v>
      </c>
      <c r="B14" s="15">
        <v>0</v>
      </c>
      <c r="C14" s="15">
        <v>50000</v>
      </c>
      <c r="D14" s="16">
        <f t="shared" si="1"/>
        <v>50000</v>
      </c>
      <c r="E14" s="101">
        <f t="shared" si="0"/>
        <v>2.8571428571428571E-3</v>
      </c>
      <c r="F14" s="17"/>
    </row>
    <row r="15" spans="1:6" s="3" customFormat="1" ht="15" customHeight="1" x14ac:dyDescent="0.25">
      <c r="A15" s="112" t="s">
        <v>85</v>
      </c>
      <c r="B15" s="15">
        <v>0</v>
      </c>
      <c r="C15" s="15">
        <v>50000</v>
      </c>
      <c r="D15" s="16">
        <f t="shared" si="1"/>
        <v>50000</v>
      </c>
      <c r="E15" s="101">
        <f t="shared" si="0"/>
        <v>2.8571428571428571E-3</v>
      </c>
      <c r="F15" s="17"/>
    </row>
    <row r="16" spans="1:6" s="3" customFormat="1" ht="15" customHeight="1" x14ac:dyDescent="0.25">
      <c r="A16" s="112" t="s">
        <v>86</v>
      </c>
      <c r="B16" s="15">
        <v>0</v>
      </c>
      <c r="C16" s="15">
        <v>100000</v>
      </c>
      <c r="D16" s="16">
        <f t="shared" si="1"/>
        <v>100000</v>
      </c>
      <c r="E16" s="101">
        <f t="shared" si="0"/>
        <v>5.7142857142857143E-3</v>
      </c>
      <c r="F16" s="17"/>
    </row>
    <row r="17" spans="1:15" s="3" customFormat="1" ht="15" customHeight="1" thickBot="1" x14ac:dyDescent="0.3">
      <c r="A17" s="112" t="s">
        <v>91</v>
      </c>
      <c r="B17" s="15">
        <v>0</v>
      </c>
      <c r="C17" s="15">
        <v>1000000</v>
      </c>
      <c r="D17" s="16">
        <f t="shared" si="1"/>
        <v>1000000</v>
      </c>
      <c r="E17" s="101">
        <f t="shared" si="0"/>
        <v>5.7142857142857141E-2</v>
      </c>
      <c r="F17" s="17"/>
    </row>
    <row r="18" spans="1:15" s="3" customFormat="1" ht="15" customHeight="1" thickBot="1" x14ac:dyDescent="0.25">
      <c r="A18" s="113" t="s">
        <v>1</v>
      </c>
      <c r="B18" s="108">
        <f>SUM(B10:B17)</f>
        <v>10000000</v>
      </c>
      <c r="C18" s="108">
        <f>SUM(C10:C17)</f>
        <v>7500000</v>
      </c>
      <c r="D18" s="108">
        <f>SUM(D10:D17)</f>
        <v>17500000</v>
      </c>
      <c r="E18" s="109">
        <f t="shared" si="0"/>
        <v>1</v>
      </c>
      <c r="F18" s="18"/>
    </row>
    <row r="19" spans="1:15" ht="15" customHeight="1" thickBot="1" x14ac:dyDescent="0.3">
      <c r="A19" s="10"/>
      <c r="B19" s="10"/>
      <c r="C19" s="10"/>
      <c r="D19" s="10"/>
      <c r="E19" s="10"/>
      <c r="F19" s="7"/>
    </row>
    <row r="20" spans="1:15" ht="15" x14ac:dyDescent="0.25">
      <c r="A20" s="317" t="s">
        <v>62</v>
      </c>
      <c r="B20" s="318"/>
      <c r="C20" s="319"/>
      <c r="D20" s="10"/>
      <c r="E20" s="10"/>
      <c r="F20" s="7"/>
    </row>
    <row r="21" spans="1:15" ht="15" x14ac:dyDescent="0.25">
      <c r="A21" s="130" t="s">
        <v>3</v>
      </c>
      <c r="B21" s="131" t="s">
        <v>45</v>
      </c>
      <c r="C21" s="132" t="s">
        <v>63</v>
      </c>
      <c r="D21" s="10"/>
      <c r="E21" s="10"/>
      <c r="F21" s="7"/>
    </row>
    <row r="22" spans="1:15" ht="15" x14ac:dyDescent="0.25">
      <c r="A22" s="81" t="s">
        <v>15</v>
      </c>
      <c r="B22" s="123">
        <f>+SUM(D10:D13)</f>
        <v>16300000</v>
      </c>
      <c r="C22" s="121">
        <f>B22/$B$25</f>
        <v>0.93142857142857138</v>
      </c>
      <c r="D22" s="10"/>
      <c r="E22" s="10"/>
      <c r="F22" s="7"/>
    </row>
    <row r="23" spans="1:15" ht="15" x14ac:dyDescent="0.25">
      <c r="A23" s="82" t="s">
        <v>122</v>
      </c>
      <c r="B23" s="124">
        <f>+SUM(D14:D16)</f>
        <v>200000</v>
      </c>
      <c r="C23" s="121">
        <f>B23/$B$25</f>
        <v>1.1428571428571429E-2</v>
      </c>
      <c r="D23" s="10"/>
      <c r="E23" s="10"/>
      <c r="F23" s="7"/>
    </row>
    <row r="24" spans="1:15" ht="15.75" thickBot="1" x14ac:dyDescent="0.3">
      <c r="A24" s="82" t="s">
        <v>16</v>
      </c>
      <c r="B24" s="124">
        <f>D17</f>
        <v>1000000</v>
      </c>
      <c r="C24" s="121">
        <f>B24/$B$25</f>
        <v>5.7142857142857141E-2</v>
      </c>
      <c r="D24" s="10"/>
      <c r="E24" s="10"/>
      <c r="F24" s="7"/>
    </row>
    <row r="25" spans="1:15" ht="15.75" thickBot="1" x14ac:dyDescent="0.3">
      <c r="A25" s="125" t="s">
        <v>18</v>
      </c>
      <c r="B25" s="126">
        <f>SUM(B22:B24)</f>
        <v>17500000</v>
      </c>
      <c r="C25" s="127">
        <f>SUM(C22:C24)</f>
        <v>1</v>
      </c>
      <c r="D25" s="10"/>
      <c r="E25" s="10"/>
      <c r="F25" s="7"/>
    </row>
    <row r="26" spans="1:15" ht="15.75" thickBot="1" x14ac:dyDescent="0.3">
      <c r="A26" s="10"/>
      <c r="B26" s="10"/>
      <c r="C26" s="10"/>
      <c r="D26" s="10"/>
      <c r="E26" s="10"/>
      <c r="F26" s="7"/>
    </row>
    <row r="27" spans="1:15" ht="14.25" x14ac:dyDescent="0.2">
      <c r="A27" s="242" t="s">
        <v>115</v>
      </c>
      <c r="B27" s="243"/>
      <c r="C27" s="243"/>
      <c r="D27" s="243"/>
      <c r="E27" s="243"/>
      <c r="F27" s="243"/>
      <c r="G27" s="243"/>
      <c r="H27" s="243"/>
      <c r="I27" s="243"/>
      <c r="J27" s="243"/>
      <c r="K27" s="243"/>
      <c r="L27" s="243"/>
      <c r="M27" s="243"/>
      <c r="N27" s="243"/>
      <c r="O27" s="244"/>
    </row>
    <row r="28" spans="1:15" ht="15" x14ac:dyDescent="0.25">
      <c r="A28" s="245" t="s">
        <v>116</v>
      </c>
      <c r="B28" s="86"/>
      <c r="C28" s="86"/>
      <c r="D28" s="86"/>
      <c r="E28" s="86"/>
      <c r="F28" s="7"/>
      <c r="G28" s="19"/>
      <c r="H28" s="19"/>
      <c r="I28" s="19"/>
      <c r="J28" s="19"/>
      <c r="K28" s="19"/>
      <c r="L28" s="19"/>
      <c r="M28" s="19"/>
      <c r="N28" s="19"/>
      <c r="O28" s="246"/>
    </row>
    <row r="29" spans="1:15" ht="15" x14ac:dyDescent="0.25">
      <c r="A29" s="245" t="s">
        <v>118</v>
      </c>
      <c r="B29" s="86"/>
      <c r="C29" s="86"/>
      <c r="D29" s="86"/>
      <c r="E29" s="86"/>
      <c r="F29" s="7"/>
      <c r="G29" s="19"/>
      <c r="H29" s="19"/>
      <c r="I29" s="19"/>
      <c r="J29" s="19"/>
      <c r="K29" s="19"/>
      <c r="L29" s="19"/>
      <c r="M29" s="19"/>
      <c r="N29" s="19"/>
      <c r="O29" s="246"/>
    </row>
    <row r="30" spans="1:15" ht="15.75" thickBot="1" x14ac:dyDescent="0.3">
      <c r="A30" s="168" t="s">
        <v>117</v>
      </c>
      <c r="B30" s="247"/>
      <c r="C30" s="247"/>
      <c r="D30" s="247"/>
      <c r="E30" s="247"/>
      <c r="F30" s="247"/>
      <c r="G30" s="259"/>
      <c r="H30" s="259"/>
      <c r="I30" s="259"/>
      <c r="J30" s="259"/>
      <c r="K30" s="259"/>
      <c r="L30" s="259"/>
      <c r="M30" s="259"/>
      <c r="N30" s="259"/>
      <c r="O30" s="260"/>
    </row>
    <row r="31" spans="1:15" ht="15" x14ac:dyDescent="0.25">
      <c r="A31" s="10"/>
      <c r="B31" s="10"/>
      <c r="C31" s="10"/>
      <c r="D31" s="10"/>
      <c r="E31" s="10"/>
      <c r="F31" s="7"/>
    </row>
    <row r="32" spans="1:15" ht="15" x14ac:dyDescent="0.25">
      <c r="A32" s="10"/>
      <c r="B32" s="10"/>
      <c r="C32" s="10"/>
      <c r="D32" s="10"/>
      <c r="E32" s="10"/>
      <c r="F32" s="7"/>
    </row>
    <row r="33" spans="1:6" ht="15" x14ac:dyDescent="0.25">
      <c r="A33" s="10"/>
      <c r="B33" s="10"/>
      <c r="C33" s="10"/>
      <c r="D33" s="10"/>
      <c r="E33" s="10"/>
      <c r="F33" s="7"/>
    </row>
    <row r="34" spans="1:6" ht="15" x14ac:dyDescent="0.25">
      <c r="A34" s="10"/>
      <c r="B34" s="10"/>
      <c r="C34" s="10"/>
      <c r="D34" s="10"/>
      <c r="E34" s="10"/>
      <c r="F34" s="7"/>
    </row>
  </sheetData>
  <mergeCells count="1">
    <mergeCell ref="A8:A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6:AB53"/>
  <sheetViews>
    <sheetView showGridLines="0" zoomScale="85" zoomScaleNormal="85" workbookViewId="0">
      <selection activeCell="N34" sqref="N34"/>
    </sheetView>
  </sheetViews>
  <sheetFormatPr defaultColWidth="9" defaultRowHeight="12.75" x14ac:dyDescent="0.2"/>
  <cols>
    <col min="1" max="1" width="16.375" style="4" customWidth="1"/>
    <col min="2" max="2" width="11.125" style="4" customWidth="1"/>
    <col min="3" max="4" width="9.875" style="4" customWidth="1"/>
    <col min="5" max="6" width="9.875" style="2" customWidth="1"/>
    <col min="7" max="7" width="2.375" style="2" customWidth="1"/>
    <col min="8" max="8" width="9" style="4" customWidth="1"/>
    <col min="9" max="9" width="9.5" style="4" customWidth="1"/>
    <col min="10" max="10" width="9.625" style="4" customWidth="1"/>
    <col min="11" max="11" width="12.5" style="4" customWidth="1"/>
    <col min="12" max="12" width="2.375" style="2" customWidth="1"/>
    <col min="13" max="17" width="12.375" style="2" customWidth="1"/>
    <col min="18" max="19" width="12.375" style="4" customWidth="1"/>
    <col min="20" max="20" width="13.75" style="2" customWidth="1"/>
    <col min="21" max="21" width="0.75" style="2" customWidth="1"/>
    <col min="22" max="24" width="12.375" style="2" customWidth="1"/>
    <col min="25" max="25" width="13.75" style="2" customWidth="1"/>
    <col min="26" max="27" width="2.375" style="2" customWidth="1"/>
    <col min="28" max="28" width="12.375" style="4" customWidth="1"/>
    <col min="29" max="29" width="13.375" style="4" customWidth="1"/>
    <col min="30" max="16384" width="9" style="4"/>
  </cols>
  <sheetData>
    <row r="6" spans="1:28" ht="13.5" thickBot="1" x14ac:dyDescent="0.25"/>
    <row r="7" spans="1:28" ht="15" x14ac:dyDescent="0.25">
      <c r="A7" s="315" t="s">
        <v>81</v>
      </c>
      <c r="B7" s="169"/>
      <c r="C7" s="169"/>
      <c r="D7" s="169"/>
      <c r="E7" s="169"/>
      <c r="F7" s="170"/>
      <c r="G7" s="7"/>
      <c r="H7" s="315" t="s">
        <v>83</v>
      </c>
      <c r="I7" s="169"/>
      <c r="J7" s="169"/>
      <c r="K7" s="170"/>
      <c r="L7" s="7"/>
      <c r="M7" s="20"/>
      <c r="N7" s="20"/>
      <c r="O7" s="20"/>
      <c r="P7" s="20"/>
      <c r="T7" s="162"/>
      <c r="AB7" s="2"/>
    </row>
    <row r="8" spans="1:28" s="59" customFormat="1" ht="28.5" x14ac:dyDescent="0.25">
      <c r="A8" s="321" t="s">
        <v>36</v>
      </c>
      <c r="B8" s="322" t="s">
        <v>73</v>
      </c>
      <c r="C8" s="322" t="s">
        <v>79</v>
      </c>
      <c r="D8" s="322" t="s">
        <v>74</v>
      </c>
      <c r="E8" s="322" t="s">
        <v>75</v>
      </c>
      <c r="F8" s="323" t="s">
        <v>80</v>
      </c>
      <c r="G8" s="171"/>
      <c r="H8" s="324" t="s">
        <v>77</v>
      </c>
      <c r="I8" s="325" t="s">
        <v>82</v>
      </c>
      <c r="J8" s="325" t="s">
        <v>76</v>
      </c>
      <c r="K8" s="326" t="s">
        <v>78</v>
      </c>
      <c r="L8" s="171"/>
      <c r="M8" s="10"/>
      <c r="N8" s="10"/>
      <c r="O8" s="10"/>
      <c r="P8" s="10"/>
    </row>
    <row r="9" spans="1:28" s="59" customFormat="1" ht="15" customHeight="1" x14ac:dyDescent="0.25">
      <c r="A9" s="176" t="s">
        <v>92</v>
      </c>
      <c r="B9" s="192">
        <v>250000</v>
      </c>
      <c r="C9" s="201">
        <v>42005</v>
      </c>
      <c r="D9" s="204">
        <v>0.08</v>
      </c>
      <c r="E9" s="205">
        <v>0.2</v>
      </c>
      <c r="F9" s="193">
        <v>4000000</v>
      </c>
      <c r="G9" s="172"/>
      <c r="H9" s="181">
        <f>+'Series A Cap Table'!$E$7</f>
        <v>42430</v>
      </c>
      <c r="I9" s="182">
        <f>H9-C9</f>
        <v>425</v>
      </c>
      <c r="J9" s="196">
        <f>B9*(D9*(I9/365))</f>
        <v>23287.671232876713</v>
      </c>
      <c r="K9" s="197">
        <f>J9+B9</f>
        <v>273287.67123287672</v>
      </c>
      <c r="L9" s="172"/>
      <c r="M9" s="10"/>
      <c r="N9" s="10"/>
      <c r="O9" s="10"/>
      <c r="P9" s="10"/>
    </row>
    <row r="10" spans="1:28" s="59" customFormat="1" ht="15" customHeight="1" x14ac:dyDescent="0.25">
      <c r="A10" s="176" t="s">
        <v>93</v>
      </c>
      <c r="B10" s="192">
        <v>250000</v>
      </c>
      <c r="C10" s="201">
        <v>42005</v>
      </c>
      <c r="D10" s="204">
        <v>0.08</v>
      </c>
      <c r="E10" s="205">
        <v>0.2</v>
      </c>
      <c r="F10" s="193">
        <v>4000000</v>
      </c>
      <c r="G10" s="172"/>
      <c r="H10" s="181">
        <f>+'Series A Cap Table'!$E$7</f>
        <v>42430</v>
      </c>
      <c r="I10" s="182">
        <f>H10-C10</f>
        <v>425</v>
      </c>
      <c r="J10" s="196">
        <f t="shared" ref="J10:J18" si="0">B10*(D10*(I10/365))</f>
        <v>23287.671232876713</v>
      </c>
      <c r="K10" s="197">
        <f>J10+B10</f>
        <v>273287.67123287672</v>
      </c>
      <c r="L10" s="172"/>
      <c r="M10" s="10"/>
      <c r="N10" s="10"/>
      <c r="O10" s="10"/>
      <c r="P10" s="10"/>
    </row>
    <row r="11" spans="1:28" s="59" customFormat="1" ht="15" customHeight="1" x14ac:dyDescent="0.25">
      <c r="A11" s="176" t="s">
        <v>94</v>
      </c>
      <c r="B11" s="192">
        <v>250000</v>
      </c>
      <c r="C11" s="201">
        <v>42005</v>
      </c>
      <c r="D11" s="204">
        <v>0.08</v>
      </c>
      <c r="E11" s="205">
        <v>0.2</v>
      </c>
      <c r="F11" s="193">
        <v>4000000</v>
      </c>
      <c r="G11" s="172"/>
      <c r="H11" s="181">
        <f>+'Series A Cap Table'!$E$7</f>
        <v>42430</v>
      </c>
      <c r="I11" s="182">
        <f>H11-C11</f>
        <v>425</v>
      </c>
      <c r="J11" s="196">
        <f t="shared" si="0"/>
        <v>23287.671232876713</v>
      </c>
      <c r="K11" s="197">
        <f>J11+B11</f>
        <v>273287.67123287672</v>
      </c>
      <c r="L11" s="172"/>
      <c r="M11" s="10"/>
      <c r="N11" s="10"/>
      <c r="O11" s="10"/>
      <c r="P11" s="10"/>
    </row>
    <row r="12" spans="1:28" s="58" customFormat="1" ht="15" customHeight="1" x14ac:dyDescent="0.25">
      <c r="A12" s="176" t="s">
        <v>95</v>
      </c>
      <c r="B12" s="192">
        <v>50000</v>
      </c>
      <c r="C12" s="201">
        <v>42005</v>
      </c>
      <c r="D12" s="204">
        <v>0.08</v>
      </c>
      <c r="E12" s="205">
        <v>0.2</v>
      </c>
      <c r="F12" s="193">
        <v>4000000</v>
      </c>
      <c r="G12" s="172"/>
      <c r="H12" s="181">
        <f>+'Series A Cap Table'!$E$7</f>
        <v>42430</v>
      </c>
      <c r="I12" s="182">
        <f t="shared" ref="I12:I18" si="1">H12-C12</f>
        <v>425</v>
      </c>
      <c r="J12" s="196">
        <f t="shared" si="0"/>
        <v>4657.5342465753429</v>
      </c>
      <c r="K12" s="197">
        <f t="shared" ref="K12:K18" si="2">J12+B12</f>
        <v>54657.534246575342</v>
      </c>
      <c r="L12" s="172"/>
      <c r="M12" s="183"/>
      <c r="N12" s="184"/>
      <c r="O12" s="86"/>
      <c r="P12" s="86"/>
    </row>
    <row r="13" spans="1:28" s="59" customFormat="1" ht="15" customHeight="1" x14ac:dyDescent="0.25">
      <c r="A13" s="176" t="s">
        <v>96</v>
      </c>
      <c r="B13" s="192">
        <v>50000</v>
      </c>
      <c r="C13" s="201">
        <v>42005</v>
      </c>
      <c r="D13" s="206">
        <f>+D12</f>
        <v>0.08</v>
      </c>
      <c r="E13" s="206">
        <f>+E12</f>
        <v>0.2</v>
      </c>
      <c r="F13" s="194">
        <f>+F12</f>
        <v>4000000</v>
      </c>
      <c r="G13" s="172"/>
      <c r="H13" s="181">
        <f>+'Series A Cap Table'!$E$7</f>
        <v>42430</v>
      </c>
      <c r="I13" s="182">
        <f t="shared" si="1"/>
        <v>425</v>
      </c>
      <c r="J13" s="196">
        <f t="shared" si="0"/>
        <v>4657.5342465753429</v>
      </c>
      <c r="K13" s="197">
        <f t="shared" si="2"/>
        <v>54657.534246575342</v>
      </c>
      <c r="L13" s="172"/>
      <c r="M13" s="183"/>
      <c r="N13" s="184"/>
      <c r="O13" s="10"/>
      <c r="P13" s="10"/>
    </row>
    <row r="14" spans="1:28" s="59" customFormat="1" ht="15" customHeight="1" x14ac:dyDescent="0.25">
      <c r="A14" s="176" t="s">
        <v>97</v>
      </c>
      <c r="B14" s="192">
        <v>50000</v>
      </c>
      <c r="C14" s="201">
        <v>42005</v>
      </c>
      <c r="D14" s="206">
        <f t="shared" ref="D14:D18" si="3">+D13</f>
        <v>0.08</v>
      </c>
      <c r="E14" s="206">
        <f>+E13</f>
        <v>0.2</v>
      </c>
      <c r="F14" s="194">
        <f t="shared" ref="F14:F18" si="4">+F13</f>
        <v>4000000</v>
      </c>
      <c r="G14" s="172"/>
      <c r="H14" s="181">
        <f>+'Series A Cap Table'!$E$7</f>
        <v>42430</v>
      </c>
      <c r="I14" s="182">
        <f t="shared" si="1"/>
        <v>425</v>
      </c>
      <c r="J14" s="196">
        <f t="shared" si="0"/>
        <v>4657.5342465753429</v>
      </c>
      <c r="K14" s="197">
        <f t="shared" si="2"/>
        <v>54657.534246575342</v>
      </c>
      <c r="L14" s="172"/>
      <c r="M14" s="183"/>
      <c r="N14" s="184"/>
      <c r="O14" s="10"/>
      <c r="P14" s="10"/>
    </row>
    <row r="15" spans="1:28" s="59" customFormat="1" ht="15" customHeight="1" x14ac:dyDescent="0.25">
      <c r="A15" s="176" t="s">
        <v>98</v>
      </c>
      <c r="B15" s="192">
        <v>50000</v>
      </c>
      <c r="C15" s="201">
        <v>42005</v>
      </c>
      <c r="D15" s="206">
        <f t="shared" si="3"/>
        <v>0.08</v>
      </c>
      <c r="E15" s="206">
        <f>+E14</f>
        <v>0.2</v>
      </c>
      <c r="F15" s="194">
        <f t="shared" si="4"/>
        <v>4000000</v>
      </c>
      <c r="G15" s="172"/>
      <c r="H15" s="181">
        <f>+'Series A Cap Table'!$E$7</f>
        <v>42430</v>
      </c>
      <c r="I15" s="182">
        <f t="shared" si="1"/>
        <v>425</v>
      </c>
      <c r="J15" s="196">
        <f t="shared" si="0"/>
        <v>4657.5342465753429</v>
      </c>
      <c r="K15" s="197">
        <f t="shared" si="2"/>
        <v>54657.534246575342</v>
      </c>
      <c r="L15" s="172"/>
      <c r="M15" s="183"/>
      <c r="N15" s="184"/>
      <c r="O15" s="10"/>
      <c r="P15" s="10"/>
    </row>
    <row r="16" spans="1:28" s="59" customFormat="1" ht="15" customHeight="1" x14ac:dyDescent="0.25">
      <c r="A16" s="176" t="s">
        <v>99</v>
      </c>
      <c r="B16" s="192">
        <v>50000</v>
      </c>
      <c r="C16" s="201">
        <v>42005</v>
      </c>
      <c r="D16" s="206">
        <f t="shared" si="3"/>
        <v>0.08</v>
      </c>
      <c r="E16" s="206">
        <f>+E15</f>
        <v>0.2</v>
      </c>
      <c r="F16" s="194">
        <f t="shared" si="4"/>
        <v>4000000</v>
      </c>
      <c r="G16" s="172"/>
      <c r="H16" s="181">
        <f>+'Series A Cap Table'!$E$7</f>
        <v>42430</v>
      </c>
      <c r="I16" s="182">
        <f t="shared" si="1"/>
        <v>425</v>
      </c>
      <c r="J16" s="196">
        <f t="shared" si="0"/>
        <v>4657.5342465753429</v>
      </c>
      <c r="K16" s="197">
        <f t="shared" si="2"/>
        <v>54657.534246575342</v>
      </c>
      <c r="L16" s="172"/>
      <c r="M16" s="183"/>
      <c r="N16" s="184"/>
      <c r="O16" s="10"/>
      <c r="P16" s="10"/>
    </row>
    <row r="17" spans="1:27" s="59" customFormat="1" ht="15" customHeight="1" x14ac:dyDescent="0.25">
      <c r="A17" s="176" t="s">
        <v>100</v>
      </c>
      <c r="B17" s="192">
        <v>50000</v>
      </c>
      <c r="C17" s="201">
        <v>42005</v>
      </c>
      <c r="D17" s="206">
        <f t="shared" si="3"/>
        <v>0.08</v>
      </c>
      <c r="E17" s="206">
        <f>+E16</f>
        <v>0.2</v>
      </c>
      <c r="F17" s="194">
        <f t="shared" si="4"/>
        <v>4000000</v>
      </c>
      <c r="G17" s="172"/>
      <c r="H17" s="181">
        <f>+'Series A Cap Table'!$E$7</f>
        <v>42430</v>
      </c>
      <c r="I17" s="182">
        <f t="shared" si="1"/>
        <v>425</v>
      </c>
      <c r="J17" s="196">
        <f t="shared" si="0"/>
        <v>4657.5342465753429</v>
      </c>
      <c r="K17" s="197">
        <f t="shared" si="2"/>
        <v>54657.534246575342</v>
      </c>
      <c r="L17" s="172"/>
      <c r="M17" s="183"/>
      <c r="N17" s="184"/>
      <c r="O17" s="10"/>
      <c r="P17" s="10"/>
    </row>
    <row r="18" spans="1:27" s="59" customFormat="1" ht="15" customHeight="1" thickBot="1" x14ac:dyDescent="0.3">
      <c r="A18" s="208" t="s">
        <v>101</v>
      </c>
      <c r="B18" s="209">
        <v>50000</v>
      </c>
      <c r="C18" s="210">
        <v>42005</v>
      </c>
      <c r="D18" s="211">
        <f t="shared" si="3"/>
        <v>0.08</v>
      </c>
      <c r="E18" s="211">
        <f>+E17</f>
        <v>0.2</v>
      </c>
      <c r="F18" s="212">
        <f t="shared" si="4"/>
        <v>4000000</v>
      </c>
      <c r="G18" s="172"/>
      <c r="H18" s="181">
        <f>+'Series A Cap Table'!$E$7</f>
        <v>42430</v>
      </c>
      <c r="I18" s="182">
        <f t="shared" si="1"/>
        <v>425</v>
      </c>
      <c r="J18" s="196">
        <f t="shared" si="0"/>
        <v>4657.5342465753429</v>
      </c>
      <c r="K18" s="197">
        <f t="shared" si="2"/>
        <v>54657.534246575342</v>
      </c>
      <c r="L18" s="172"/>
      <c r="M18" s="183"/>
      <c r="N18" s="184"/>
      <c r="O18" s="10"/>
      <c r="P18" s="10"/>
    </row>
    <row r="19" spans="1:27" s="59" customFormat="1" ht="15" customHeight="1" thickBot="1" x14ac:dyDescent="0.3">
      <c r="A19" s="220" t="s">
        <v>1</v>
      </c>
      <c r="B19" s="221">
        <f>SUM(B9:B18)</f>
        <v>1100000</v>
      </c>
      <c r="C19" s="202"/>
      <c r="D19" s="207"/>
      <c r="E19" s="207"/>
      <c r="F19" s="195"/>
      <c r="G19" s="172"/>
      <c r="H19" s="222"/>
      <c r="I19" s="218"/>
      <c r="J19" s="217">
        <f>SUM(J9:J18)</f>
        <v>102465.75342465758</v>
      </c>
      <c r="K19" s="219">
        <f>SUM(K9:K18)</f>
        <v>1202465.7534246575</v>
      </c>
      <c r="L19" s="172"/>
      <c r="M19" s="183"/>
      <c r="N19" s="184"/>
      <c r="O19" s="10"/>
      <c r="P19" s="10"/>
    </row>
    <row r="20" spans="1:27" s="59" customFormat="1" ht="6.75" customHeight="1" thickBot="1" x14ac:dyDescent="0.3">
      <c r="A20" s="185"/>
      <c r="B20" s="177"/>
      <c r="C20" s="178"/>
      <c r="D20" s="179"/>
      <c r="E20" s="180"/>
      <c r="F20" s="186"/>
      <c r="G20" s="172"/>
      <c r="H20" s="187"/>
      <c r="I20" s="182"/>
      <c r="J20" s="173"/>
      <c r="K20" s="173"/>
      <c r="L20" s="172"/>
      <c r="M20" s="10"/>
      <c r="N20" s="10"/>
      <c r="O20" s="10"/>
      <c r="P20" s="10"/>
    </row>
    <row r="21" spans="1:27" s="59" customFormat="1" ht="15.75" x14ac:dyDescent="0.25">
      <c r="A21" s="234" t="str">
        <f>+A9</f>
        <v>Angel #1</v>
      </c>
      <c r="B21" s="229">
        <f t="shared" ref="B21:F21" si="5">+B9</f>
        <v>250000</v>
      </c>
      <c r="C21" s="235">
        <f t="shared" si="5"/>
        <v>42005</v>
      </c>
      <c r="D21" s="236">
        <f t="shared" si="5"/>
        <v>0.08</v>
      </c>
      <c r="E21" s="236">
        <f t="shared" si="5"/>
        <v>0.2</v>
      </c>
      <c r="F21" s="237">
        <f t="shared" si="5"/>
        <v>4000000</v>
      </c>
      <c r="G21" s="172"/>
      <c r="H21" s="227">
        <f t="shared" ref="H21:K21" si="6">+H9</f>
        <v>42430</v>
      </c>
      <c r="I21" s="228">
        <f t="shared" si="6"/>
        <v>425</v>
      </c>
      <c r="J21" s="229">
        <f t="shared" si="6"/>
        <v>23287.671232876713</v>
      </c>
      <c r="K21" s="230">
        <f t="shared" si="6"/>
        <v>273287.67123287672</v>
      </c>
      <c r="L21" s="172"/>
      <c r="M21" s="10"/>
      <c r="N21" s="10"/>
      <c r="O21" s="10"/>
      <c r="P21" s="10"/>
    </row>
    <row r="22" spans="1:27" s="59" customFormat="1" ht="15.75" x14ac:dyDescent="0.25">
      <c r="A22" s="166" t="str">
        <f t="shared" ref="A22:F22" si="7">+A10</f>
        <v>Angel #2</v>
      </c>
      <c r="B22" s="196">
        <f t="shared" si="7"/>
        <v>250000</v>
      </c>
      <c r="C22" s="223">
        <f t="shared" si="7"/>
        <v>42005</v>
      </c>
      <c r="D22" s="206">
        <f t="shared" si="7"/>
        <v>0.08</v>
      </c>
      <c r="E22" s="206">
        <f t="shared" si="7"/>
        <v>0.2</v>
      </c>
      <c r="F22" s="194">
        <f t="shared" si="7"/>
        <v>4000000</v>
      </c>
      <c r="G22" s="172"/>
      <c r="H22" s="181">
        <f t="shared" ref="H22:K22" si="8">+H10</f>
        <v>42430</v>
      </c>
      <c r="I22" s="182">
        <f t="shared" si="8"/>
        <v>425</v>
      </c>
      <c r="J22" s="196">
        <f t="shared" si="8"/>
        <v>23287.671232876713</v>
      </c>
      <c r="K22" s="197">
        <f t="shared" si="8"/>
        <v>273287.67123287672</v>
      </c>
      <c r="L22" s="172"/>
      <c r="M22" s="10"/>
      <c r="N22" s="10"/>
      <c r="O22" s="10"/>
      <c r="P22" s="10"/>
    </row>
    <row r="23" spans="1:27" s="59" customFormat="1" ht="15.75" x14ac:dyDescent="0.25">
      <c r="A23" s="166" t="str">
        <f t="shared" ref="A23:F23" si="9">+A11</f>
        <v>Angel #3</v>
      </c>
      <c r="B23" s="196">
        <f t="shared" si="9"/>
        <v>250000</v>
      </c>
      <c r="C23" s="223">
        <f t="shared" si="9"/>
        <v>42005</v>
      </c>
      <c r="D23" s="206">
        <f t="shared" si="9"/>
        <v>0.08</v>
      </c>
      <c r="E23" s="206">
        <f t="shared" si="9"/>
        <v>0.2</v>
      </c>
      <c r="F23" s="194">
        <f t="shared" si="9"/>
        <v>4000000</v>
      </c>
      <c r="G23" s="172"/>
      <c r="H23" s="181">
        <f t="shared" ref="H23:K23" si="10">+H11</f>
        <v>42430</v>
      </c>
      <c r="I23" s="182">
        <f t="shared" si="10"/>
        <v>425</v>
      </c>
      <c r="J23" s="196">
        <f t="shared" si="10"/>
        <v>23287.671232876713</v>
      </c>
      <c r="K23" s="197">
        <f t="shared" si="10"/>
        <v>273287.67123287672</v>
      </c>
      <c r="L23" s="172"/>
      <c r="M23" s="10"/>
      <c r="N23" s="10"/>
      <c r="O23" s="10"/>
      <c r="P23" s="10"/>
    </row>
    <row r="24" spans="1:27" s="59" customFormat="1" ht="15" customHeight="1" x14ac:dyDescent="0.25">
      <c r="A24" s="208" t="s">
        <v>114</v>
      </c>
      <c r="B24" s="215">
        <f>+SUM(B12:B18)</f>
        <v>350000</v>
      </c>
      <c r="C24" s="258">
        <f>+C12</f>
        <v>42005</v>
      </c>
      <c r="D24" s="211">
        <f>+D12</f>
        <v>0.08</v>
      </c>
      <c r="E24" s="211">
        <f>+E12</f>
        <v>0.2</v>
      </c>
      <c r="F24" s="212">
        <f>+F12</f>
        <v>4000000</v>
      </c>
      <c r="G24" s="172"/>
      <c r="H24" s="213">
        <f>+H12</f>
        <v>42430</v>
      </c>
      <c r="I24" s="214">
        <f>+I12</f>
        <v>425</v>
      </c>
      <c r="J24" s="215">
        <f>+SUM(J12:J18)</f>
        <v>32602.739726027397</v>
      </c>
      <c r="K24" s="216">
        <f>+SUM(K12:K18)</f>
        <v>382602.73972602736</v>
      </c>
      <c r="L24" s="172"/>
      <c r="M24" s="183"/>
      <c r="N24" s="184"/>
      <c r="O24" s="10"/>
      <c r="P24" s="10"/>
    </row>
    <row r="25" spans="1:27" s="226" customFormat="1" ht="16.5" thickBot="1" x14ac:dyDescent="0.3">
      <c r="A25" s="220" t="s">
        <v>1</v>
      </c>
      <c r="B25" s="221">
        <f>SUM(B21:B24)</f>
        <v>1100000</v>
      </c>
      <c r="C25" s="238"/>
      <c r="D25" s="239"/>
      <c r="E25" s="239"/>
      <c r="F25" s="240"/>
      <c r="G25" s="224"/>
      <c r="H25" s="231"/>
      <c r="I25" s="232"/>
      <c r="J25" s="221">
        <f>SUM(J21:J24)</f>
        <v>102465.75342465754</v>
      </c>
      <c r="K25" s="233">
        <f>SUM(K21:K24)</f>
        <v>1202465.7534246575</v>
      </c>
      <c r="L25" s="224"/>
      <c r="M25" s="225"/>
      <c r="N25" s="225"/>
      <c r="O25" s="225"/>
      <c r="P25" s="225"/>
    </row>
    <row r="26" spans="1:27" s="59" customFormat="1" ht="6.75" customHeight="1" x14ac:dyDescent="0.25">
      <c r="A26" s="185"/>
      <c r="B26" s="177"/>
      <c r="C26" s="178"/>
      <c r="D26" s="179"/>
      <c r="E26" s="180"/>
      <c r="F26" s="186"/>
      <c r="G26" s="172"/>
      <c r="H26" s="187"/>
      <c r="I26" s="182"/>
      <c r="J26" s="173"/>
      <c r="K26" s="173"/>
      <c r="L26" s="172"/>
      <c r="M26" s="10"/>
      <c r="N26" s="10"/>
      <c r="O26" s="10"/>
      <c r="P26" s="10"/>
    </row>
    <row r="27" spans="1:27" s="59" customFormat="1" ht="15.75" x14ac:dyDescent="0.25">
      <c r="A27" s="91" t="s">
        <v>130</v>
      </c>
      <c r="B27" s="177"/>
      <c r="C27" s="178"/>
      <c r="D27" s="179"/>
      <c r="E27" s="180"/>
      <c r="F27" s="186"/>
      <c r="G27" s="172"/>
      <c r="H27" s="187"/>
      <c r="I27" s="182"/>
      <c r="J27" s="173"/>
      <c r="K27" s="173"/>
      <c r="L27" s="172"/>
      <c r="M27" s="10"/>
      <c r="N27" s="10"/>
      <c r="O27" s="10"/>
      <c r="P27" s="10"/>
    </row>
    <row r="28" spans="1:27" s="59" customFormat="1" ht="15" customHeight="1" x14ac:dyDescent="0.25">
      <c r="A28" s="91" t="s">
        <v>136</v>
      </c>
      <c r="B28" s="188"/>
      <c r="C28" s="188"/>
      <c r="D28" s="86"/>
      <c r="E28" s="20"/>
      <c r="F28" s="20"/>
      <c r="G28" s="20"/>
      <c r="H28" s="10"/>
      <c r="I28" s="86"/>
      <c r="J28" s="86"/>
      <c r="K28" s="10"/>
      <c r="L28" s="20"/>
      <c r="M28" s="20"/>
      <c r="N28" s="20"/>
      <c r="O28" s="20"/>
      <c r="P28" s="20"/>
      <c r="Q28" s="154"/>
      <c r="R28" s="155"/>
      <c r="T28" s="154"/>
      <c r="U28" s="154"/>
      <c r="V28" s="154"/>
      <c r="W28" s="155"/>
      <c r="X28" s="154"/>
      <c r="Y28" s="154"/>
      <c r="Z28" s="154"/>
      <c r="AA28" s="154"/>
    </row>
    <row r="29" spans="1:27" s="59" customFormat="1" ht="15" customHeight="1" x14ac:dyDescent="0.25">
      <c r="A29" s="91" t="s">
        <v>137</v>
      </c>
      <c r="B29" s="188"/>
      <c r="C29" s="188"/>
      <c r="D29" s="86"/>
      <c r="E29" s="20"/>
      <c r="F29" s="20"/>
      <c r="G29" s="20"/>
      <c r="H29" s="10"/>
      <c r="I29" s="86"/>
      <c r="J29" s="86"/>
      <c r="K29" s="10"/>
      <c r="L29" s="20"/>
      <c r="M29" s="20"/>
      <c r="N29" s="20"/>
      <c r="O29" s="20"/>
      <c r="P29" s="20"/>
      <c r="Q29" s="154"/>
      <c r="R29" s="155"/>
      <c r="T29" s="154"/>
      <c r="U29" s="154"/>
      <c r="V29" s="154"/>
      <c r="W29" s="155"/>
      <c r="X29" s="154"/>
      <c r="Y29" s="154"/>
      <c r="Z29" s="154"/>
      <c r="AA29" s="154"/>
    </row>
    <row r="30" spans="1:27" s="59" customFormat="1" ht="15" customHeight="1" x14ac:dyDescent="0.25">
      <c r="A30" s="91" t="s">
        <v>138</v>
      </c>
      <c r="B30" s="189"/>
      <c r="C30" s="189"/>
      <c r="D30" s="10"/>
      <c r="E30" s="20"/>
      <c r="F30" s="20"/>
      <c r="G30" s="20"/>
      <c r="H30" s="10"/>
      <c r="I30" s="10"/>
      <c r="J30" s="10"/>
      <c r="K30" s="10"/>
      <c r="L30" s="20"/>
      <c r="M30" s="20"/>
      <c r="N30" s="20"/>
      <c r="O30" s="20"/>
      <c r="P30" s="20"/>
      <c r="Q30" s="154"/>
      <c r="T30" s="154"/>
      <c r="U30" s="154"/>
      <c r="V30" s="154"/>
      <c r="W30" s="154"/>
      <c r="X30" s="154"/>
      <c r="Y30" s="154"/>
      <c r="Z30" s="154"/>
      <c r="AA30" s="154"/>
    </row>
    <row r="31" spans="1:27" s="59" customFormat="1" ht="15" customHeight="1" x14ac:dyDescent="0.25">
      <c r="A31" s="10"/>
      <c r="B31" s="10"/>
      <c r="C31" s="10"/>
      <c r="D31" s="10"/>
      <c r="E31" s="20"/>
      <c r="F31" s="20"/>
      <c r="G31" s="20"/>
      <c r="H31" s="10"/>
      <c r="I31" s="10"/>
      <c r="J31" s="10"/>
      <c r="K31" s="10"/>
      <c r="L31" s="20"/>
      <c r="M31" s="76"/>
      <c r="N31" s="20"/>
      <c r="O31" s="20"/>
      <c r="P31" s="20"/>
      <c r="Q31" s="154"/>
      <c r="T31" s="154"/>
      <c r="U31" s="154"/>
      <c r="V31" s="154"/>
      <c r="W31" s="154"/>
      <c r="X31" s="154"/>
      <c r="Y31" s="154"/>
      <c r="Z31" s="154"/>
      <c r="AA31" s="154"/>
    </row>
    <row r="32" spans="1:27" s="59" customFormat="1" ht="15" customHeight="1" x14ac:dyDescent="0.25">
      <c r="A32" s="10"/>
      <c r="B32" s="10"/>
      <c r="C32" s="10"/>
      <c r="D32" s="10"/>
      <c r="E32" s="20"/>
      <c r="F32" s="20"/>
      <c r="G32" s="20"/>
      <c r="H32" s="10"/>
      <c r="I32" s="10"/>
      <c r="J32" s="10"/>
      <c r="K32" s="10"/>
      <c r="L32" s="20"/>
      <c r="M32" s="190"/>
      <c r="N32" s="20"/>
      <c r="O32" s="20"/>
      <c r="P32" s="20"/>
      <c r="Q32" s="154"/>
      <c r="T32" s="154"/>
      <c r="U32" s="154"/>
      <c r="V32" s="154"/>
      <c r="W32" s="154"/>
      <c r="X32" s="154"/>
      <c r="Y32" s="154"/>
      <c r="Z32" s="154"/>
      <c r="AA32" s="154"/>
    </row>
    <row r="33" spans="1:27" s="59" customFormat="1" ht="15" customHeight="1" x14ac:dyDescent="0.25">
      <c r="A33" s="191"/>
      <c r="B33" s="191"/>
      <c r="C33" s="191"/>
      <c r="D33" s="10"/>
      <c r="E33" s="20"/>
      <c r="F33" s="20"/>
      <c r="G33" s="20"/>
      <c r="H33" s="10"/>
      <c r="I33" s="10"/>
      <c r="J33" s="10"/>
      <c r="K33" s="10"/>
      <c r="L33" s="20"/>
      <c r="M33" s="190"/>
      <c r="N33" s="20"/>
      <c r="O33" s="20"/>
      <c r="P33" s="20"/>
      <c r="Q33" s="154"/>
      <c r="T33" s="154"/>
      <c r="U33" s="154"/>
      <c r="V33" s="154"/>
      <c r="W33" s="154"/>
      <c r="X33" s="154"/>
      <c r="Y33" s="154"/>
      <c r="Z33" s="154"/>
      <c r="AA33" s="154"/>
    </row>
    <row r="34" spans="1:27" s="59" customFormat="1" ht="15" customHeight="1" x14ac:dyDescent="0.25">
      <c r="A34" s="153"/>
      <c r="B34" s="153"/>
      <c r="C34" s="153"/>
      <c r="E34" s="154"/>
      <c r="F34" s="154"/>
      <c r="G34" s="154"/>
      <c r="L34" s="154"/>
      <c r="M34" s="154"/>
      <c r="N34" s="154"/>
      <c r="O34" s="154"/>
      <c r="P34" s="154"/>
      <c r="Q34" s="154"/>
      <c r="T34" s="154"/>
      <c r="U34" s="154"/>
      <c r="V34" s="154"/>
      <c r="W34" s="154"/>
      <c r="X34" s="154"/>
      <c r="Y34" s="154"/>
      <c r="Z34" s="154"/>
      <c r="AA34" s="154"/>
    </row>
    <row r="35" spans="1:27" s="59" customFormat="1" ht="15" customHeight="1" x14ac:dyDescent="0.25">
      <c r="A35" s="153"/>
      <c r="B35" s="153"/>
      <c r="C35" s="153"/>
      <c r="E35" s="154"/>
      <c r="F35" s="154"/>
      <c r="G35" s="154"/>
      <c r="L35" s="154"/>
      <c r="M35" s="154"/>
      <c r="N35" s="154"/>
      <c r="O35" s="154"/>
      <c r="P35" s="154"/>
      <c r="Q35" s="154"/>
      <c r="T35" s="154"/>
      <c r="U35" s="154"/>
      <c r="V35" s="154"/>
      <c r="W35" s="154"/>
      <c r="X35" s="154"/>
      <c r="Y35" s="154"/>
      <c r="Z35" s="154"/>
      <c r="AA35" s="154"/>
    </row>
    <row r="36" spans="1:27" s="59" customFormat="1" ht="15" customHeight="1" x14ac:dyDescent="0.25">
      <c r="A36" s="153"/>
      <c r="B36" s="153"/>
      <c r="C36" s="153"/>
      <c r="E36" s="154"/>
      <c r="F36" s="154"/>
      <c r="G36" s="154"/>
      <c r="L36" s="154"/>
      <c r="M36" s="154"/>
      <c r="N36" s="154"/>
      <c r="O36" s="154"/>
      <c r="P36" s="154"/>
      <c r="Q36" s="154"/>
      <c r="T36" s="154"/>
      <c r="U36" s="154"/>
      <c r="V36" s="154"/>
      <c r="W36" s="154"/>
      <c r="X36" s="154"/>
      <c r="Y36" s="154"/>
      <c r="Z36" s="154"/>
      <c r="AA36" s="154"/>
    </row>
    <row r="37" spans="1:27" s="59" customFormat="1" ht="15" customHeight="1" x14ac:dyDescent="0.25">
      <c r="A37" s="153"/>
      <c r="B37" s="153"/>
      <c r="C37" s="153"/>
      <c r="E37" s="154"/>
      <c r="F37" s="154"/>
      <c r="G37" s="154"/>
      <c r="L37" s="154"/>
      <c r="M37" s="154"/>
      <c r="N37" s="154"/>
      <c r="O37" s="154"/>
      <c r="P37" s="154"/>
      <c r="Q37" s="154"/>
      <c r="T37" s="154"/>
      <c r="U37" s="154"/>
      <c r="V37" s="154"/>
      <c r="W37" s="154"/>
      <c r="X37" s="154"/>
      <c r="Y37" s="154"/>
      <c r="Z37" s="154"/>
      <c r="AA37" s="154"/>
    </row>
    <row r="38" spans="1:27" s="59" customFormat="1" ht="15" customHeight="1" x14ac:dyDescent="0.25">
      <c r="A38" s="153"/>
      <c r="B38" s="153"/>
      <c r="C38" s="153"/>
      <c r="E38" s="154"/>
      <c r="F38" s="154"/>
      <c r="G38" s="154"/>
      <c r="L38" s="154"/>
      <c r="M38" s="154"/>
      <c r="N38" s="154"/>
      <c r="O38" s="154"/>
      <c r="P38" s="154"/>
      <c r="Q38" s="154"/>
      <c r="T38" s="154"/>
      <c r="U38" s="154"/>
      <c r="V38" s="154"/>
      <c r="W38" s="154"/>
      <c r="X38" s="154"/>
      <c r="Y38" s="154"/>
      <c r="Z38" s="154"/>
      <c r="AA38" s="154"/>
    </row>
    <row r="39" spans="1:27" ht="15" customHeight="1" x14ac:dyDescent="0.25">
      <c r="A39" s="153"/>
      <c r="B39" s="153"/>
      <c r="C39" s="153"/>
    </row>
    <row r="40" spans="1:27" ht="15" customHeight="1" x14ac:dyDescent="0.25">
      <c r="A40" s="153"/>
      <c r="B40" s="153"/>
      <c r="C40" s="153"/>
    </row>
    <row r="41" spans="1:27" ht="12.75" customHeight="1" x14ac:dyDescent="0.25">
      <c r="A41" s="153"/>
      <c r="B41" s="153"/>
      <c r="C41" s="153"/>
    </row>
    <row r="42" spans="1:27" ht="12.75" customHeight="1" x14ac:dyDescent="0.25">
      <c r="A42" s="153"/>
      <c r="B42" s="153"/>
      <c r="C42" s="153"/>
    </row>
    <row r="43" spans="1:27" ht="12.75" customHeight="1" x14ac:dyDescent="0.25">
      <c r="A43" s="153"/>
      <c r="B43" s="153"/>
      <c r="C43" s="153"/>
    </row>
    <row r="44" spans="1:27" ht="12.75" customHeight="1" x14ac:dyDescent="0.25">
      <c r="A44" s="153"/>
      <c r="B44" s="153"/>
      <c r="C44" s="153"/>
    </row>
    <row r="45" spans="1:27" ht="12.75" customHeight="1" x14ac:dyDescent="0.25">
      <c r="A45" s="153"/>
      <c r="B45" s="153"/>
      <c r="C45" s="153"/>
    </row>
    <row r="46" spans="1:27" ht="12.75" customHeight="1" x14ac:dyDescent="0.25">
      <c r="A46" s="153"/>
      <c r="B46" s="153"/>
      <c r="C46" s="153"/>
    </row>
    <row r="47" spans="1:27" ht="12.75" customHeight="1" x14ac:dyDescent="0.25">
      <c r="A47" s="153"/>
      <c r="B47" s="153"/>
      <c r="C47" s="153"/>
    </row>
    <row r="48" spans="1:27" ht="15.75" customHeight="1" x14ac:dyDescent="0.25">
      <c r="A48" s="153"/>
      <c r="B48" s="153"/>
      <c r="C48" s="153"/>
    </row>
    <row r="49" spans="1:3" s="4" customFormat="1" ht="15.75" x14ac:dyDescent="0.25">
      <c r="A49" s="58"/>
      <c r="B49" s="19"/>
      <c r="C49" s="19"/>
    </row>
    <row r="50" spans="1:3" s="4" customFormat="1" ht="15.75" x14ac:dyDescent="0.25">
      <c r="A50" s="58"/>
      <c r="B50" s="19"/>
      <c r="C50" s="19"/>
    </row>
    <row r="51" spans="1:3" s="4" customFormat="1" ht="15.75" x14ac:dyDescent="0.25">
      <c r="A51" s="58"/>
      <c r="B51" s="19"/>
      <c r="C51" s="19"/>
    </row>
    <row r="52" spans="1:3" s="4" customFormat="1" ht="15.75" x14ac:dyDescent="0.25">
      <c r="A52" s="58"/>
      <c r="B52" s="19"/>
      <c r="C52" s="19"/>
    </row>
    <row r="53" spans="1:3" s="4" customFormat="1" ht="15.75" x14ac:dyDescent="0.25">
      <c r="A53" s="152"/>
      <c r="B53" s="19"/>
      <c r="C53" s="19"/>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499984740745262"/>
  </sheetPr>
  <dimension ref="A1:AE68"/>
  <sheetViews>
    <sheetView showGridLines="0" zoomScale="81" zoomScaleNormal="100" workbookViewId="0">
      <selection activeCell="C3" sqref="C3"/>
    </sheetView>
  </sheetViews>
  <sheetFormatPr defaultColWidth="9" defaultRowHeight="12.75" x14ac:dyDescent="0.2"/>
  <cols>
    <col min="1" max="1" width="22.75" style="4" customWidth="1"/>
    <col min="2" max="16" width="13" style="4" customWidth="1"/>
    <col min="17" max="17" width="15" style="4" customWidth="1"/>
    <col min="18" max="20" width="9" style="4"/>
    <col min="21" max="22" width="13" style="4" customWidth="1"/>
    <col min="23" max="16384" width="9" style="4"/>
  </cols>
  <sheetData>
    <row r="1" spans="1:17" ht="20.25" x14ac:dyDescent="0.3">
      <c r="A1" s="1"/>
      <c r="B1" s="2"/>
      <c r="C1" s="2"/>
      <c r="F1" s="2"/>
      <c r="G1" s="2"/>
    </row>
    <row r="2" spans="1:17" x14ac:dyDescent="0.2">
      <c r="A2" s="5"/>
      <c r="B2" s="2"/>
      <c r="C2" s="2"/>
      <c r="F2" s="2"/>
      <c r="G2" s="2"/>
    </row>
    <row r="3" spans="1:17" x14ac:dyDescent="0.2">
      <c r="A3" s="2"/>
      <c r="B3" s="2"/>
      <c r="C3" s="2"/>
      <c r="F3" s="2"/>
      <c r="G3" s="2"/>
    </row>
    <row r="4" spans="1:17" x14ac:dyDescent="0.2">
      <c r="A4" s="2"/>
      <c r="B4" s="2"/>
      <c r="C4" s="2"/>
      <c r="D4" s="2"/>
      <c r="E4" s="2"/>
      <c r="F4" s="2"/>
      <c r="G4" s="2"/>
      <c r="H4" s="2"/>
      <c r="I4" s="2"/>
      <c r="J4" s="2"/>
    </row>
    <row r="5" spans="1:17" ht="15" customHeight="1" x14ac:dyDescent="0.2">
      <c r="A5" s="6"/>
      <c r="B5" s="77"/>
      <c r="C5" s="3"/>
      <c r="H5" s="2"/>
      <c r="I5" s="2"/>
      <c r="J5" s="2"/>
    </row>
    <row r="6" spans="1:17" ht="15" customHeight="1" x14ac:dyDescent="0.2">
      <c r="A6" s="62" t="s">
        <v>21</v>
      </c>
      <c r="B6" s="63"/>
      <c r="C6" s="64"/>
      <c r="D6" s="64"/>
      <c r="E6" s="64"/>
      <c r="G6" s="252" t="s">
        <v>51</v>
      </c>
      <c r="H6" s="248" t="s">
        <v>70</v>
      </c>
      <c r="I6" s="249"/>
      <c r="J6" s="250" t="s">
        <v>48</v>
      </c>
      <c r="K6" s="251"/>
      <c r="M6" s="19"/>
    </row>
    <row r="7" spans="1:17" ht="15" customHeight="1" x14ac:dyDescent="0.25">
      <c r="A7" s="21" t="s">
        <v>64</v>
      </c>
      <c r="B7" s="133"/>
      <c r="C7" s="133"/>
      <c r="D7" s="133"/>
      <c r="E7" s="134">
        <v>42430</v>
      </c>
      <c r="G7" s="148" t="s">
        <v>50</v>
      </c>
      <c r="H7" s="142" t="s">
        <v>65</v>
      </c>
      <c r="I7" s="143"/>
      <c r="J7" s="144" t="s">
        <v>66</v>
      </c>
      <c r="K7" s="147"/>
      <c r="M7" s="19"/>
    </row>
    <row r="8" spans="1:17" ht="15" customHeight="1" x14ac:dyDescent="0.25">
      <c r="A8" s="21" t="s">
        <v>39</v>
      </c>
      <c r="B8" s="7"/>
      <c r="C8" s="86"/>
      <c r="D8" s="86"/>
      <c r="E8" s="25">
        <v>6000000</v>
      </c>
      <c r="G8" s="149"/>
      <c r="H8" s="128" t="s">
        <v>45</v>
      </c>
      <c r="I8" s="129" t="s">
        <v>17</v>
      </c>
      <c r="J8" s="31" t="s">
        <v>45</v>
      </c>
      <c r="K8" s="32" t="s">
        <v>17</v>
      </c>
      <c r="M8" s="19"/>
    </row>
    <row r="9" spans="1:17" ht="15" customHeight="1" x14ac:dyDescent="0.25">
      <c r="A9" s="21" t="s">
        <v>71</v>
      </c>
      <c r="B9" s="7"/>
      <c r="C9" s="86"/>
      <c r="D9" s="86"/>
      <c r="E9" s="71">
        <v>2500000</v>
      </c>
      <c r="G9" s="81" t="s">
        <v>15</v>
      </c>
      <c r="H9" s="72">
        <f>SUM(D36:D39)</f>
        <v>16300000</v>
      </c>
      <c r="I9" s="279">
        <f>H9/$H$14</f>
        <v>0.93142857142857138</v>
      </c>
      <c r="J9" s="72">
        <f>SUM(J36:J39)</f>
        <v>16300000</v>
      </c>
      <c r="K9" s="280">
        <f>J9/$J$14</f>
        <v>0.45262276997983952</v>
      </c>
      <c r="M9" s="19"/>
    </row>
    <row r="10" spans="1:17" ht="15" customHeight="1" x14ac:dyDescent="0.25">
      <c r="A10" s="21" t="s">
        <v>133</v>
      </c>
      <c r="E10" s="73">
        <f>+SUM(K43:K44)</f>
        <v>9.7188938339229328E-2</v>
      </c>
      <c r="G10" s="82" t="s">
        <v>122</v>
      </c>
      <c r="H10" s="72">
        <f>SUM(D40:D42)</f>
        <v>200000</v>
      </c>
      <c r="I10" s="280">
        <f>H10/$H$14</f>
        <v>1.1428571428571429E-2</v>
      </c>
      <c r="J10" s="72">
        <f>SUM(J40:J42)</f>
        <v>200000</v>
      </c>
      <c r="K10" s="280">
        <f>J10/$J$14</f>
        <v>5.5536536193845345E-3</v>
      </c>
    </row>
    <row r="11" spans="1:17" ht="15" customHeight="1" x14ac:dyDescent="0.25">
      <c r="A11" s="21" t="s">
        <v>38</v>
      </c>
      <c r="B11" s="7"/>
      <c r="C11" s="86"/>
      <c r="D11" s="86"/>
      <c r="E11" s="22">
        <f>D51</f>
        <v>20000000</v>
      </c>
      <c r="G11" s="82" t="s">
        <v>16</v>
      </c>
      <c r="H11" s="72">
        <f>+D43</f>
        <v>1000000</v>
      </c>
      <c r="I11" s="280">
        <f>H11/$H$14</f>
        <v>5.7142857142857141E-2</v>
      </c>
      <c r="J11" s="72">
        <f>J43+J44</f>
        <v>3500000</v>
      </c>
      <c r="K11" s="280">
        <f>J11/$J$14</f>
        <v>9.7188938339229355E-2</v>
      </c>
    </row>
    <row r="12" spans="1:17" ht="15" customHeight="1" x14ac:dyDescent="0.25">
      <c r="A12" s="21" t="s">
        <v>19</v>
      </c>
      <c r="B12" s="7"/>
      <c r="C12" s="86"/>
      <c r="D12" s="86"/>
      <c r="E12" s="241">
        <f>E8/E11</f>
        <v>0.3</v>
      </c>
      <c r="G12" s="82" t="s">
        <v>42</v>
      </c>
      <c r="H12" s="72"/>
      <c r="I12" s="280"/>
      <c r="J12" s="72">
        <f>SUM(J45:J48)</f>
        <v>6012328.7671232866</v>
      </c>
      <c r="K12" s="280">
        <f>J12/$J$14</f>
        <v>0.16695195709231997</v>
      </c>
      <c r="P12" s="19"/>
    </row>
    <row r="13" spans="1:17" ht="15" customHeight="1" x14ac:dyDescent="0.25">
      <c r="A13" s="21"/>
      <c r="B13" s="7"/>
      <c r="C13" s="86"/>
      <c r="D13" s="86"/>
      <c r="E13" s="23"/>
      <c r="G13" s="82" t="s">
        <v>49</v>
      </c>
      <c r="H13" s="86"/>
      <c r="I13" s="287"/>
      <c r="J13" s="74">
        <f>+SUM(J49:J50)</f>
        <v>10000000</v>
      </c>
      <c r="K13" s="280">
        <f>J13/$J$14</f>
        <v>0.27768268096922671</v>
      </c>
    </row>
    <row r="14" spans="1:17" ht="15" customHeight="1" x14ac:dyDescent="0.2">
      <c r="A14" s="67" t="s">
        <v>36</v>
      </c>
      <c r="B14" s="68"/>
      <c r="C14" s="69" t="s">
        <v>58</v>
      </c>
      <c r="D14" s="139" t="s">
        <v>35</v>
      </c>
      <c r="E14" s="140" t="s">
        <v>37</v>
      </c>
      <c r="G14" s="83" t="s">
        <v>18</v>
      </c>
      <c r="H14" s="75">
        <f>SUM(H9:H13)</f>
        <v>17500000</v>
      </c>
      <c r="I14" s="288">
        <f>SUM(I9:I13)</f>
        <v>1</v>
      </c>
      <c r="J14" s="75">
        <f>SUM(J9:J13)</f>
        <v>36012328.767123282</v>
      </c>
      <c r="K14" s="289">
        <f>SUM(K9:K13)</f>
        <v>1.0000000000000002</v>
      </c>
    </row>
    <row r="15" spans="1:17" ht="15" customHeight="1" x14ac:dyDescent="0.25">
      <c r="A15" s="21" t="str">
        <f>+G19</f>
        <v>Angel #1</v>
      </c>
      <c r="B15" s="42"/>
      <c r="C15" s="66">
        <f>+'Convertible Notes'!B9</f>
        <v>250000</v>
      </c>
      <c r="D15" s="66">
        <f>+D24</f>
        <v>0</v>
      </c>
      <c r="E15" s="27">
        <f t="shared" ref="E15:E20" si="0">+SUM(C15:D15)</f>
        <v>250000</v>
      </c>
      <c r="F15" s="10"/>
      <c r="G15" s="10"/>
      <c r="H15" s="10"/>
      <c r="I15" s="10"/>
      <c r="J15" s="10"/>
      <c r="Q15" s="3"/>
    </row>
    <row r="16" spans="1:17" ht="15" customHeight="1" x14ac:dyDescent="0.25">
      <c r="A16" s="21" t="str">
        <f>+G20</f>
        <v>Angel #2</v>
      </c>
      <c r="B16" s="42"/>
      <c r="C16" s="66">
        <f>+'Convertible Notes'!B10</f>
        <v>250000</v>
      </c>
      <c r="D16" s="66">
        <f>+D25</f>
        <v>0</v>
      </c>
      <c r="E16" s="27">
        <f t="shared" si="0"/>
        <v>250000</v>
      </c>
      <c r="G16" s="329" t="s">
        <v>110</v>
      </c>
      <c r="H16" s="248"/>
      <c r="I16" s="248"/>
      <c r="J16" s="248"/>
      <c r="K16" s="248"/>
      <c r="L16" s="248"/>
      <c r="M16" s="248"/>
      <c r="N16" s="248"/>
      <c r="O16" s="248"/>
      <c r="P16" s="330"/>
      <c r="Q16" s="249"/>
    </row>
    <row r="17" spans="1:28" ht="15" customHeight="1" x14ac:dyDescent="0.25">
      <c r="A17" s="21" t="str">
        <f>+G21</f>
        <v>Angel #3</v>
      </c>
      <c r="B17" s="42"/>
      <c r="C17" s="66">
        <f>+'Convertible Notes'!B11</f>
        <v>250000</v>
      </c>
      <c r="D17" s="66">
        <f>+D26</f>
        <v>0</v>
      </c>
      <c r="E17" s="27">
        <f t="shared" si="0"/>
        <v>250000</v>
      </c>
      <c r="G17" s="331"/>
      <c r="H17" s="320" t="s">
        <v>102</v>
      </c>
      <c r="I17" s="320" t="s">
        <v>104</v>
      </c>
      <c r="J17" s="320" t="s">
        <v>104</v>
      </c>
      <c r="K17" s="320" t="s">
        <v>5</v>
      </c>
      <c r="L17" s="320" t="s">
        <v>113</v>
      </c>
      <c r="M17" s="320" t="s">
        <v>113</v>
      </c>
      <c r="N17" s="320" t="s">
        <v>5</v>
      </c>
      <c r="O17" s="320" t="s">
        <v>112</v>
      </c>
      <c r="P17" s="320" t="s">
        <v>108</v>
      </c>
      <c r="Q17" s="332" t="s">
        <v>119</v>
      </c>
      <c r="R17" s="10"/>
      <c r="S17" s="10"/>
      <c r="T17" s="10"/>
      <c r="U17" s="10"/>
      <c r="V17" s="10"/>
      <c r="W17" s="10"/>
      <c r="X17" s="10"/>
      <c r="Y17" s="10"/>
      <c r="Z17" s="10"/>
      <c r="AA17" s="10"/>
      <c r="AB17" s="10"/>
    </row>
    <row r="18" spans="1:28" ht="15" customHeight="1" x14ac:dyDescent="0.25">
      <c r="A18" s="21" t="str">
        <f>+G22</f>
        <v>Angels #4-10</v>
      </c>
      <c r="B18" s="42"/>
      <c r="C18" s="66">
        <f>+'Convertible Notes'!B24</f>
        <v>350000</v>
      </c>
      <c r="D18" s="66">
        <f>D27</f>
        <v>0</v>
      </c>
      <c r="E18" s="27">
        <f t="shared" si="0"/>
        <v>350000</v>
      </c>
      <c r="G18" s="331" t="s">
        <v>36</v>
      </c>
      <c r="H18" s="320" t="s">
        <v>103</v>
      </c>
      <c r="I18" s="320" t="s">
        <v>75</v>
      </c>
      <c r="J18" s="320" t="s">
        <v>80</v>
      </c>
      <c r="K18" s="320" t="s">
        <v>105</v>
      </c>
      <c r="L18" s="320" t="s">
        <v>106</v>
      </c>
      <c r="M18" s="320" t="s">
        <v>107</v>
      </c>
      <c r="N18" s="320" t="s">
        <v>7</v>
      </c>
      <c r="O18" s="320" t="s">
        <v>111</v>
      </c>
      <c r="P18" s="320" t="s">
        <v>109</v>
      </c>
      <c r="Q18" s="332" t="s">
        <v>120</v>
      </c>
      <c r="R18" s="10"/>
      <c r="S18" s="10"/>
      <c r="T18" s="10"/>
      <c r="U18" s="10"/>
      <c r="V18" s="10"/>
      <c r="W18" s="10"/>
      <c r="X18" s="10"/>
      <c r="Y18" s="10"/>
      <c r="Z18" s="10"/>
      <c r="AA18" s="10"/>
      <c r="AB18" s="10"/>
    </row>
    <row r="19" spans="1:28" ht="15" customHeight="1" x14ac:dyDescent="0.25">
      <c r="A19" s="21" t="str">
        <f>+A28</f>
        <v>Series A Lead Investor</v>
      </c>
      <c r="B19" s="42"/>
      <c r="C19" s="86"/>
      <c r="D19" s="66">
        <f>+D28</f>
        <v>2500000</v>
      </c>
      <c r="E19" s="27">
        <f t="shared" si="0"/>
        <v>2500000</v>
      </c>
      <c r="G19" s="21" t="str">
        <f>+'Convertible Notes'!A21</f>
        <v>Angel #1</v>
      </c>
      <c r="H19" s="167">
        <f>+'Convertible Notes'!K21</f>
        <v>273287.67123287672</v>
      </c>
      <c r="I19" s="174">
        <f>+'Convertible Notes'!E21</f>
        <v>0.2</v>
      </c>
      <c r="J19" s="66">
        <f>+'Convertible Notes'!F21</f>
        <v>4000000</v>
      </c>
      <c r="K19" s="175">
        <f>'Series A Cap Table'!$E$12</f>
        <v>0.3</v>
      </c>
      <c r="L19" s="175">
        <f>+(1-I19)*K19</f>
        <v>0.24</v>
      </c>
      <c r="M19" s="327">
        <f>+IF(J19/'Series A Cap Table'!$D$51=0,"n/a",J19/'Series A Cap Table'!$D$51)</f>
        <v>0.2</v>
      </c>
      <c r="N19" s="17">
        <f>+IFERROR(H19/MIN(K19,L19,M19),0)</f>
        <v>1366438.3561643835</v>
      </c>
      <c r="O19" s="66">
        <f>+N19*K19</f>
        <v>409931.50684931502</v>
      </c>
      <c r="P19" s="206">
        <f>+IFERROR(IF(MAX(-(M19-K19)/K19,-(L19-K19)/K19,0)=1,"n/a",MAX(-(M19-K19)/K19,-(L19-K19)/K19,0)),"n/a")</f>
        <v>0.33333333333333326</v>
      </c>
      <c r="Q19" s="307">
        <f>IFERROR(O19/'Convertible Notes'!B21,"n/a")</f>
        <v>1.63972602739726</v>
      </c>
      <c r="R19" s="10"/>
      <c r="S19" s="10"/>
      <c r="T19" s="10"/>
      <c r="U19" s="10"/>
      <c r="V19" s="10"/>
      <c r="W19" s="10"/>
      <c r="X19" s="10"/>
      <c r="Y19" s="10"/>
      <c r="Z19" s="10"/>
      <c r="AA19" s="10"/>
      <c r="AB19" s="10"/>
    </row>
    <row r="20" spans="1:28" ht="15" customHeight="1" x14ac:dyDescent="0.25">
      <c r="A20" s="21" t="str">
        <f>+A29</f>
        <v>Series A Other Investors</v>
      </c>
      <c r="B20" s="42"/>
      <c r="C20" s="86"/>
      <c r="D20" s="66">
        <f>+D29</f>
        <v>500000</v>
      </c>
      <c r="E20" s="27">
        <f t="shared" si="0"/>
        <v>500000</v>
      </c>
      <c r="G20" s="21" t="str">
        <f>+'Convertible Notes'!A22</f>
        <v>Angel #2</v>
      </c>
      <c r="H20" s="167">
        <f>+'Convertible Notes'!K22</f>
        <v>273287.67123287672</v>
      </c>
      <c r="I20" s="174">
        <f>+'Convertible Notes'!E22</f>
        <v>0.2</v>
      </c>
      <c r="J20" s="66">
        <f>+'Convertible Notes'!F22</f>
        <v>4000000</v>
      </c>
      <c r="K20" s="175">
        <f>'Series A Cap Table'!$E$12</f>
        <v>0.3</v>
      </c>
      <c r="L20" s="175">
        <f t="shared" ref="L20:L22" si="1">+(1-I20)*K20</f>
        <v>0.24</v>
      </c>
      <c r="M20" s="327">
        <f>+IF(J20/'Series A Cap Table'!$D$51=0,"n/a",J20/'Series A Cap Table'!$D$51)</f>
        <v>0.2</v>
      </c>
      <c r="N20" s="17">
        <f t="shared" ref="N20:N22" si="2">+IFERROR(H20/MIN(K20,L20,M20),0)</f>
        <v>1366438.3561643835</v>
      </c>
      <c r="O20" s="66">
        <f t="shared" ref="O20:O22" si="3">+N20*K20</f>
        <v>409931.50684931502</v>
      </c>
      <c r="P20" s="206">
        <f t="shared" ref="P20:P22" si="4">+IFERROR(IF(MAX(-(M20-K20)/K20,-(L20-K20)/K20,0)=1,"n/a",MAX(-(M20-K20)/K20,-(L20-K20)/K20,0)),"n/a")</f>
        <v>0.33333333333333326</v>
      </c>
      <c r="Q20" s="307">
        <f>IFERROR(O20/'Convertible Notes'!B22,"n/a")</f>
        <v>1.63972602739726</v>
      </c>
      <c r="R20" s="10"/>
      <c r="S20" s="10"/>
      <c r="T20" s="10"/>
      <c r="U20" s="10"/>
      <c r="V20" s="10"/>
      <c r="W20" s="10"/>
      <c r="X20" s="10"/>
      <c r="Y20" s="10"/>
      <c r="Z20" s="10"/>
      <c r="AA20" s="10"/>
      <c r="AB20" s="10"/>
    </row>
    <row r="21" spans="1:28" ht="15" customHeight="1" x14ac:dyDescent="0.25">
      <c r="A21" s="28" t="s">
        <v>34</v>
      </c>
      <c r="B21" s="61"/>
      <c r="C21" s="198">
        <f>SUM(C15:C20)</f>
        <v>1100000</v>
      </c>
      <c r="D21" s="198">
        <f>SUM(D15:D20)</f>
        <v>3000000</v>
      </c>
      <c r="E21" s="95">
        <f>SUM(E15:E20)</f>
        <v>4100000</v>
      </c>
      <c r="G21" s="21" t="str">
        <f>+'Convertible Notes'!A23</f>
        <v>Angel #3</v>
      </c>
      <c r="H21" s="167">
        <f>+'Convertible Notes'!K23</f>
        <v>273287.67123287672</v>
      </c>
      <c r="I21" s="174">
        <f>+'Convertible Notes'!E23</f>
        <v>0.2</v>
      </c>
      <c r="J21" s="66">
        <f>+'Convertible Notes'!F23</f>
        <v>4000000</v>
      </c>
      <c r="K21" s="175">
        <f>'Series A Cap Table'!$E$12</f>
        <v>0.3</v>
      </c>
      <c r="L21" s="175">
        <f>+(1-I21)*K21</f>
        <v>0.24</v>
      </c>
      <c r="M21" s="327">
        <f>+IF(J21/'Series A Cap Table'!$D$51=0,"n/a",J21/'Series A Cap Table'!$D$51)</f>
        <v>0.2</v>
      </c>
      <c r="N21" s="17">
        <f>+IFERROR(H21/MIN(K21,L21,M21),0)</f>
        <v>1366438.3561643835</v>
      </c>
      <c r="O21" s="66">
        <f>+N21*K21</f>
        <v>409931.50684931502</v>
      </c>
      <c r="P21" s="206">
        <f t="shared" si="4"/>
        <v>0.33333333333333326</v>
      </c>
      <c r="Q21" s="307">
        <f>IFERROR(O21/'Convertible Notes'!B23,"n/a")</f>
        <v>1.63972602739726</v>
      </c>
      <c r="R21" s="10"/>
      <c r="S21" s="10"/>
      <c r="T21" s="10"/>
      <c r="U21" s="10"/>
      <c r="V21" s="10"/>
      <c r="W21" s="10"/>
      <c r="X21" s="10"/>
      <c r="Y21" s="10"/>
      <c r="Z21" s="10"/>
      <c r="AA21" s="10"/>
      <c r="AB21" s="10"/>
    </row>
    <row r="22" spans="1:28" ht="15" customHeight="1" x14ac:dyDescent="0.25">
      <c r="A22" s="199"/>
      <c r="B22" s="19"/>
      <c r="C22" s="19"/>
      <c r="D22" s="19"/>
      <c r="E22" s="200"/>
      <c r="G22" s="308" t="str">
        <f>+'Convertible Notes'!A24</f>
        <v>Angels #4-10</v>
      </c>
      <c r="H22" s="309">
        <f>+'Convertible Notes'!K24</f>
        <v>382602.73972602736</v>
      </c>
      <c r="I22" s="310">
        <f>+'Convertible Notes'!E24</f>
        <v>0.2</v>
      </c>
      <c r="J22" s="311">
        <f>+'Convertible Notes'!F24</f>
        <v>4000000</v>
      </c>
      <c r="K22" s="312">
        <f>'Series A Cap Table'!$E$12</f>
        <v>0.3</v>
      </c>
      <c r="L22" s="312">
        <f t="shared" si="1"/>
        <v>0.24</v>
      </c>
      <c r="M22" s="328">
        <f>+IF(J22/'Series A Cap Table'!$D$51=0,"n/a",J22/'Series A Cap Table'!$D$51)</f>
        <v>0.2</v>
      </c>
      <c r="N22" s="313">
        <f t="shared" si="2"/>
        <v>1913013.6986301367</v>
      </c>
      <c r="O22" s="311">
        <f t="shared" si="3"/>
        <v>573904.10958904098</v>
      </c>
      <c r="P22" s="211">
        <f t="shared" si="4"/>
        <v>0.33333333333333326</v>
      </c>
      <c r="Q22" s="314">
        <f>IFERROR(O22/'Convertible Notes'!B24,"n/a")</f>
        <v>1.63972602739726</v>
      </c>
      <c r="R22" s="10"/>
      <c r="S22" s="10"/>
      <c r="T22" s="10"/>
      <c r="U22" s="10"/>
      <c r="V22" s="10"/>
      <c r="W22" s="10"/>
      <c r="X22" s="10"/>
      <c r="Y22" s="10"/>
      <c r="Z22" s="10"/>
      <c r="AA22" s="10"/>
      <c r="AB22" s="10"/>
    </row>
    <row r="23" spans="1:28" ht="15" customHeight="1" x14ac:dyDescent="0.25">
      <c r="A23" s="67" t="s">
        <v>36</v>
      </c>
      <c r="B23" s="68"/>
      <c r="C23" s="69" t="s">
        <v>58</v>
      </c>
      <c r="D23" s="139" t="s">
        <v>35</v>
      </c>
      <c r="E23" s="140" t="s">
        <v>37</v>
      </c>
      <c r="R23" s="10"/>
      <c r="S23" s="10"/>
      <c r="T23" s="10"/>
      <c r="U23" s="10"/>
      <c r="V23" s="10"/>
      <c r="W23" s="10"/>
      <c r="X23" s="10"/>
      <c r="Y23" s="10"/>
      <c r="Z23" s="10"/>
      <c r="AA23" s="10"/>
      <c r="AB23" s="10"/>
    </row>
    <row r="24" spans="1:28" ht="15" customHeight="1" x14ac:dyDescent="0.25">
      <c r="A24" s="21" t="str">
        <f>+G19</f>
        <v>Angel #1</v>
      </c>
      <c r="B24" s="7"/>
      <c r="C24" s="41">
        <f>+O19</f>
        <v>409931.50684931502</v>
      </c>
      <c r="D24" s="65">
        <v>0</v>
      </c>
      <c r="E24" s="27">
        <f t="shared" ref="E24:E29" si="5">+SUM(C24:D24)</f>
        <v>409931.50684931502</v>
      </c>
      <c r="R24" s="10"/>
      <c r="S24" s="10"/>
      <c r="T24" s="10"/>
      <c r="U24" s="10"/>
      <c r="V24" s="10"/>
      <c r="W24" s="10"/>
      <c r="X24" s="10"/>
      <c r="Y24" s="10"/>
      <c r="Z24" s="10"/>
      <c r="AA24" s="10"/>
      <c r="AB24" s="10"/>
    </row>
    <row r="25" spans="1:28" ht="15" customHeight="1" x14ac:dyDescent="0.25">
      <c r="A25" s="21" t="str">
        <f>+G20</f>
        <v>Angel #2</v>
      </c>
      <c r="B25" s="7"/>
      <c r="C25" s="41">
        <f>+O20</f>
        <v>409931.50684931502</v>
      </c>
      <c r="D25" s="65">
        <v>0</v>
      </c>
      <c r="E25" s="27">
        <f t="shared" si="5"/>
        <v>409931.50684931502</v>
      </c>
      <c r="U25" s="10"/>
      <c r="V25" s="10"/>
      <c r="W25" s="10"/>
      <c r="X25" s="10"/>
      <c r="Y25" s="10"/>
      <c r="Z25" s="10"/>
      <c r="AA25" s="10"/>
      <c r="AB25" s="10"/>
    </row>
    <row r="26" spans="1:28" ht="15" customHeight="1" x14ac:dyDescent="0.25">
      <c r="A26" s="21" t="str">
        <f>+G21</f>
        <v>Angel #3</v>
      </c>
      <c r="B26" s="7"/>
      <c r="C26" s="41">
        <f>+O21</f>
        <v>409931.50684931502</v>
      </c>
      <c r="D26" s="65">
        <v>0</v>
      </c>
      <c r="E26" s="27">
        <f t="shared" si="5"/>
        <v>409931.50684931502</v>
      </c>
      <c r="U26" s="10"/>
      <c r="V26" s="10"/>
      <c r="W26" s="10"/>
      <c r="X26" s="10"/>
      <c r="Y26" s="10"/>
      <c r="Z26" s="10"/>
      <c r="AA26" s="10"/>
      <c r="AB26" s="10"/>
    </row>
    <row r="27" spans="1:28" ht="15" customHeight="1" x14ac:dyDescent="0.25">
      <c r="A27" s="21" t="str">
        <f>+G22</f>
        <v>Angels #4-10</v>
      </c>
      <c r="B27" s="7"/>
      <c r="C27" s="41">
        <f>+O22</f>
        <v>573904.10958904098</v>
      </c>
      <c r="D27" s="65">
        <v>0</v>
      </c>
      <c r="E27" s="27">
        <f t="shared" si="5"/>
        <v>573904.10958904098</v>
      </c>
      <c r="T27" s="10"/>
      <c r="U27" s="10"/>
      <c r="V27" s="10"/>
      <c r="W27" s="10"/>
      <c r="X27" s="10"/>
      <c r="Y27" s="10"/>
      <c r="Z27" s="10"/>
      <c r="AA27" s="10"/>
      <c r="AB27" s="10"/>
    </row>
    <row r="28" spans="1:28" ht="15" customHeight="1" x14ac:dyDescent="0.25">
      <c r="A28" s="150" t="s">
        <v>87</v>
      </c>
      <c r="B28" s="7"/>
      <c r="C28" s="86"/>
      <c r="D28" s="65">
        <v>2500000</v>
      </c>
      <c r="E28" s="27">
        <f t="shared" si="5"/>
        <v>2500000</v>
      </c>
      <c r="T28" s="7"/>
      <c r="U28" s="10"/>
      <c r="V28" s="10"/>
      <c r="W28" s="10"/>
      <c r="X28" s="10"/>
      <c r="Y28" s="10"/>
      <c r="Z28" s="10"/>
      <c r="AA28" s="10"/>
      <c r="AB28" s="10"/>
    </row>
    <row r="29" spans="1:28" ht="15" customHeight="1" x14ac:dyDescent="0.25">
      <c r="A29" s="150" t="s">
        <v>88</v>
      </c>
      <c r="B29" s="7"/>
      <c r="C29" s="86"/>
      <c r="D29" s="65">
        <v>500000</v>
      </c>
      <c r="E29" s="27">
        <f t="shared" si="5"/>
        <v>500000</v>
      </c>
      <c r="T29" s="171"/>
      <c r="U29" s="10"/>
      <c r="V29" s="10"/>
      <c r="W29" s="10"/>
      <c r="X29" s="10"/>
      <c r="Y29" s="10"/>
      <c r="Z29" s="10"/>
      <c r="AA29" s="10"/>
      <c r="AB29" s="10"/>
    </row>
    <row r="30" spans="1:28" ht="15" customHeight="1" x14ac:dyDescent="0.25">
      <c r="A30" s="26" t="s">
        <v>24</v>
      </c>
      <c r="B30" s="61"/>
      <c r="C30" s="198">
        <f>SUM(C24:C29)</f>
        <v>1803698.630136986</v>
      </c>
      <c r="D30" s="198">
        <f>SUM(D24:D29)</f>
        <v>3000000</v>
      </c>
      <c r="E30" s="95">
        <f>SUM(E24:E29)</f>
        <v>4803698.6301369863</v>
      </c>
      <c r="T30" s="172"/>
      <c r="U30" s="10"/>
      <c r="V30" s="10"/>
      <c r="W30" s="10"/>
      <c r="X30" s="10"/>
      <c r="Y30" s="10"/>
      <c r="Z30" s="10"/>
      <c r="AA30" s="10"/>
      <c r="AB30" s="10"/>
    </row>
    <row r="31" spans="1:28" ht="15" customHeight="1" x14ac:dyDescent="0.25">
      <c r="A31" s="158" t="s">
        <v>2</v>
      </c>
      <c r="B31" s="159"/>
      <c r="C31" s="160"/>
      <c r="D31" s="160"/>
      <c r="E31" s="161">
        <f>J51*E12</f>
        <v>10803698.630136987</v>
      </c>
      <c r="T31" s="172"/>
      <c r="U31" s="10"/>
      <c r="V31" s="10"/>
      <c r="W31" s="10"/>
      <c r="X31" s="10"/>
      <c r="Y31" s="10"/>
      <c r="Z31" s="10"/>
      <c r="AA31" s="10"/>
      <c r="AB31" s="10"/>
    </row>
    <row r="32" spans="1:28" ht="15" customHeight="1" thickBot="1" x14ac:dyDescent="0.3">
      <c r="A32" s="76"/>
      <c r="B32" s="10"/>
      <c r="C32" s="10"/>
      <c r="D32" s="10"/>
      <c r="E32" s="10"/>
      <c r="F32" s="9"/>
      <c r="G32" s="20"/>
      <c r="H32" s="20"/>
      <c r="I32" s="20"/>
      <c r="J32" s="20"/>
      <c r="K32" s="10"/>
      <c r="L32" s="10"/>
      <c r="M32" s="10"/>
      <c r="N32" s="10"/>
      <c r="O32" s="10"/>
      <c r="P32" s="10"/>
      <c r="Q32" s="10"/>
      <c r="R32" s="10"/>
      <c r="S32" s="10"/>
      <c r="T32" s="10"/>
      <c r="U32" s="10"/>
      <c r="V32" s="10"/>
      <c r="W32" s="10"/>
      <c r="X32" s="10"/>
      <c r="Y32" s="10"/>
      <c r="Z32" s="10"/>
      <c r="AA32" s="10"/>
      <c r="AB32" s="10"/>
    </row>
    <row r="33" spans="1:13" ht="15" customHeight="1" x14ac:dyDescent="0.2">
      <c r="A33" s="263" t="s">
        <v>4</v>
      </c>
      <c r="B33" s="264"/>
      <c r="C33" s="264"/>
      <c r="D33" s="264"/>
      <c r="E33" s="265"/>
      <c r="F33" s="261" t="s">
        <v>5</v>
      </c>
      <c r="G33" s="262"/>
      <c r="H33" s="262"/>
      <c r="I33" s="262"/>
      <c r="J33" s="273" t="s">
        <v>132</v>
      </c>
      <c r="K33" s="270"/>
    </row>
    <row r="34" spans="1:13" s="3" customFormat="1" ht="15" customHeight="1" x14ac:dyDescent="0.2">
      <c r="A34" s="348" t="s">
        <v>3</v>
      </c>
      <c r="B34" s="12" t="s">
        <v>4</v>
      </c>
      <c r="C34" s="12" t="s">
        <v>4</v>
      </c>
      <c r="D34" s="12" t="s">
        <v>125</v>
      </c>
      <c r="E34" s="99" t="s">
        <v>44</v>
      </c>
      <c r="F34" s="103" t="s">
        <v>40</v>
      </c>
      <c r="G34" s="30" t="s">
        <v>123</v>
      </c>
      <c r="H34" s="30" t="s">
        <v>5</v>
      </c>
      <c r="I34" s="30" t="s">
        <v>43</v>
      </c>
      <c r="J34" s="274" t="s">
        <v>1</v>
      </c>
      <c r="K34" s="271" t="s">
        <v>13</v>
      </c>
    </row>
    <row r="35" spans="1:13" s="3" customFormat="1" ht="15" customHeight="1" x14ac:dyDescent="0.2">
      <c r="A35" s="349"/>
      <c r="B35" s="14" t="s">
        <v>6</v>
      </c>
      <c r="C35" s="14" t="s">
        <v>12</v>
      </c>
      <c r="D35" s="14" t="s">
        <v>124</v>
      </c>
      <c r="E35" s="100" t="s">
        <v>124</v>
      </c>
      <c r="F35" s="104" t="s">
        <v>41</v>
      </c>
      <c r="G35" s="31" t="s">
        <v>111</v>
      </c>
      <c r="H35" s="31" t="s">
        <v>7</v>
      </c>
      <c r="I35" s="31" t="s">
        <v>5</v>
      </c>
      <c r="J35" s="275" t="s">
        <v>124</v>
      </c>
      <c r="K35" s="272" t="s">
        <v>14</v>
      </c>
    </row>
    <row r="36" spans="1:13" s="3" customFormat="1" ht="15" customHeight="1" x14ac:dyDescent="0.25">
      <c r="A36" s="110" t="str">
        <f>'Pre-Investment Cap Table'!A10</f>
        <v>Employee #1</v>
      </c>
      <c r="B36" s="102">
        <f>'Pre-Investment Cap Table'!B10</f>
        <v>7500000</v>
      </c>
      <c r="C36" s="33">
        <f>'Pre-Investment Cap Table'!C10</f>
        <v>0</v>
      </c>
      <c r="D36" s="16">
        <f>B36+C36</f>
        <v>7500000</v>
      </c>
      <c r="E36" s="101">
        <f t="shared" ref="E36:E50" si="6">D36/$D$51</f>
        <v>0.375</v>
      </c>
      <c r="F36" s="335">
        <v>0</v>
      </c>
      <c r="G36" s="333">
        <v>0</v>
      </c>
      <c r="H36" s="34">
        <f t="shared" ref="H36:H44" si="7">(G36)/$E$12</f>
        <v>0</v>
      </c>
      <c r="I36" s="292">
        <f t="shared" ref="I36:I50" si="8">H36/$H$51</f>
        <v>0</v>
      </c>
      <c r="J36" s="276">
        <f t="shared" ref="J36:J50" si="9">H36+D36</f>
        <v>7500000</v>
      </c>
      <c r="K36" s="290">
        <f t="shared" ref="K36:K50" si="10">J36/$J$51</f>
        <v>0.20826201072691999</v>
      </c>
    </row>
    <row r="37" spans="1:13" s="3" customFormat="1" ht="15" customHeight="1" x14ac:dyDescent="0.25">
      <c r="A37" s="111" t="str">
        <f>'Pre-Investment Cap Table'!A11</f>
        <v>Employee #2</v>
      </c>
      <c r="B37" s="47">
        <f>'Pre-Investment Cap Table'!B11</f>
        <v>1750000</v>
      </c>
      <c r="C37" s="33">
        <f>'Pre-Investment Cap Table'!C11</f>
        <v>2500000</v>
      </c>
      <c r="D37" s="16">
        <f t="shared" ref="D37:D50" si="11">B37+C37</f>
        <v>4250000</v>
      </c>
      <c r="E37" s="101">
        <f t="shared" si="6"/>
        <v>0.21249999999999999</v>
      </c>
      <c r="F37" s="105">
        <v>0</v>
      </c>
      <c r="G37" s="333">
        <v>0</v>
      </c>
      <c r="H37" s="34">
        <f t="shared" si="7"/>
        <v>0</v>
      </c>
      <c r="I37" s="292">
        <f t="shared" si="8"/>
        <v>0</v>
      </c>
      <c r="J37" s="276">
        <f t="shared" si="9"/>
        <v>4250000</v>
      </c>
      <c r="K37" s="290">
        <f t="shared" si="10"/>
        <v>0.11801513941192134</v>
      </c>
    </row>
    <row r="38" spans="1:13" s="3" customFormat="1" ht="15" customHeight="1" x14ac:dyDescent="0.25">
      <c r="A38" s="111" t="str">
        <f>'Pre-Investment Cap Table'!A12</f>
        <v>Employee #3</v>
      </c>
      <c r="B38" s="47">
        <f>'Pre-Investment Cap Table'!B12</f>
        <v>0</v>
      </c>
      <c r="C38" s="33">
        <f>'Pre-Investment Cap Table'!C12</f>
        <v>2000000</v>
      </c>
      <c r="D38" s="16">
        <f t="shared" si="11"/>
        <v>2000000</v>
      </c>
      <c r="E38" s="101">
        <f t="shared" si="6"/>
        <v>0.1</v>
      </c>
      <c r="F38" s="105">
        <v>0</v>
      </c>
      <c r="G38" s="333">
        <v>0</v>
      </c>
      <c r="H38" s="34">
        <f t="shared" si="7"/>
        <v>0</v>
      </c>
      <c r="I38" s="292">
        <f t="shared" si="8"/>
        <v>0</v>
      </c>
      <c r="J38" s="276">
        <f t="shared" si="9"/>
        <v>2000000</v>
      </c>
      <c r="K38" s="290">
        <f t="shared" si="10"/>
        <v>5.5536536193845333E-2</v>
      </c>
    </row>
    <row r="39" spans="1:13" s="3" customFormat="1" ht="15" customHeight="1" x14ac:dyDescent="0.25">
      <c r="A39" s="111" t="str">
        <f>'Pre-Investment Cap Table'!A13</f>
        <v>Other Employees</v>
      </c>
      <c r="B39" s="47">
        <f>'Pre-Investment Cap Table'!B13</f>
        <v>750000</v>
      </c>
      <c r="C39" s="33">
        <f>'Pre-Investment Cap Table'!C13</f>
        <v>1800000</v>
      </c>
      <c r="D39" s="16">
        <f>B39+C39</f>
        <v>2550000</v>
      </c>
      <c r="E39" s="101">
        <f t="shared" si="6"/>
        <v>0.1275</v>
      </c>
      <c r="F39" s="105">
        <v>0</v>
      </c>
      <c r="G39" s="333">
        <v>0</v>
      </c>
      <c r="H39" s="34">
        <f t="shared" si="7"/>
        <v>0</v>
      </c>
      <c r="I39" s="292">
        <f t="shared" si="8"/>
        <v>0</v>
      </c>
      <c r="J39" s="276">
        <f t="shared" si="9"/>
        <v>2550000</v>
      </c>
      <c r="K39" s="290">
        <f t="shared" si="10"/>
        <v>7.0809083647152798E-2</v>
      </c>
      <c r="M39" s="60"/>
    </row>
    <row r="40" spans="1:13" s="3" customFormat="1" ht="15" customHeight="1" x14ac:dyDescent="0.25">
      <c r="A40" s="111" t="str">
        <f>'Pre-Investment Cap Table'!A14</f>
        <v>Advisor #1</v>
      </c>
      <c r="B40" s="47">
        <f>'Pre-Investment Cap Table'!B14</f>
        <v>0</v>
      </c>
      <c r="C40" s="33">
        <f>'Pre-Investment Cap Table'!C14</f>
        <v>50000</v>
      </c>
      <c r="D40" s="16">
        <f t="shared" si="11"/>
        <v>50000</v>
      </c>
      <c r="E40" s="101">
        <f t="shared" si="6"/>
        <v>2.5000000000000001E-3</v>
      </c>
      <c r="F40" s="105">
        <v>0</v>
      </c>
      <c r="G40" s="333">
        <v>0</v>
      </c>
      <c r="H40" s="34">
        <f t="shared" si="7"/>
        <v>0</v>
      </c>
      <c r="I40" s="292">
        <f t="shared" si="8"/>
        <v>0</v>
      </c>
      <c r="J40" s="276">
        <f t="shared" si="9"/>
        <v>50000</v>
      </c>
      <c r="K40" s="290">
        <f t="shared" si="10"/>
        <v>1.3884134048461332E-3</v>
      </c>
    </row>
    <row r="41" spans="1:13" s="3" customFormat="1" ht="15" customHeight="1" x14ac:dyDescent="0.25">
      <c r="A41" s="111" t="str">
        <f>'Pre-Investment Cap Table'!A15</f>
        <v>Advisor #2</v>
      </c>
      <c r="B41" s="47">
        <f>'Pre-Investment Cap Table'!B15</f>
        <v>0</v>
      </c>
      <c r="C41" s="33">
        <f>'Pre-Investment Cap Table'!C15</f>
        <v>50000</v>
      </c>
      <c r="D41" s="16">
        <f t="shared" si="11"/>
        <v>50000</v>
      </c>
      <c r="E41" s="101">
        <f t="shared" si="6"/>
        <v>2.5000000000000001E-3</v>
      </c>
      <c r="F41" s="105">
        <v>0</v>
      </c>
      <c r="G41" s="333">
        <v>0</v>
      </c>
      <c r="H41" s="34">
        <f t="shared" si="7"/>
        <v>0</v>
      </c>
      <c r="I41" s="292">
        <f t="shared" si="8"/>
        <v>0</v>
      </c>
      <c r="J41" s="276">
        <f t="shared" si="9"/>
        <v>50000</v>
      </c>
      <c r="K41" s="290">
        <f t="shared" si="10"/>
        <v>1.3884134048461332E-3</v>
      </c>
    </row>
    <row r="42" spans="1:13" s="3" customFormat="1" ht="15" customHeight="1" x14ac:dyDescent="0.25">
      <c r="A42" s="111" t="str">
        <f>'Pre-Investment Cap Table'!A16</f>
        <v>Consultant #1</v>
      </c>
      <c r="B42" s="47">
        <f>'Pre-Investment Cap Table'!B16</f>
        <v>0</v>
      </c>
      <c r="C42" s="33">
        <f>'Pre-Investment Cap Table'!C16</f>
        <v>100000</v>
      </c>
      <c r="D42" s="16">
        <f t="shared" si="11"/>
        <v>100000</v>
      </c>
      <c r="E42" s="101">
        <f t="shared" si="6"/>
        <v>5.0000000000000001E-3</v>
      </c>
      <c r="F42" s="105">
        <v>0</v>
      </c>
      <c r="G42" s="333">
        <v>0</v>
      </c>
      <c r="H42" s="34">
        <f t="shared" si="7"/>
        <v>0</v>
      </c>
      <c r="I42" s="292">
        <f t="shared" si="8"/>
        <v>0</v>
      </c>
      <c r="J42" s="276">
        <f t="shared" si="9"/>
        <v>100000</v>
      </c>
      <c r="K42" s="290">
        <f t="shared" si="10"/>
        <v>2.7768268096922664E-3</v>
      </c>
      <c r="L42" s="156"/>
    </row>
    <row r="43" spans="1:13" s="3" customFormat="1" ht="15" customHeight="1" x14ac:dyDescent="0.25">
      <c r="A43" s="111" t="str">
        <f>'Pre-Investment Cap Table'!A17</f>
        <v>Pre-Investment Option Pool</v>
      </c>
      <c r="B43" s="47">
        <f>'Pre-Investment Cap Table'!B17</f>
        <v>0</v>
      </c>
      <c r="C43" s="33">
        <f>'Pre-Investment Cap Table'!C17</f>
        <v>1000000</v>
      </c>
      <c r="D43" s="16">
        <f t="shared" si="11"/>
        <v>1000000</v>
      </c>
      <c r="E43" s="101">
        <f t="shared" si="6"/>
        <v>0.05</v>
      </c>
      <c r="F43" s="105">
        <v>0</v>
      </c>
      <c r="G43" s="333">
        <v>0</v>
      </c>
      <c r="H43" s="34">
        <f t="shared" si="7"/>
        <v>0</v>
      </c>
      <c r="I43" s="292">
        <f t="shared" si="8"/>
        <v>0</v>
      </c>
      <c r="J43" s="276">
        <f t="shared" si="9"/>
        <v>1000000</v>
      </c>
      <c r="K43" s="290">
        <f t="shared" si="10"/>
        <v>2.7768268096922667E-2</v>
      </c>
      <c r="M43" s="60"/>
    </row>
    <row r="44" spans="1:13" s="3" customFormat="1" ht="15" customHeight="1" x14ac:dyDescent="0.25">
      <c r="A44" s="111" t="s">
        <v>54</v>
      </c>
      <c r="B44" s="36">
        <v>0</v>
      </c>
      <c r="C44" s="36">
        <f>E9</f>
        <v>2500000</v>
      </c>
      <c r="D44" s="16">
        <f t="shared" si="11"/>
        <v>2500000</v>
      </c>
      <c r="E44" s="101">
        <f t="shared" si="6"/>
        <v>0.125</v>
      </c>
      <c r="F44" s="105">
        <v>0</v>
      </c>
      <c r="G44" s="333">
        <v>0</v>
      </c>
      <c r="H44" s="34">
        <f t="shared" si="7"/>
        <v>0</v>
      </c>
      <c r="I44" s="292">
        <f t="shared" si="8"/>
        <v>0</v>
      </c>
      <c r="J44" s="276">
        <f t="shared" si="9"/>
        <v>2500000</v>
      </c>
      <c r="K44" s="290">
        <f t="shared" si="10"/>
        <v>6.9420670242306665E-2</v>
      </c>
      <c r="M44" s="60"/>
    </row>
    <row r="45" spans="1:13" s="3" customFormat="1" ht="15" customHeight="1" x14ac:dyDescent="0.25">
      <c r="A45" s="151" t="str">
        <f t="shared" ref="A45:A50" si="12">+A24</f>
        <v>Angel #1</v>
      </c>
      <c r="B45" s="36">
        <v>0</v>
      </c>
      <c r="C45" s="36">
        <v>0</v>
      </c>
      <c r="D45" s="16">
        <f t="shared" si="11"/>
        <v>0</v>
      </c>
      <c r="E45" s="101">
        <f t="shared" si="6"/>
        <v>0</v>
      </c>
      <c r="F45" s="105">
        <f t="shared" ref="F45:F50" si="13">+E15</f>
        <v>250000</v>
      </c>
      <c r="G45" s="333">
        <f t="shared" ref="G45:G50" si="14">E24</f>
        <v>409931.50684931502</v>
      </c>
      <c r="H45" s="34">
        <f>(G45)/$E$12</f>
        <v>1366438.3561643835</v>
      </c>
      <c r="I45" s="292">
        <f t="shared" si="8"/>
        <v>8.5336641286679782E-2</v>
      </c>
      <c r="J45" s="276">
        <f t="shared" si="9"/>
        <v>1366438.3561643835</v>
      </c>
      <c r="K45" s="290">
        <f t="shared" si="10"/>
        <v>3.79436266118909E-2</v>
      </c>
      <c r="M45" s="60"/>
    </row>
    <row r="46" spans="1:13" s="3" customFormat="1" ht="15" customHeight="1" x14ac:dyDescent="0.25">
      <c r="A46" s="151" t="str">
        <f t="shared" si="12"/>
        <v>Angel #2</v>
      </c>
      <c r="B46" s="36">
        <v>0</v>
      </c>
      <c r="C46" s="36">
        <v>0</v>
      </c>
      <c r="D46" s="16">
        <f t="shared" si="11"/>
        <v>0</v>
      </c>
      <c r="E46" s="101">
        <f t="shared" si="6"/>
        <v>0</v>
      </c>
      <c r="F46" s="105">
        <f t="shared" si="13"/>
        <v>250000</v>
      </c>
      <c r="G46" s="333">
        <f t="shared" si="14"/>
        <v>409931.50684931502</v>
      </c>
      <c r="H46" s="34">
        <f t="shared" ref="H46:H50" si="15">(G46)/$E$12</f>
        <v>1366438.3561643835</v>
      </c>
      <c r="I46" s="292">
        <f t="shared" si="8"/>
        <v>8.5336641286679782E-2</v>
      </c>
      <c r="J46" s="276">
        <f t="shared" si="9"/>
        <v>1366438.3561643835</v>
      </c>
      <c r="K46" s="290">
        <f t="shared" si="10"/>
        <v>3.79436266118909E-2</v>
      </c>
      <c r="M46" s="60"/>
    </row>
    <row r="47" spans="1:13" s="3" customFormat="1" ht="15" customHeight="1" x14ac:dyDescent="0.25">
      <c r="A47" s="151" t="str">
        <f t="shared" si="12"/>
        <v>Angel #3</v>
      </c>
      <c r="B47" s="36">
        <v>0</v>
      </c>
      <c r="C47" s="36">
        <v>0</v>
      </c>
      <c r="D47" s="16">
        <f>B47+C47</f>
        <v>0</v>
      </c>
      <c r="E47" s="101">
        <f t="shared" si="6"/>
        <v>0</v>
      </c>
      <c r="F47" s="105">
        <f t="shared" si="13"/>
        <v>250000</v>
      </c>
      <c r="G47" s="333">
        <f t="shared" si="14"/>
        <v>409931.50684931502</v>
      </c>
      <c r="H47" s="34">
        <f t="shared" si="15"/>
        <v>1366438.3561643835</v>
      </c>
      <c r="I47" s="292">
        <f t="shared" si="8"/>
        <v>8.5336641286679782E-2</v>
      </c>
      <c r="J47" s="276">
        <f t="shared" si="9"/>
        <v>1366438.3561643835</v>
      </c>
      <c r="K47" s="290">
        <f t="shared" si="10"/>
        <v>3.79436266118909E-2</v>
      </c>
      <c r="M47" s="60"/>
    </row>
    <row r="48" spans="1:13" s="3" customFormat="1" ht="15" customHeight="1" x14ac:dyDescent="0.25">
      <c r="A48" s="151" t="str">
        <f t="shared" si="12"/>
        <v>Angels #4-10</v>
      </c>
      <c r="B48" s="36">
        <v>0</v>
      </c>
      <c r="C48" s="36">
        <v>0</v>
      </c>
      <c r="D48" s="16">
        <f>B48+C48</f>
        <v>0</v>
      </c>
      <c r="E48" s="101">
        <f t="shared" si="6"/>
        <v>0</v>
      </c>
      <c r="F48" s="105">
        <f t="shared" si="13"/>
        <v>350000</v>
      </c>
      <c r="G48" s="333">
        <f t="shared" si="14"/>
        <v>573904.10958904098</v>
      </c>
      <c r="H48" s="34">
        <f t="shared" si="15"/>
        <v>1913013.6986301367</v>
      </c>
      <c r="I48" s="292">
        <f t="shared" si="8"/>
        <v>0.11947129780135168</v>
      </c>
      <c r="J48" s="276">
        <f t="shared" si="9"/>
        <v>1913013.6986301367</v>
      </c>
      <c r="K48" s="290">
        <f t="shared" si="10"/>
        <v>5.3121077256647255E-2</v>
      </c>
    </row>
    <row r="49" spans="1:31" s="3" customFormat="1" ht="15" customHeight="1" x14ac:dyDescent="0.25">
      <c r="A49" s="151" t="str">
        <f t="shared" si="12"/>
        <v>Series A Lead Investor</v>
      </c>
      <c r="B49" s="36">
        <v>0</v>
      </c>
      <c r="C49" s="36">
        <v>0</v>
      </c>
      <c r="D49" s="16">
        <f t="shared" si="11"/>
        <v>0</v>
      </c>
      <c r="E49" s="101">
        <f t="shared" si="6"/>
        <v>0</v>
      </c>
      <c r="F49" s="105">
        <f t="shared" si="13"/>
        <v>2500000</v>
      </c>
      <c r="G49" s="333">
        <f t="shared" si="14"/>
        <v>2500000</v>
      </c>
      <c r="H49" s="34">
        <f t="shared" si="15"/>
        <v>8333333.333333334</v>
      </c>
      <c r="I49" s="292">
        <f t="shared" si="8"/>
        <v>0.52043231528217415</v>
      </c>
      <c r="J49" s="276">
        <f t="shared" si="9"/>
        <v>8333333.333333334</v>
      </c>
      <c r="K49" s="290">
        <f t="shared" si="10"/>
        <v>0.23140223414102223</v>
      </c>
    </row>
    <row r="50" spans="1:31" s="3" customFormat="1" ht="15" customHeight="1" thickBot="1" x14ac:dyDescent="0.3">
      <c r="A50" s="151" t="str">
        <f t="shared" si="12"/>
        <v>Series A Other Investors</v>
      </c>
      <c r="B50" s="36">
        <v>0</v>
      </c>
      <c r="C50" s="36">
        <v>0</v>
      </c>
      <c r="D50" s="16">
        <f t="shared" si="11"/>
        <v>0</v>
      </c>
      <c r="E50" s="101">
        <f t="shared" si="6"/>
        <v>0</v>
      </c>
      <c r="F50" s="105">
        <f t="shared" si="13"/>
        <v>500000</v>
      </c>
      <c r="G50" s="333">
        <f t="shared" si="14"/>
        <v>500000</v>
      </c>
      <c r="H50" s="34">
        <f t="shared" si="15"/>
        <v>1666666.6666666667</v>
      </c>
      <c r="I50" s="292">
        <f t="shared" si="8"/>
        <v>0.10408646305643483</v>
      </c>
      <c r="J50" s="276">
        <f t="shared" si="9"/>
        <v>1666666.6666666667</v>
      </c>
      <c r="K50" s="290">
        <f t="shared" si="10"/>
        <v>4.6280446828204445E-2</v>
      </c>
      <c r="L50" s="4"/>
      <c r="M50" s="4"/>
      <c r="N50" s="4"/>
      <c r="O50" s="4"/>
      <c r="P50" s="4"/>
      <c r="Q50" s="4"/>
      <c r="R50" s="4"/>
      <c r="S50" s="4"/>
      <c r="T50" s="4"/>
      <c r="U50" s="4"/>
      <c r="V50" s="4"/>
      <c r="W50" s="4"/>
      <c r="X50" s="4"/>
      <c r="Y50" s="4"/>
      <c r="Z50" s="4"/>
      <c r="AA50" s="4"/>
      <c r="AB50" s="4"/>
      <c r="AC50" s="4"/>
      <c r="AD50" s="4"/>
      <c r="AE50" s="4"/>
    </row>
    <row r="51" spans="1:31" ht="15" customHeight="1" thickBot="1" x14ac:dyDescent="0.25">
      <c r="A51" s="113" t="s">
        <v>1</v>
      </c>
      <c r="B51" s="108">
        <f>SUM(B36:B43)</f>
        <v>10000000</v>
      </c>
      <c r="C51" s="108">
        <f>SUM(C36:C44)</f>
        <v>10000000</v>
      </c>
      <c r="D51" s="108">
        <f>SUM(D36:D50)</f>
        <v>20000000</v>
      </c>
      <c r="E51" s="109">
        <f>SUM(E36:E50)</f>
        <v>0.99999999999999989</v>
      </c>
      <c r="F51" s="106">
        <f t="shared" ref="F51:K51" si="16">SUM(F36:F50)</f>
        <v>4100000</v>
      </c>
      <c r="G51" s="334">
        <f t="shared" si="16"/>
        <v>4803698.6301369863</v>
      </c>
      <c r="H51" s="107">
        <f t="shared" si="16"/>
        <v>16012328.767123288</v>
      </c>
      <c r="I51" s="293">
        <f t="shared" si="16"/>
        <v>1</v>
      </c>
      <c r="J51" s="277">
        <f t="shared" si="16"/>
        <v>36012328.767123289</v>
      </c>
      <c r="K51" s="291">
        <f t="shared" si="16"/>
        <v>1</v>
      </c>
    </row>
    <row r="52" spans="1:31" ht="15" customHeight="1" x14ac:dyDescent="0.25">
      <c r="A52" s="76"/>
      <c r="D52" s="10"/>
      <c r="E52" s="10"/>
      <c r="I52" s="10"/>
      <c r="J52" s="10"/>
      <c r="K52" s="10"/>
    </row>
    <row r="53" spans="1:31" ht="15" customHeight="1" x14ac:dyDescent="0.25">
      <c r="D53" s="10"/>
      <c r="E53" s="10"/>
      <c r="I53" s="37"/>
      <c r="J53" s="10"/>
      <c r="K53" s="10"/>
    </row>
    <row r="54" spans="1:31" ht="15" customHeight="1" x14ac:dyDescent="0.25">
      <c r="D54" s="10"/>
      <c r="E54" s="10"/>
      <c r="I54" s="37"/>
      <c r="J54" s="10"/>
      <c r="K54" s="10"/>
    </row>
    <row r="55" spans="1:31" ht="15" x14ac:dyDescent="0.25">
      <c r="D55" s="10"/>
      <c r="E55" s="10"/>
      <c r="I55" s="10"/>
      <c r="J55" s="10"/>
      <c r="K55" s="10"/>
    </row>
    <row r="56" spans="1:31" ht="15" x14ac:dyDescent="0.25">
      <c r="D56" s="10"/>
      <c r="E56" s="10"/>
      <c r="I56" s="10"/>
      <c r="J56" s="10"/>
      <c r="K56" s="10"/>
    </row>
    <row r="57" spans="1:31" ht="15" x14ac:dyDescent="0.25">
      <c r="D57" s="10"/>
      <c r="E57" s="10"/>
      <c r="I57" s="10"/>
      <c r="J57" s="10"/>
      <c r="K57" s="10"/>
    </row>
    <row r="58" spans="1:31" ht="15" x14ac:dyDescent="0.25">
      <c r="A58" s="10"/>
      <c r="B58" s="10"/>
      <c r="C58" s="10"/>
      <c r="D58" s="10"/>
      <c r="E58" s="10"/>
      <c r="I58" s="10"/>
      <c r="J58" s="10"/>
    </row>
    <row r="59" spans="1:31" ht="15" x14ac:dyDescent="0.25">
      <c r="B59" s="10"/>
      <c r="C59" s="10"/>
      <c r="D59" s="10"/>
      <c r="E59" s="10"/>
      <c r="I59" s="10"/>
      <c r="J59" s="10"/>
    </row>
    <row r="68" spans="4:4" x14ac:dyDescent="0.2">
      <c r="D68" s="40"/>
    </row>
  </sheetData>
  <mergeCells count="1">
    <mergeCell ref="A34:A3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Q57"/>
  <sheetViews>
    <sheetView showGridLines="0" zoomScaleNormal="100" workbookViewId="0">
      <selection activeCell="D5" sqref="D5"/>
    </sheetView>
  </sheetViews>
  <sheetFormatPr defaultColWidth="9" defaultRowHeight="12.75" x14ac:dyDescent="0.2"/>
  <cols>
    <col min="1" max="1" width="22.625" style="4" customWidth="1"/>
    <col min="2" max="16" width="13" style="4" customWidth="1"/>
    <col min="17" max="16384" width="9" style="4"/>
  </cols>
  <sheetData>
    <row r="1" spans="1:16" ht="20.25" x14ac:dyDescent="0.3">
      <c r="A1" s="1"/>
      <c r="B1" s="2"/>
      <c r="C1" s="2"/>
      <c r="D1" s="2"/>
      <c r="E1" s="2"/>
      <c r="F1" s="2"/>
      <c r="G1" s="2"/>
      <c r="H1" s="2"/>
      <c r="I1" s="2"/>
      <c r="J1" s="2"/>
      <c r="L1" s="2"/>
      <c r="M1" s="2"/>
      <c r="N1" s="2"/>
      <c r="O1" s="2"/>
      <c r="P1" s="2"/>
    </row>
    <row r="2" spans="1:16" x14ac:dyDescent="0.2">
      <c r="A2" s="5"/>
      <c r="B2" s="2"/>
      <c r="C2" s="2"/>
      <c r="D2" s="2"/>
      <c r="E2" s="2"/>
      <c r="F2" s="2"/>
      <c r="G2" s="2"/>
      <c r="H2" s="2"/>
      <c r="I2" s="2"/>
      <c r="J2" s="2"/>
      <c r="L2" s="2"/>
      <c r="M2" s="2"/>
      <c r="N2" s="2"/>
      <c r="O2" s="2"/>
      <c r="P2" s="2"/>
    </row>
    <row r="3" spans="1:16" x14ac:dyDescent="0.2">
      <c r="A3" s="2"/>
      <c r="B3" s="2"/>
      <c r="C3" s="2"/>
      <c r="D3" s="2"/>
      <c r="E3" s="2"/>
      <c r="F3" s="2"/>
      <c r="G3" s="2"/>
      <c r="H3" s="2"/>
      <c r="I3" s="2"/>
      <c r="J3" s="2"/>
      <c r="L3" s="2"/>
      <c r="M3" s="2"/>
      <c r="N3" s="2"/>
      <c r="O3" s="2"/>
      <c r="P3" s="2"/>
    </row>
    <row r="4" spans="1:16" x14ac:dyDescent="0.2">
      <c r="A4" s="2"/>
      <c r="B4" s="2"/>
      <c r="C4" s="2"/>
      <c r="D4" s="2"/>
      <c r="E4" s="2"/>
      <c r="F4" s="2"/>
      <c r="G4" s="2"/>
      <c r="H4" s="2"/>
      <c r="I4" s="2"/>
      <c r="J4" s="2"/>
      <c r="L4" s="2"/>
      <c r="M4" s="2"/>
      <c r="N4" s="2"/>
      <c r="O4" s="2"/>
      <c r="P4" s="2"/>
    </row>
    <row r="5" spans="1:16" ht="14.25" x14ac:dyDescent="0.2">
      <c r="A5" s="6"/>
      <c r="B5" s="3"/>
      <c r="C5" s="3"/>
      <c r="D5" s="3"/>
      <c r="E5" s="157"/>
      <c r="F5" s="2"/>
      <c r="G5" s="2"/>
      <c r="H5" s="2"/>
      <c r="I5" s="2"/>
      <c r="J5" s="2"/>
      <c r="L5" s="2"/>
      <c r="M5" s="2"/>
      <c r="N5" s="2"/>
      <c r="O5" s="2"/>
      <c r="P5" s="2"/>
    </row>
    <row r="6" spans="1:16" ht="15" customHeight="1" x14ac:dyDescent="0.25">
      <c r="A6" s="78" t="s">
        <v>23</v>
      </c>
      <c r="B6" s="78"/>
      <c r="C6" s="78"/>
      <c r="D6" s="79"/>
      <c r="E6" s="9"/>
      <c r="F6" s="84" t="s">
        <v>51</v>
      </c>
      <c r="G6" s="248" t="s">
        <v>67</v>
      </c>
      <c r="H6" s="249"/>
      <c r="I6" s="250" t="s">
        <v>68</v>
      </c>
      <c r="J6" s="251"/>
      <c r="K6" s="254" t="s">
        <v>53</v>
      </c>
      <c r="L6" s="255"/>
      <c r="M6" s="10"/>
      <c r="N6" s="20"/>
      <c r="O6" s="20"/>
    </row>
    <row r="7" spans="1:16" ht="15" customHeight="1" x14ac:dyDescent="0.25">
      <c r="A7" s="21" t="s">
        <v>59</v>
      </c>
      <c r="B7" s="9"/>
      <c r="C7" s="9"/>
      <c r="D7" s="24">
        <f>'Series A Cap Table'!E31</f>
        <v>10803698.630136987</v>
      </c>
      <c r="F7" s="84" t="s">
        <v>50</v>
      </c>
      <c r="G7" s="142" t="s">
        <v>65</v>
      </c>
      <c r="H7" s="143"/>
      <c r="I7" s="144" t="s">
        <v>69</v>
      </c>
      <c r="J7" s="147"/>
      <c r="K7" s="145" t="s">
        <v>66</v>
      </c>
      <c r="L7" s="146"/>
      <c r="M7" s="10"/>
      <c r="N7" s="20"/>
      <c r="O7" s="20"/>
    </row>
    <row r="8" spans="1:16" ht="15" customHeight="1" x14ac:dyDescent="0.25">
      <c r="A8" s="21" t="s">
        <v>60</v>
      </c>
      <c r="B8" s="9"/>
      <c r="C8" s="9"/>
      <c r="D8" s="165">
        <f>(D9-D7)/D7</f>
        <v>0.71237653264356438</v>
      </c>
      <c r="E8" s="9"/>
      <c r="F8" s="85"/>
      <c r="G8" s="128" t="s">
        <v>45</v>
      </c>
      <c r="H8" s="129" t="s">
        <v>17</v>
      </c>
      <c r="I8" s="31" t="s">
        <v>45</v>
      </c>
      <c r="J8" s="32" t="s">
        <v>17</v>
      </c>
      <c r="K8" s="44" t="s">
        <v>45</v>
      </c>
      <c r="L8" s="45" t="s">
        <v>17</v>
      </c>
      <c r="M8" s="10"/>
      <c r="N8" s="20"/>
      <c r="O8" s="20"/>
    </row>
    <row r="9" spans="1:16" ht="15" customHeight="1" x14ac:dyDescent="0.25">
      <c r="A9" s="21" t="s">
        <v>61</v>
      </c>
      <c r="B9" s="86"/>
      <c r="C9" s="86"/>
      <c r="D9" s="164">
        <v>18500000</v>
      </c>
      <c r="E9" s="9"/>
      <c r="F9" s="81" t="s">
        <v>15</v>
      </c>
      <c r="G9" s="72">
        <f>SUM(D30:D33)</f>
        <v>16300000</v>
      </c>
      <c r="H9" s="279">
        <f>G9/$G$15</f>
        <v>0.93142857142857138</v>
      </c>
      <c r="I9" s="72">
        <f>'Series A Cap Table'!J9</f>
        <v>16300000</v>
      </c>
      <c r="J9" s="283">
        <f t="shared" ref="J9:J14" si="0">I9/$I$15</f>
        <v>0.45262276997983952</v>
      </c>
      <c r="K9" s="268">
        <f>+SUM(K30:K33)</f>
        <v>16300000</v>
      </c>
      <c r="L9" s="280">
        <f t="shared" ref="L9:L14" si="1">K9/$K$15</f>
        <v>0.27964143436417038</v>
      </c>
      <c r="M9" s="10"/>
      <c r="N9" s="20"/>
      <c r="O9" s="20"/>
    </row>
    <row r="10" spans="1:16" ht="15" customHeight="1" x14ac:dyDescent="0.25">
      <c r="A10" s="21" t="s">
        <v>72</v>
      </c>
      <c r="B10" s="86"/>
      <c r="C10" s="86"/>
      <c r="D10" s="71">
        <v>2500000</v>
      </c>
      <c r="E10" s="9"/>
      <c r="F10" s="82" t="s">
        <v>122</v>
      </c>
      <c r="G10" s="72">
        <f>SUM(D34:D36)</f>
        <v>200000</v>
      </c>
      <c r="H10" s="280">
        <f>G10/$G$15</f>
        <v>1.1428571428571429E-2</v>
      </c>
      <c r="I10" s="72">
        <f>'Series A Cap Table'!J10</f>
        <v>200000</v>
      </c>
      <c r="J10" s="283">
        <f t="shared" si="0"/>
        <v>5.5536536193845345E-3</v>
      </c>
      <c r="K10" s="268">
        <f>+SUM(K34:K36)</f>
        <v>200000</v>
      </c>
      <c r="L10" s="280">
        <f t="shared" si="1"/>
        <v>3.4311832437321521E-3</v>
      </c>
      <c r="M10" s="10"/>
      <c r="N10" s="20"/>
      <c r="O10" s="20"/>
    </row>
    <row r="11" spans="1:16" ht="15" customHeight="1" x14ac:dyDescent="0.25">
      <c r="A11" s="21" t="s">
        <v>133</v>
      </c>
      <c r="B11" s="19"/>
      <c r="C11" s="19"/>
      <c r="D11" s="165">
        <f>L11</f>
        <v>0.10293549731196457</v>
      </c>
      <c r="E11" s="9"/>
      <c r="F11" s="82" t="s">
        <v>16</v>
      </c>
      <c r="G11" s="72">
        <f>+D37</f>
        <v>1000000</v>
      </c>
      <c r="H11" s="280">
        <f>G11/$G$15</f>
        <v>5.7142857142857141E-2</v>
      </c>
      <c r="I11" s="72">
        <f>'Series A Cap Table'!J11</f>
        <v>3500000</v>
      </c>
      <c r="J11" s="283">
        <f t="shared" si="0"/>
        <v>9.7188938339229355E-2</v>
      </c>
      <c r="K11" s="268">
        <f>+SUM(K37:K39)</f>
        <v>6000000</v>
      </c>
      <c r="L11" s="280">
        <f t="shared" si="1"/>
        <v>0.10293549731196457</v>
      </c>
      <c r="M11" s="10"/>
      <c r="N11" s="20"/>
      <c r="O11" s="20"/>
    </row>
    <row r="12" spans="1:16" ht="15" customHeight="1" x14ac:dyDescent="0.25">
      <c r="A12" s="21" t="s">
        <v>46</v>
      </c>
      <c r="B12" s="86"/>
      <c r="C12" s="86"/>
      <c r="D12" s="22">
        <f>D48+F48</f>
        <v>38512328.767123289</v>
      </c>
      <c r="E12" s="10"/>
      <c r="F12" s="82" t="s">
        <v>42</v>
      </c>
      <c r="G12" s="72"/>
      <c r="H12" s="280"/>
      <c r="I12" s="72">
        <f>'Series A Cap Table'!J12</f>
        <v>6012328.7671232866</v>
      </c>
      <c r="J12" s="283">
        <f t="shared" si="0"/>
        <v>0.16695195709231997</v>
      </c>
      <c r="K12" s="268">
        <f>+SUM(K40:K43)</f>
        <v>6012328.7671232866</v>
      </c>
      <c r="L12" s="280">
        <f t="shared" si="1"/>
        <v>0.10314700860781105</v>
      </c>
      <c r="M12" s="10"/>
      <c r="N12" s="20"/>
      <c r="O12" s="20"/>
    </row>
    <row r="13" spans="1:16" ht="15" customHeight="1" x14ac:dyDescent="0.25">
      <c r="A13" s="21" t="s">
        <v>19</v>
      </c>
      <c r="B13" s="86"/>
      <c r="C13" s="86"/>
      <c r="D13" s="23">
        <f>D9/D12</f>
        <v>0.48036565412250121</v>
      </c>
      <c r="E13" s="10"/>
      <c r="F13" s="82" t="s">
        <v>49</v>
      </c>
      <c r="G13" s="72"/>
      <c r="H13" s="280"/>
      <c r="I13" s="72">
        <f>'Series A Cap Table'!J13</f>
        <v>10000000</v>
      </c>
      <c r="J13" s="283">
        <f t="shared" si="0"/>
        <v>0.27768268096922671</v>
      </c>
      <c r="K13" s="268">
        <f>+SUM(K44:K45)</f>
        <v>12081747.500925584</v>
      </c>
      <c r="L13" s="280">
        <f t="shared" si="1"/>
        <v>0.20727344790089333</v>
      </c>
      <c r="M13" s="10"/>
      <c r="N13" s="20"/>
      <c r="O13" s="20"/>
    </row>
    <row r="14" spans="1:16" ht="15" customHeight="1" x14ac:dyDescent="0.25">
      <c r="A14" s="199"/>
      <c r="B14" s="19"/>
      <c r="C14" s="19"/>
      <c r="D14" s="200"/>
      <c r="E14" s="10"/>
      <c r="F14" s="82" t="s">
        <v>52</v>
      </c>
      <c r="G14" s="98"/>
      <c r="H14" s="281"/>
      <c r="I14" s="72">
        <v>0</v>
      </c>
      <c r="J14" s="284">
        <f t="shared" si="0"/>
        <v>0</v>
      </c>
      <c r="K14" s="98">
        <f>+SUM(K46:K47)</f>
        <v>17694853.757867459</v>
      </c>
      <c r="L14" s="281">
        <f t="shared" si="1"/>
        <v>0.30357142857142866</v>
      </c>
      <c r="M14" s="10"/>
      <c r="N14" s="20"/>
      <c r="O14" s="20"/>
    </row>
    <row r="15" spans="1:16" ht="15" customHeight="1" x14ac:dyDescent="0.25">
      <c r="A15" s="67" t="s">
        <v>36</v>
      </c>
      <c r="B15" s="203"/>
      <c r="C15" s="203"/>
      <c r="D15" s="140" t="s">
        <v>35</v>
      </c>
      <c r="E15" s="10"/>
      <c r="F15" s="83" t="s">
        <v>18</v>
      </c>
      <c r="G15" s="97">
        <f t="shared" ref="G15:L15" si="2">SUM(G9:G14)</f>
        <v>17500000</v>
      </c>
      <c r="H15" s="282">
        <f t="shared" si="2"/>
        <v>1</v>
      </c>
      <c r="I15" s="253">
        <f t="shared" si="2"/>
        <v>36012328.767123282</v>
      </c>
      <c r="J15" s="285">
        <f t="shared" si="2"/>
        <v>1.0000000000000002</v>
      </c>
      <c r="K15" s="269">
        <f t="shared" si="2"/>
        <v>58288930.025916323</v>
      </c>
      <c r="L15" s="286">
        <f t="shared" si="2"/>
        <v>1.0000000000000002</v>
      </c>
      <c r="M15" s="10"/>
      <c r="N15" s="20"/>
      <c r="O15" s="20"/>
    </row>
    <row r="16" spans="1:16" ht="15" customHeight="1" x14ac:dyDescent="0.25">
      <c r="A16" s="21" t="str">
        <f t="shared" ref="A16:A21" si="3">+A40</f>
        <v>Angel #1</v>
      </c>
      <c r="B16" s="86"/>
      <c r="C16" s="86"/>
      <c r="D16" s="25">
        <v>0</v>
      </c>
      <c r="E16" s="10"/>
      <c r="N16" s="10"/>
      <c r="O16" s="20"/>
      <c r="P16" s="20"/>
    </row>
    <row r="17" spans="1:17" ht="15" customHeight="1" x14ac:dyDescent="0.25">
      <c r="A17" s="21" t="str">
        <f t="shared" si="3"/>
        <v>Angel #2</v>
      </c>
      <c r="B17" s="86"/>
      <c r="C17" s="86"/>
      <c r="D17" s="25">
        <v>0</v>
      </c>
      <c r="E17" s="10"/>
      <c r="N17" s="10"/>
      <c r="O17" s="20"/>
      <c r="P17" s="20"/>
    </row>
    <row r="18" spans="1:17" ht="15" customHeight="1" x14ac:dyDescent="0.25">
      <c r="A18" s="21" t="str">
        <f t="shared" si="3"/>
        <v>Angel #3</v>
      </c>
      <c r="B18" s="86"/>
      <c r="C18" s="86"/>
      <c r="D18" s="25">
        <v>0</v>
      </c>
      <c r="E18" s="10"/>
      <c r="N18" s="10"/>
      <c r="O18" s="20"/>
      <c r="P18" s="20"/>
    </row>
    <row r="19" spans="1:17" ht="15" customHeight="1" x14ac:dyDescent="0.25">
      <c r="A19" s="21" t="str">
        <f t="shared" si="3"/>
        <v>Angels #4-10</v>
      </c>
      <c r="B19" s="86"/>
      <c r="C19" s="86"/>
      <c r="D19" s="25">
        <v>0</v>
      </c>
      <c r="E19" s="10"/>
      <c r="F19" s="10"/>
      <c r="G19" s="163"/>
      <c r="H19" s="10"/>
      <c r="I19" s="10"/>
      <c r="J19" s="10"/>
      <c r="K19" s="10"/>
      <c r="L19" s="10"/>
      <c r="M19" s="10"/>
      <c r="N19" s="10"/>
      <c r="O19" s="20"/>
      <c r="P19" s="20"/>
    </row>
    <row r="20" spans="1:17" ht="15" customHeight="1" x14ac:dyDescent="0.25">
      <c r="A20" s="21" t="str">
        <f t="shared" si="3"/>
        <v>Series A Lead Investor</v>
      </c>
      <c r="B20" s="86"/>
      <c r="C20" s="86"/>
      <c r="D20" s="25">
        <v>500000</v>
      </c>
      <c r="E20" s="10"/>
      <c r="F20" s="7"/>
      <c r="G20" s="41"/>
      <c r="H20" s="20"/>
      <c r="I20" s="20"/>
      <c r="J20" s="20"/>
      <c r="K20" s="10"/>
      <c r="L20" s="10"/>
      <c r="M20" s="10"/>
      <c r="N20" s="10"/>
      <c r="O20" s="20"/>
      <c r="P20" s="20"/>
    </row>
    <row r="21" spans="1:17" ht="15" customHeight="1" x14ac:dyDescent="0.25">
      <c r="A21" s="21" t="str">
        <f t="shared" si="3"/>
        <v>Series A Other Investors</v>
      </c>
      <c r="B21" s="86"/>
      <c r="C21" s="86"/>
      <c r="D21" s="25">
        <v>500000</v>
      </c>
      <c r="E21" s="10"/>
      <c r="F21" s="7"/>
      <c r="G21" s="43"/>
      <c r="H21" s="20"/>
      <c r="I21" s="20"/>
      <c r="J21" s="20"/>
      <c r="K21" s="10"/>
      <c r="L21" s="7"/>
      <c r="M21" s="70"/>
      <c r="N21" s="29"/>
      <c r="O21" s="20"/>
      <c r="P21" s="20"/>
    </row>
    <row r="22" spans="1:17" ht="15" customHeight="1" x14ac:dyDescent="0.25">
      <c r="A22" s="150" t="s">
        <v>89</v>
      </c>
      <c r="B22" s="86"/>
      <c r="C22" s="86"/>
      <c r="D22" s="25">
        <v>7500000</v>
      </c>
      <c r="E22" s="10"/>
      <c r="F22" s="7"/>
      <c r="G22" s="43"/>
      <c r="H22" s="20"/>
      <c r="I22" s="20"/>
      <c r="J22" s="20"/>
      <c r="K22" s="10"/>
      <c r="L22" s="7"/>
      <c r="M22" s="70"/>
      <c r="N22" s="29"/>
      <c r="O22" s="20"/>
      <c r="P22" s="20"/>
    </row>
    <row r="23" spans="1:17" ht="15" customHeight="1" x14ac:dyDescent="0.25">
      <c r="A23" s="150" t="s">
        <v>90</v>
      </c>
      <c r="B23" s="141"/>
      <c r="C23" s="141"/>
      <c r="D23" s="80">
        <v>1000000</v>
      </c>
      <c r="E23" s="10"/>
      <c r="F23" s="7"/>
      <c r="G23" s="43"/>
      <c r="H23" s="20"/>
      <c r="I23" s="20"/>
      <c r="J23" s="20"/>
      <c r="K23" s="10"/>
      <c r="L23" s="7"/>
      <c r="M23" s="70"/>
      <c r="N23" s="29"/>
      <c r="O23" s="20"/>
      <c r="P23" s="20"/>
    </row>
    <row r="24" spans="1:17" ht="15" customHeight="1" x14ac:dyDescent="0.25">
      <c r="A24" s="26" t="s">
        <v>47</v>
      </c>
      <c r="B24" s="86"/>
      <c r="C24" s="86"/>
      <c r="D24" s="96">
        <f>SUM(D16:D23)</f>
        <v>9500000</v>
      </c>
      <c r="E24" s="10"/>
      <c r="F24" s="7"/>
      <c r="G24" s="43"/>
      <c r="H24" s="20"/>
      <c r="I24" s="20"/>
      <c r="J24" s="20"/>
      <c r="K24" s="10"/>
      <c r="L24" s="7"/>
      <c r="M24" s="70"/>
      <c r="N24" s="29"/>
      <c r="O24" s="20"/>
      <c r="P24" s="20"/>
    </row>
    <row r="25" spans="1:17" ht="15" customHeight="1" x14ac:dyDescent="0.25">
      <c r="A25" s="158" t="s">
        <v>2</v>
      </c>
      <c r="B25" s="160"/>
      <c r="C25" s="160"/>
      <c r="D25" s="161">
        <f>K48*D13</f>
        <v>28000000</v>
      </c>
      <c r="E25" s="10"/>
      <c r="F25" s="7"/>
      <c r="G25" s="43"/>
      <c r="H25" s="20"/>
      <c r="I25" s="20"/>
      <c r="J25" s="20"/>
      <c r="K25" s="10"/>
      <c r="L25" s="7"/>
      <c r="M25" s="70"/>
      <c r="N25" s="29"/>
      <c r="O25" s="20"/>
      <c r="P25" s="20"/>
    </row>
    <row r="26" spans="1:17" ht="15" customHeight="1" thickBot="1" x14ac:dyDescent="0.3">
      <c r="A26" s="76"/>
      <c r="B26" s="10"/>
      <c r="C26" s="10"/>
      <c r="D26" s="10"/>
      <c r="E26" s="10"/>
      <c r="G26" s="20"/>
      <c r="H26" s="20"/>
      <c r="I26" s="20"/>
      <c r="J26" s="20"/>
      <c r="K26" s="10"/>
      <c r="L26" s="9"/>
      <c r="M26" s="20"/>
      <c r="N26" s="20"/>
      <c r="O26" s="20"/>
      <c r="P26" s="20"/>
    </row>
    <row r="27" spans="1:17" ht="15" customHeight="1" x14ac:dyDescent="0.2">
      <c r="A27" s="263" t="s">
        <v>4</v>
      </c>
      <c r="B27" s="264"/>
      <c r="C27" s="264"/>
      <c r="D27" s="264"/>
      <c r="E27" s="265"/>
      <c r="F27" s="261" t="s">
        <v>5</v>
      </c>
      <c r="G27" s="262"/>
      <c r="H27" s="266" t="s">
        <v>22</v>
      </c>
      <c r="I27" s="267"/>
      <c r="J27" s="267"/>
      <c r="K27" s="273" t="s">
        <v>132</v>
      </c>
      <c r="L27" s="270"/>
    </row>
    <row r="28" spans="1:17" ht="15" customHeight="1" x14ac:dyDescent="0.2">
      <c r="A28" s="348" t="s">
        <v>3</v>
      </c>
      <c r="B28" s="12" t="s">
        <v>4</v>
      </c>
      <c r="C28" s="12" t="s">
        <v>4</v>
      </c>
      <c r="D28" s="12" t="s">
        <v>125</v>
      </c>
      <c r="E28" s="99" t="s">
        <v>44</v>
      </c>
      <c r="F28" s="30" t="s">
        <v>5</v>
      </c>
      <c r="G28" s="30" t="s">
        <v>43</v>
      </c>
      <c r="H28" s="117" t="s">
        <v>22</v>
      </c>
      <c r="I28" s="44" t="s">
        <v>126</v>
      </c>
      <c r="J28" s="44" t="s">
        <v>43</v>
      </c>
      <c r="K28" s="274" t="s">
        <v>1</v>
      </c>
      <c r="L28" s="271" t="s">
        <v>13</v>
      </c>
    </row>
    <row r="29" spans="1:17" s="3" customFormat="1" ht="15" customHeight="1" x14ac:dyDescent="0.2">
      <c r="A29" s="349"/>
      <c r="B29" s="14" t="s">
        <v>6</v>
      </c>
      <c r="C29" s="14" t="s">
        <v>12</v>
      </c>
      <c r="D29" s="14" t="s">
        <v>124</v>
      </c>
      <c r="E29" s="100" t="s">
        <v>124</v>
      </c>
      <c r="F29" s="31" t="s">
        <v>7</v>
      </c>
      <c r="G29" s="31" t="s">
        <v>5</v>
      </c>
      <c r="H29" s="118" t="s">
        <v>20</v>
      </c>
      <c r="I29" s="46" t="s">
        <v>7</v>
      </c>
      <c r="J29" s="46" t="s">
        <v>126</v>
      </c>
      <c r="K29" s="275" t="s">
        <v>124</v>
      </c>
      <c r="L29" s="272" t="s">
        <v>14</v>
      </c>
      <c r="Q29" s="4"/>
    </row>
    <row r="30" spans="1:17" s="3" customFormat="1" ht="15" customHeight="1" x14ac:dyDescent="0.25">
      <c r="A30" s="110" t="str">
        <f>'Series A Cap Table'!A36</f>
        <v>Employee #1</v>
      </c>
      <c r="B30" s="102">
        <f>+'Series A Cap Table'!B36</f>
        <v>7500000</v>
      </c>
      <c r="C30" s="102">
        <f>+'Series A Cap Table'!C36</f>
        <v>0</v>
      </c>
      <c r="D30" s="114">
        <f t="shared" ref="D30:D40" si="4">B30+C30</f>
        <v>7500000</v>
      </c>
      <c r="E30" s="115">
        <f t="shared" ref="E30:E47" si="5">D30/$D$48</f>
        <v>0.33333333333333331</v>
      </c>
      <c r="F30" s="36">
        <f>+'Series A Cap Table'!H36</f>
        <v>0</v>
      </c>
      <c r="G30" s="296">
        <f t="shared" ref="G30:G47" si="6">+F30/$F$48</f>
        <v>0</v>
      </c>
      <c r="H30" s="105">
        <v>0</v>
      </c>
      <c r="I30" s="34">
        <f t="shared" ref="I30:I39" si="7">(H30/$D$13)</f>
        <v>0</v>
      </c>
      <c r="J30" s="295">
        <f t="shared" ref="J30:J47" si="8">I30/$I$48</f>
        <v>0</v>
      </c>
      <c r="K30" s="35">
        <f>I30+F30+D30</f>
        <v>7500000</v>
      </c>
      <c r="L30" s="294">
        <f t="shared" ref="L30:L47" si="9">K30/$K$48</f>
        <v>0.12866937163995568</v>
      </c>
    </row>
    <row r="31" spans="1:17" s="3" customFormat="1" ht="15" customHeight="1" x14ac:dyDescent="0.25">
      <c r="A31" s="111" t="str">
        <f>'Series A Cap Table'!A37</f>
        <v>Employee #2</v>
      </c>
      <c r="B31" s="47">
        <f>+'Series A Cap Table'!B37</f>
        <v>1750000</v>
      </c>
      <c r="C31" s="47">
        <f>+'Series A Cap Table'!C37</f>
        <v>2500000</v>
      </c>
      <c r="D31" s="36">
        <f t="shared" si="4"/>
        <v>4250000</v>
      </c>
      <c r="E31" s="101">
        <f t="shared" si="5"/>
        <v>0.18888888888888888</v>
      </c>
      <c r="F31" s="36">
        <f>+'Series A Cap Table'!H37</f>
        <v>0</v>
      </c>
      <c r="G31" s="296">
        <f t="shared" si="6"/>
        <v>0</v>
      </c>
      <c r="H31" s="105">
        <v>0</v>
      </c>
      <c r="I31" s="34">
        <f t="shared" si="7"/>
        <v>0</v>
      </c>
      <c r="J31" s="292">
        <f t="shared" si="8"/>
        <v>0</v>
      </c>
      <c r="K31" s="35">
        <f t="shared" ref="K31:K47" si="10">I31+F31+D31</f>
        <v>4250000</v>
      </c>
      <c r="L31" s="290">
        <f t="shared" si="9"/>
        <v>7.2912643929308227E-2</v>
      </c>
    </row>
    <row r="32" spans="1:17" s="3" customFormat="1" ht="15" customHeight="1" x14ac:dyDescent="0.25">
      <c r="A32" s="111" t="str">
        <f>'Series A Cap Table'!A38</f>
        <v>Employee #3</v>
      </c>
      <c r="B32" s="47">
        <f>+'Series A Cap Table'!B38</f>
        <v>0</v>
      </c>
      <c r="C32" s="47">
        <f>+'Series A Cap Table'!C38</f>
        <v>2000000</v>
      </c>
      <c r="D32" s="36">
        <f t="shared" si="4"/>
        <v>2000000</v>
      </c>
      <c r="E32" s="101">
        <f t="shared" si="5"/>
        <v>8.8888888888888892E-2</v>
      </c>
      <c r="F32" s="36">
        <f>+'Series A Cap Table'!H38</f>
        <v>0</v>
      </c>
      <c r="G32" s="296">
        <f t="shared" si="6"/>
        <v>0</v>
      </c>
      <c r="H32" s="105">
        <v>0</v>
      </c>
      <c r="I32" s="34">
        <f t="shared" si="7"/>
        <v>0</v>
      </c>
      <c r="J32" s="292">
        <f t="shared" si="8"/>
        <v>0</v>
      </c>
      <c r="K32" s="35">
        <f t="shared" si="10"/>
        <v>2000000</v>
      </c>
      <c r="L32" s="290">
        <f t="shared" si="9"/>
        <v>3.4311832437321513E-2</v>
      </c>
    </row>
    <row r="33" spans="1:17" s="3" customFormat="1" ht="15" customHeight="1" x14ac:dyDescent="0.25">
      <c r="A33" s="111" t="str">
        <f>'Series A Cap Table'!A39</f>
        <v>Other Employees</v>
      </c>
      <c r="B33" s="47">
        <f>+'Series A Cap Table'!B39</f>
        <v>750000</v>
      </c>
      <c r="C33" s="47">
        <f>+'Series A Cap Table'!C39</f>
        <v>1800000</v>
      </c>
      <c r="D33" s="36">
        <f>B33+C33</f>
        <v>2550000</v>
      </c>
      <c r="E33" s="101">
        <f t="shared" si="5"/>
        <v>0.11333333333333333</v>
      </c>
      <c r="F33" s="36">
        <f>+'Series A Cap Table'!H39</f>
        <v>0</v>
      </c>
      <c r="G33" s="296">
        <f t="shared" si="6"/>
        <v>0</v>
      </c>
      <c r="H33" s="105">
        <v>0</v>
      </c>
      <c r="I33" s="34">
        <f t="shared" si="7"/>
        <v>0</v>
      </c>
      <c r="J33" s="292">
        <f t="shared" si="8"/>
        <v>0</v>
      </c>
      <c r="K33" s="35">
        <f t="shared" si="10"/>
        <v>2550000</v>
      </c>
      <c r="L33" s="290">
        <f t="shared" si="9"/>
        <v>4.3747586357584932E-2</v>
      </c>
    </row>
    <row r="34" spans="1:17" s="3" customFormat="1" ht="15" customHeight="1" x14ac:dyDescent="0.25">
      <c r="A34" s="111" t="str">
        <f>'Series A Cap Table'!A40</f>
        <v>Advisor #1</v>
      </c>
      <c r="B34" s="47">
        <f>+'Series A Cap Table'!B40</f>
        <v>0</v>
      </c>
      <c r="C34" s="47">
        <f>+'Series A Cap Table'!C40</f>
        <v>50000</v>
      </c>
      <c r="D34" s="36">
        <f t="shared" si="4"/>
        <v>50000</v>
      </c>
      <c r="E34" s="101">
        <f t="shared" si="5"/>
        <v>2.2222222222222222E-3</v>
      </c>
      <c r="F34" s="36">
        <f>+'Series A Cap Table'!H40</f>
        <v>0</v>
      </c>
      <c r="G34" s="296">
        <f t="shared" si="6"/>
        <v>0</v>
      </c>
      <c r="H34" s="105">
        <v>0</v>
      </c>
      <c r="I34" s="34">
        <f t="shared" si="7"/>
        <v>0</v>
      </c>
      <c r="J34" s="292">
        <f t="shared" si="8"/>
        <v>0</v>
      </c>
      <c r="K34" s="35">
        <f t="shared" si="10"/>
        <v>50000</v>
      </c>
      <c r="L34" s="290">
        <f t="shared" si="9"/>
        <v>8.5779581093303791E-4</v>
      </c>
    </row>
    <row r="35" spans="1:17" s="3" customFormat="1" ht="15" customHeight="1" x14ac:dyDescent="0.25">
      <c r="A35" s="111" t="str">
        <f>'Series A Cap Table'!A41</f>
        <v>Advisor #2</v>
      </c>
      <c r="B35" s="47">
        <f>+'Series A Cap Table'!B41</f>
        <v>0</v>
      </c>
      <c r="C35" s="47">
        <f>+'Series A Cap Table'!C41</f>
        <v>50000</v>
      </c>
      <c r="D35" s="36">
        <f t="shared" si="4"/>
        <v>50000</v>
      </c>
      <c r="E35" s="101">
        <f t="shared" si="5"/>
        <v>2.2222222222222222E-3</v>
      </c>
      <c r="F35" s="36">
        <f>+'Series A Cap Table'!H41</f>
        <v>0</v>
      </c>
      <c r="G35" s="296">
        <f t="shared" si="6"/>
        <v>0</v>
      </c>
      <c r="H35" s="105">
        <v>0</v>
      </c>
      <c r="I35" s="34">
        <f t="shared" si="7"/>
        <v>0</v>
      </c>
      <c r="J35" s="292">
        <f t="shared" si="8"/>
        <v>0</v>
      </c>
      <c r="K35" s="35">
        <f t="shared" si="10"/>
        <v>50000</v>
      </c>
      <c r="L35" s="290">
        <f t="shared" si="9"/>
        <v>8.5779581093303791E-4</v>
      </c>
    </row>
    <row r="36" spans="1:17" s="3" customFormat="1" ht="15" customHeight="1" x14ac:dyDescent="0.25">
      <c r="A36" s="111" t="str">
        <f>'Series A Cap Table'!A42</f>
        <v>Consultant #1</v>
      </c>
      <c r="B36" s="47">
        <f>+'Series A Cap Table'!B42</f>
        <v>0</v>
      </c>
      <c r="C36" s="47">
        <f>+'Series A Cap Table'!C42</f>
        <v>100000</v>
      </c>
      <c r="D36" s="36">
        <f t="shared" si="4"/>
        <v>100000</v>
      </c>
      <c r="E36" s="101">
        <f t="shared" si="5"/>
        <v>4.4444444444444444E-3</v>
      </c>
      <c r="F36" s="36">
        <f>+'Series A Cap Table'!H42</f>
        <v>0</v>
      </c>
      <c r="G36" s="296">
        <f t="shared" si="6"/>
        <v>0</v>
      </c>
      <c r="H36" s="105">
        <v>0</v>
      </c>
      <c r="I36" s="34">
        <f t="shared" si="7"/>
        <v>0</v>
      </c>
      <c r="J36" s="292">
        <f t="shared" si="8"/>
        <v>0</v>
      </c>
      <c r="K36" s="35">
        <f t="shared" si="10"/>
        <v>100000</v>
      </c>
      <c r="L36" s="290">
        <f t="shared" si="9"/>
        <v>1.7155916218660758E-3</v>
      </c>
    </row>
    <row r="37" spans="1:17" s="3" customFormat="1" ht="15" customHeight="1" x14ac:dyDescent="0.25">
      <c r="A37" s="111" t="str">
        <f>'Series A Cap Table'!A43</f>
        <v>Pre-Investment Option Pool</v>
      </c>
      <c r="B37" s="47">
        <f>'Series A Cap Table'!B43</f>
        <v>0</v>
      </c>
      <c r="C37" s="47">
        <f>'Series A Cap Table'!C43</f>
        <v>1000000</v>
      </c>
      <c r="D37" s="36">
        <f t="shared" si="4"/>
        <v>1000000</v>
      </c>
      <c r="E37" s="101">
        <f t="shared" si="5"/>
        <v>4.4444444444444446E-2</v>
      </c>
      <c r="F37" s="36">
        <f>+'Series A Cap Table'!H43</f>
        <v>0</v>
      </c>
      <c r="G37" s="296">
        <f t="shared" si="6"/>
        <v>0</v>
      </c>
      <c r="H37" s="105">
        <v>0</v>
      </c>
      <c r="I37" s="34">
        <f t="shared" si="7"/>
        <v>0</v>
      </c>
      <c r="J37" s="292">
        <f t="shared" si="8"/>
        <v>0</v>
      </c>
      <c r="K37" s="35">
        <f t="shared" si="10"/>
        <v>1000000</v>
      </c>
      <c r="L37" s="290">
        <f t="shared" si="9"/>
        <v>1.7155916218660756E-2</v>
      </c>
    </row>
    <row r="38" spans="1:17" s="3" customFormat="1" ht="15" customHeight="1" x14ac:dyDescent="0.25">
      <c r="A38" s="111" t="str">
        <f>'Series A Cap Table'!A44</f>
        <v>Srs A Option Pool Expansion</v>
      </c>
      <c r="B38" s="47">
        <f>'Series A Cap Table'!B44</f>
        <v>0</v>
      </c>
      <c r="C38" s="47">
        <f>+'Series A Cap Table'!C44</f>
        <v>2500000</v>
      </c>
      <c r="D38" s="36">
        <f t="shared" si="4"/>
        <v>2500000</v>
      </c>
      <c r="E38" s="101">
        <f t="shared" si="5"/>
        <v>0.1111111111111111</v>
      </c>
      <c r="F38" s="36">
        <f>+'Series A Cap Table'!H44</f>
        <v>0</v>
      </c>
      <c r="G38" s="296">
        <f t="shared" si="6"/>
        <v>0</v>
      </c>
      <c r="H38" s="105">
        <v>0</v>
      </c>
      <c r="I38" s="34">
        <f t="shared" si="7"/>
        <v>0</v>
      </c>
      <c r="J38" s="292">
        <f t="shared" si="8"/>
        <v>0</v>
      </c>
      <c r="K38" s="35">
        <f t="shared" si="10"/>
        <v>2500000</v>
      </c>
      <c r="L38" s="290">
        <f t="shared" si="9"/>
        <v>4.2889790546651894E-2</v>
      </c>
    </row>
    <row r="39" spans="1:17" s="3" customFormat="1" ht="15" customHeight="1" x14ac:dyDescent="0.25">
      <c r="A39" s="116" t="s">
        <v>55</v>
      </c>
      <c r="B39" s="47">
        <v>0</v>
      </c>
      <c r="C39" s="47">
        <f>'Series B Cap Table'!D10</f>
        <v>2500000</v>
      </c>
      <c r="D39" s="36">
        <f t="shared" si="4"/>
        <v>2500000</v>
      </c>
      <c r="E39" s="101">
        <f t="shared" si="5"/>
        <v>0.1111111111111111</v>
      </c>
      <c r="F39" s="36"/>
      <c r="G39" s="296">
        <f t="shared" si="6"/>
        <v>0</v>
      </c>
      <c r="H39" s="105">
        <v>0</v>
      </c>
      <c r="I39" s="34">
        <f t="shared" si="7"/>
        <v>0</v>
      </c>
      <c r="J39" s="292">
        <f t="shared" si="8"/>
        <v>0</v>
      </c>
      <c r="K39" s="35">
        <f t="shared" si="10"/>
        <v>2500000</v>
      </c>
      <c r="L39" s="290">
        <f t="shared" si="9"/>
        <v>4.2889790546651894E-2</v>
      </c>
    </row>
    <row r="40" spans="1:17" s="3" customFormat="1" ht="15" customHeight="1" x14ac:dyDescent="0.25">
      <c r="A40" s="111" t="str">
        <f>'Series A Cap Table'!A45</f>
        <v>Angel #1</v>
      </c>
      <c r="B40" s="47">
        <f>+'Series A Cap Table'!B45</f>
        <v>0</v>
      </c>
      <c r="C40" s="47">
        <f>+'Series A Cap Table'!C45</f>
        <v>0</v>
      </c>
      <c r="D40" s="36">
        <f t="shared" si="4"/>
        <v>0</v>
      </c>
      <c r="E40" s="101">
        <f t="shared" si="5"/>
        <v>0</v>
      </c>
      <c r="F40" s="36">
        <f>+'Series A Cap Table'!H45</f>
        <v>1366438.3561643835</v>
      </c>
      <c r="G40" s="296">
        <f t="shared" si="6"/>
        <v>8.5336641286679782E-2</v>
      </c>
      <c r="H40" s="105">
        <f>+D16</f>
        <v>0</v>
      </c>
      <c r="I40" s="34">
        <f>(H40/$D$13)</f>
        <v>0</v>
      </c>
      <c r="J40" s="292">
        <f t="shared" si="8"/>
        <v>0</v>
      </c>
      <c r="K40" s="35">
        <f t="shared" si="10"/>
        <v>1366438.3561643835</v>
      </c>
      <c r="L40" s="290">
        <f t="shared" si="9"/>
        <v>2.344250195632069E-2</v>
      </c>
    </row>
    <row r="41" spans="1:17" s="3" customFormat="1" ht="15" customHeight="1" x14ac:dyDescent="0.25">
      <c r="A41" s="111" t="str">
        <f>'Series A Cap Table'!A46</f>
        <v>Angel #2</v>
      </c>
      <c r="B41" s="47">
        <f>+'Series A Cap Table'!B46</f>
        <v>0</v>
      </c>
      <c r="C41" s="47">
        <f>+'Series A Cap Table'!C46</f>
        <v>0</v>
      </c>
      <c r="D41" s="36">
        <f t="shared" ref="D41:D46" si="11">B41+C41</f>
        <v>0</v>
      </c>
      <c r="E41" s="101">
        <f t="shared" si="5"/>
        <v>0</v>
      </c>
      <c r="F41" s="36">
        <f>+'Series A Cap Table'!H46</f>
        <v>1366438.3561643835</v>
      </c>
      <c r="G41" s="296">
        <f t="shared" si="6"/>
        <v>8.5336641286679782E-2</v>
      </c>
      <c r="H41" s="105">
        <f t="shared" ref="H41:H47" si="12">+D17</f>
        <v>0</v>
      </c>
      <c r="I41" s="34">
        <f t="shared" ref="I41:I47" si="13">(H41/$D$13)</f>
        <v>0</v>
      </c>
      <c r="J41" s="292">
        <f t="shared" si="8"/>
        <v>0</v>
      </c>
      <c r="K41" s="35">
        <f t="shared" si="10"/>
        <v>1366438.3561643835</v>
      </c>
      <c r="L41" s="290">
        <f t="shared" si="9"/>
        <v>2.344250195632069E-2</v>
      </c>
    </row>
    <row r="42" spans="1:17" s="3" customFormat="1" ht="15" customHeight="1" x14ac:dyDescent="0.25">
      <c r="A42" s="111" t="str">
        <f>'Series A Cap Table'!A47</f>
        <v>Angel #3</v>
      </c>
      <c r="B42" s="47">
        <f>+'Series A Cap Table'!B47</f>
        <v>0</v>
      </c>
      <c r="C42" s="47">
        <f>+'Series A Cap Table'!C47</f>
        <v>0</v>
      </c>
      <c r="D42" s="36">
        <f>B42+C42</f>
        <v>0</v>
      </c>
      <c r="E42" s="101">
        <f t="shared" si="5"/>
        <v>0</v>
      </c>
      <c r="F42" s="36">
        <f>+'Series A Cap Table'!H47</f>
        <v>1366438.3561643835</v>
      </c>
      <c r="G42" s="296">
        <f t="shared" si="6"/>
        <v>8.5336641286679782E-2</v>
      </c>
      <c r="H42" s="105">
        <f t="shared" si="12"/>
        <v>0</v>
      </c>
      <c r="I42" s="34">
        <f t="shared" si="13"/>
        <v>0</v>
      </c>
      <c r="J42" s="292">
        <f t="shared" si="8"/>
        <v>0</v>
      </c>
      <c r="K42" s="35">
        <f t="shared" si="10"/>
        <v>1366438.3561643835</v>
      </c>
      <c r="L42" s="290">
        <f t="shared" si="9"/>
        <v>2.344250195632069E-2</v>
      </c>
    </row>
    <row r="43" spans="1:17" s="3" customFormat="1" ht="15" customHeight="1" x14ac:dyDescent="0.25">
      <c r="A43" s="111" t="str">
        <f>'Series A Cap Table'!A48</f>
        <v>Angels #4-10</v>
      </c>
      <c r="B43" s="47">
        <f>+'Series A Cap Table'!B48</f>
        <v>0</v>
      </c>
      <c r="C43" s="47">
        <f>+'Series A Cap Table'!C48</f>
        <v>0</v>
      </c>
      <c r="D43" s="36">
        <f>B43+C43</f>
        <v>0</v>
      </c>
      <c r="E43" s="101">
        <f t="shared" si="5"/>
        <v>0</v>
      </c>
      <c r="F43" s="36">
        <f>+'Series A Cap Table'!H48</f>
        <v>1913013.6986301367</v>
      </c>
      <c r="G43" s="296">
        <f t="shared" si="6"/>
        <v>0.11947129780135168</v>
      </c>
      <c r="H43" s="105">
        <f t="shared" si="12"/>
        <v>0</v>
      </c>
      <c r="I43" s="34">
        <f t="shared" si="13"/>
        <v>0</v>
      </c>
      <c r="J43" s="292">
        <f t="shared" si="8"/>
        <v>0</v>
      </c>
      <c r="K43" s="35">
        <f t="shared" si="10"/>
        <v>1913013.6986301367</v>
      </c>
      <c r="L43" s="290">
        <f t="shared" si="9"/>
        <v>3.2819502738848962E-2</v>
      </c>
    </row>
    <row r="44" spans="1:17" s="3" customFormat="1" ht="15" customHeight="1" x14ac:dyDescent="0.25">
      <c r="A44" s="111" t="str">
        <f>'Series A Cap Table'!A49</f>
        <v>Series A Lead Investor</v>
      </c>
      <c r="B44" s="47">
        <f>+'Series A Cap Table'!B49</f>
        <v>0</v>
      </c>
      <c r="C44" s="47">
        <f>+'Series A Cap Table'!C49</f>
        <v>0</v>
      </c>
      <c r="D44" s="36">
        <f t="shared" si="11"/>
        <v>0</v>
      </c>
      <c r="E44" s="101">
        <f t="shared" si="5"/>
        <v>0</v>
      </c>
      <c r="F44" s="36">
        <f>+'Series A Cap Table'!H49</f>
        <v>8333333.333333334</v>
      </c>
      <c r="G44" s="296">
        <f t="shared" si="6"/>
        <v>0.52043231528217415</v>
      </c>
      <c r="H44" s="105">
        <f t="shared" si="12"/>
        <v>500000</v>
      </c>
      <c r="I44" s="34">
        <f t="shared" si="13"/>
        <v>1040873.7504627916</v>
      </c>
      <c r="J44" s="292">
        <f t="shared" si="8"/>
        <v>5.2631578947368425E-2</v>
      </c>
      <c r="K44" s="35">
        <f t="shared" si="10"/>
        <v>9374207.0837961249</v>
      </c>
      <c r="L44" s="290">
        <f t="shared" si="9"/>
        <v>0.16082311134598251</v>
      </c>
    </row>
    <row r="45" spans="1:17" s="3" customFormat="1" ht="15" customHeight="1" x14ac:dyDescent="0.25">
      <c r="A45" s="111" t="str">
        <f>'Series A Cap Table'!A50</f>
        <v>Series A Other Investors</v>
      </c>
      <c r="B45" s="47">
        <f>+'Series A Cap Table'!B50</f>
        <v>0</v>
      </c>
      <c r="C45" s="47">
        <f>+'Series A Cap Table'!C50</f>
        <v>0</v>
      </c>
      <c r="D45" s="36">
        <f t="shared" si="11"/>
        <v>0</v>
      </c>
      <c r="E45" s="101">
        <f t="shared" si="5"/>
        <v>0</v>
      </c>
      <c r="F45" s="36">
        <f>+'Series A Cap Table'!H50</f>
        <v>1666666.6666666667</v>
      </c>
      <c r="G45" s="296">
        <f t="shared" si="6"/>
        <v>0.10408646305643483</v>
      </c>
      <c r="H45" s="105">
        <f t="shared" si="12"/>
        <v>500000</v>
      </c>
      <c r="I45" s="34">
        <f t="shared" si="13"/>
        <v>1040873.7504627916</v>
      </c>
      <c r="J45" s="292">
        <f t="shared" si="8"/>
        <v>5.2631578947368425E-2</v>
      </c>
      <c r="K45" s="35">
        <f t="shared" si="10"/>
        <v>2707540.4171294584</v>
      </c>
      <c r="L45" s="290">
        <f t="shared" si="9"/>
        <v>4.6450336554910786E-2</v>
      </c>
    </row>
    <row r="46" spans="1:17" s="3" customFormat="1" ht="15" customHeight="1" x14ac:dyDescent="0.25">
      <c r="A46" s="111" t="str">
        <f>+A22</f>
        <v>Series B Lead Investor</v>
      </c>
      <c r="B46" s="47">
        <v>0</v>
      </c>
      <c r="C46" s="47">
        <v>0</v>
      </c>
      <c r="D46" s="36">
        <f t="shared" si="11"/>
        <v>0</v>
      </c>
      <c r="E46" s="101">
        <f t="shared" si="5"/>
        <v>0</v>
      </c>
      <c r="F46" s="36">
        <v>0</v>
      </c>
      <c r="G46" s="296">
        <f t="shared" si="6"/>
        <v>0</v>
      </c>
      <c r="H46" s="105">
        <f t="shared" si="12"/>
        <v>7500000</v>
      </c>
      <c r="I46" s="34">
        <f t="shared" si="13"/>
        <v>15613106.256941875</v>
      </c>
      <c r="J46" s="292">
        <f t="shared" si="8"/>
        <v>0.78947368421052633</v>
      </c>
      <c r="K46" s="35">
        <f t="shared" si="10"/>
        <v>15613106.256941875</v>
      </c>
      <c r="L46" s="290">
        <f t="shared" si="9"/>
        <v>0.2678571428571429</v>
      </c>
    </row>
    <row r="47" spans="1:17" s="3" customFormat="1" ht="15" customHeight="1" thickBot="1" x14ac:dyDescent="0.3">
      <c r="A47" s="111" t="str">
        <f>+A23</f>
        <v>Series B Other Investors</v>
      </c>
      <c r="B47" s="36">
        <v>0</v>
      </c>
      <c r="C47" s="36">
        <v>0</v>
      </c>
      <c r="D47" s="36">
        <f>B47+C47</f>
        <v>0</v>
      </c>
      <c r="E47" s="101">
        <f t="shared" si="5"/>
        <v>0</v>
      </c>
      <c r="F47" s="36">
        <v>0</v>
      </c>
      <c r="G47" s="296">
        <f t="shared" si="6"/>
        <v>0</v>
      </c>
      <c r="H47" s="105">
        <f t="shared" si="12"/>
        <v>1000000</v>
      </c>
      <c r="I47" s="34">
        <f t="shared" si="13"/>
        <v>2081747.5009255833</v>
      </c>
      <c r="J47" s="292">
        <f t="shared" si="8"/>
        <v>0.10526315789473685</v>
      </c>
      <c r="K47" s="35">
        <f t="shared" si="10"/>
        <v>2081747.5009255833</v>
      </c>
      <c r="L47" s="290">
        <f t="shared" si="9"/>
        <v>3.5714285714285712E-2</v>
      </c>
    </row>
    <row r="48" spans="1:17" ht="15" thickBot="1" x14ac:dyDescent="0.25">
      <c r="A48" s="113" t="s">
        <v>1</v>
      </c>
      <c r="B48" s="108">
        <f>SUM(B30:B37)</f>
        <v>10000000</v>
      </c>
      <c r="C48" s="108">
        <f>SUM(C30:C39)</f>
        <v>12500000</v>
      </c>
      <c r="D48" s="108">
        <f>SUM(D30:D47)</f>
        <v>22500000</v>
      </c>
      <c r="E48" s="109">
        <f>SUM(E30:E47)</f>
        <v>1</v>
      </c>
      <c r="F48" s="107">
        <f t="shared" ref="F48:L48" si="14">SUM(F30:F47)</f>
        <v>16012328.767123288</v>
      </c>
      <c r="G48" s="297">
        <f t="shared" si="14"/>
        <v>1</v>
      </c>
      <c r="H48" s="106">
        <f t="shared" si="14"/>
        <v>9500000</v>
      </c>
      <c r="I48" s="107">
        <f t="shared" si="14"/>
        <v>19776601.258793041</v>
      </c>
      <c r="J48" s="293">
        <f t="shared" si="14"/>
        <v>1</v>
      </c>
      <c r="K48" s="278">
        <f t="shared" si="14"/>
        <v>58288930.025916331</v>
      </c>
      <c r="L48" s="291">
        <f t="shared" si="14"/>
        <v>1</v>
      </c>
      <c r="Q48" s="3"/>
    </row>
    <row r="49" spans="1:16" ht="15" x14ac:dyDescent="0.25">
      <c r="A49" s="76"/>
      <c r="B49" s="10"/>
      <c r="C49" s="10"/>
      <c r="D49" s="39"/>
      <c r="E49" s="10"/>
      <c r="F49" s="92"/>
      <c r="G49" s="39"/>
      <c r="H49" s="10"/>
      <c r="I49" s="10"/>
      <c r="J49" s="10"/>
      <c r="K49" s="10"/>
      <c r="L49" s="10"/>
      <c r="M49" s="10"/>
      <c r="N49" s="10"/>
      <c r="O49" s="10"/>
      <c r="P49" s="10"/>
    </row>
    <row r="50" spans="1:16" ht="15" x14ac:dyDescent="0.25">
      <c r="P50" s="10"/>
    </row>
    <row r="51" spans="1:16" ht="15" x14ac:dyDescent="0.25">
      <c r="P51" s="10"/>
    </row>
    <row r="52" spans="1:16" ht="15" x14ac:dyDescent="0.25">
      <c r="P52" s="10"/>
    </row>
    <row r="53" spans="1:16" ht="15" x14ac:dyDescent="0.25">
      <c r="P53" s="10"/>
    </row>
    <row r="54" spans="1:16" ht="15" x14ac:dyDescent="0.25">
      <c r="P54" s="10"/>
    </row>
    <row r="55" spans="1:16" ht="15" x14ac:dyDescent="0.25">
      <c r="P55" s="10"/>
    </row>
    <row r="56" spans="1:16" ht="15" x14ac:dyDescent="0.25">
      <c r="P56" s="10"/>
    </row>
    <row r="57" spans="1:16" ht="15" x14ac:dyDescent="0.25">
      <c r="P57" s="10"/>
    </row>
  </sheetData>
  <mergeCells count="1">
    <mergeCell ref="A28:A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B45:J54"/>
  <sheetViews>
    <sheetView showGridLines="0" zoomScale="124" zoomScaleNormal="80" workbookViewId="0">
      <selection activeCell="O20" sqref="O20"/>
    </sheetView>
  </sheetViews>
  <sheetFormatPr defaultRowHeight="12.75" x14ac:dyDescent="0.2"/>
  <cols>
    <col min="1" max="1" width="1.625" customWidth="1"/>
    <col min="2" max="2" width="14.625" bestFit="1" customWidth="1"/>
    <col min="3" max="10" width="13" customWidth="1"/>
    <col min="11" max="11" width="12.375" bestFit="1" customWidth="1"/>
  </cols>
  <sheetData>
    <row r="45" spans="2:8" ht="13.5" thickBot="1" x14ac:dyDescent="0.25"/>
    <row r="46" spans="2:8" ht="14.25" x14ac:dyDescent="0.2">
      <c r="B46" s="302" t="s">
        <v>128</v>
      </c>
      <c r="C46" s="350" t="s">
        <v>127</v>
      </c>
      <c r="D46" s="350"/>
      <c r="E46" s="351"/>
      <c r="F46" s="352" t="s">
        <v>126</v>
      </c>
      <c r="G46" s="353"/>
      <c r="H46" s="354"/>
    </row>
    <row r="47" spans="2:8" ht="14.25" x14ac:dyDescent="0.2">
      <c r="B47" s="303" t="s">
        <v>129</v>
      </c>
      <c r="C47" s="31" t="s">
        <v>45</v>
      </c>
      <c r="D47" s="31" t="s">
        <v>17</v>
      </c>
      <c r="E47" s="32" t="s">
        <v>111</v>
      </c>
      <c r="F47" s="256" t="s">
        <v>45</v>
      </c>
      <c r="G47" s="44" t="s">
        <v>17</v>
      </c>
      <c r="H47" s="119" t="s">
        <v>111</v>
      </c>
    </row>
    <row r="48" spans="2:8" ht="15" x14ac:dyDescent="0.25">
      <c r="B48" s="122" t="str">
        <f>'Series B Cap Table'!F9</f>
        <v>Employees</v>
      </c>
      <c r="C48" s="72">
        <f>'Series B Cap Table'!I9</f>
        <v>16300000</v>
      </c>
      <c r="D48" s="305">
        <f t="shared" ref="D48:D51" si="0">+C48/C$54</f>
        <v>0.45262276997983952</v>
      </c>
      <c r="E48" s="257">
        <f>C48*'Series A Cap Table'!$E$12</f>
        <v>4890000</v>
      </c>
      <c r="F48" s="72">
        <f>'Series B Cap Table'!K9</f>
        <v>16300000</v>
      </c>
      <c r="G48" s="305">
        <f t="shared" ref="G48:G51" si="1">+F48/F$54</f>
        <v>0.27964143436417038</v>
      </c>
      <c r="H48" s="304">
        <f>F48*'Series B Cap Table'!$D$13</f>
        <v>7829960.1621967694</v>
      </c>
    </row>
    <row r="49" spans="2:10" ht="15" x14ac:dyDescent="0.25">
      <c r="B49" s="122" t="str">
        <f>'Series B Cap Table'!F10</f>
        <v>Advisors</v>
      </c>
      <c r="C49" s="72">
        <f>'Series B Cap Table'!I10</f>
        <v>200000</v>
      </c>
      <c r="D49" s="174">
        <f t="shared" si="0"/>
        <v>5.5536536193845345E-3</v>
      </c>
      <c r="E49" s="257">
        <f>C49*'Series A Cap Table'!$E$12</f>
        <v>60000</v>
      </c>
      <c r="F49" s="72">
        <f>'Series B Cap Table'!K10</f>
        <v>200000</v>
      </c>
      <c r="G49" s="174">
        <f t="shared" si="1"/>
        <v>3.4311832437321521E-3</v>
      </c>
      <c r="H49" s="304">
        <f>F49*'Series B Cap Table'!$D$13</f>
        <v>96073.130824500244</v>
      </c>
    </row>
    <row r="50" spans="2:10" ht="15" x14ac:dyDescent="0.25">
      <c r="B50" s="122" t="str">
        <f>'Series B Cap Table'!F11</f>
        <v>Option Pool</v>
      </c>
      <c r="C50" s="72">
        <f>'Series B Cap Table'!I11</f>
        <v>3500000</v>
      </c>
      <c r="D50" s="174">
        <f t="shared" si="0"/>
        <v>9.7188938339229355E-2</v>
      </c>
      <c r="E50" s="257">
        <f>C50*'Series A Cap Table'!$E$12</f>
        <v>1050000</v>
      </c>
      <c r="F50" s="72">
        <f>'Series B Cap Table'!K11</f>
        <v>6000000</v>
      </c>
      <c r="G50" s="174">
        <f t="shared" si="1"/>
        <v>0.10293549731196457</v>
      </c>
      <c r="H50" s="304">
        <f>F50*'Series B Cap Table'!$D$13</f>
        <v>2882193.9247350073</v>
      </c>
    </row>
    <row r="51" spans="2:10" ht="15" x14ac:dyDescent="0.25">
      <c r="B51" s="122" t="str">
        <f>'Series B Cap Table'!F12</f>
        <v>Angel Investors</v>
      </c>
      <c r="C51" s="72">
        <f>'Series B Cap Table'!I12</f>
        <v>6012328.7671232866</v>
      </c>
      <c r="D51" s="174">
        <f t="shared" si="0"/>
        <v>0.16695195709231997</v>
      </c>
      <c r="E51" s="257">
        <f>C51*'Series A Cap Table'!$E$12</f>
        <v>1803698.630136986</v>
      </c>
      <c r="F51" s="72">
        <f>'Series B Cap Table'!K12</f>
        <v>6012328.7671232866</v>
      </c>
      <c r="G51" s="174">
        <f t="shared" si="1"/>
        <v>0.10314700860781105</v>
      </c>
      <c r="H51" s="304">
        <f>F51*'Series B Cap Table'!$D$13</f>
        <v>2888116.2410187088</v>
      </c>
    </row>
    <row r="52" spans="2:10" ht="15" x14ac:dyDescent="0.25">
      <c r="B52" s="122" t="str">
        <f>'Series B Cap Table'!F13</f>
        <v>Srs A Investors</v>
      </c>
      <c r="C52" s="72">
        <f>'Series B Cap Table'!I13</f>
        <v>10000000</v>
      </c>
      <c r="D52" s="174">
        <f>+C52/C$54</f>
        <v>0.27768268096922671</v>
      </c>
      <c r="E52" s="257">
        <f>C52*'Series A Cap Table'!$E$12</f>
        <v>3000000</v>
      </c>
      <c r="F52" s="72">
        <f>'Series B Cap Table'!K13</f>
        <v>12081747.500925584</v>
      </c>
      <c r="G52" s="174">
        <f>+F52/F$54</f>
        <v>0.20727344790089333</v>
      </c>
      <c r="H52" s="304">
        <f>F52*'Series B Cap Table'!$D$13</f>
        <v>5803656.5412250124</v>
      </c>
      <c r="J52" s="336"/>
    </row>
    <row r="53" spans="2:10" ht="15.75" thickBot="1" x14ac:dyDescent="0.3">
      <c r="B53" s="122" t="str">
        <f>'Series B Cap Table'!F14</f>
        <v>Srs B Investors</v>
      </c>
      <c r="C53" s="72">
        <f>'Series B Cap Table'!I14</f>
        <v>0</v>
      </c>
      <c r="D53" s="174">
        <f t="shared" ref="D53" si="2">+C53/C$54</f>
        <v>0</v>
      </c>
      <c r="E53" s="257">
        <f>C53*'Series A Cap Table'!$E$12</f>
        <v>0</v>
      </c>
      <c r="F53" s="72">
        <f>'Series B Cap Table'!K14</f>
        <v>17694853.757867459</v>
      </c>
      <c r="G53" s="174">
        <f t="shared" ref="G53" si="3">+F53/F$54</f>
        <v>0.30357142857142866</v>
      </c>
      <c r="H53" s="304">
        <f>F53*'Series B Cap Table'!$D$13</f>
        <v>8500000</v>
      </c>
    </row>
    <row r="54" spans="2:10" ht="15" thickBot="1" x14ac:dyDescent="0.25">
      <c r="B54" s="125" t="s">
        <v>18</v>
      </c>
      <c r="C54" s="298">
        <f t="shared" ref="C54:H54" si="4">SUM(C48:C53)</f>
        <v>36012328.767123282</v>
      </c>
      <c r="D54" s="306">
        <f t="shared" si="4"/>
        <v>1.0000000000000002</v>
      </c>
      <c r="E54" s="299">
        <f t="shared" si="4"/>
        <v>10803698.630136985</v>
      </c>
      <c r="F54" s="300">
        <f t="shared" si="4"/>
        <v>58288930.025916323</v>
      </c>
      <c r="G54" s="306">
        <f t="shared" si="4"/>
        <v>1.0000000000000002</v>
      </c>
      <c r="H54" s="301">
        <f t="shared" si="4"/>
        <v>28000000</v>
      </c>
    </row>
  </sheetData>
  <mergeCells count="2">
    <mergeCell ref="C46:E46"/>
    <mergeCell ref="F46:H4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6:I25"/>
  <sheetViews>
    <sheetView showGridLines="0" zoomScaleNormal="100" workbookViewId="0">
      <selection activeCell="H37" sqref="H37"/>
    </sheetView>
  </sheetViews>
  <sheetFormatPr defaultColWidth="9" defaultRowHeight="12.75" x14ac:dyDescent="0.2"/>
  <cols>
    <col min="1" max="1" width="19.625" style="4" customWidth="1"/>
    <col min="2" max="7" width="11" style="4" customWidth="1"/>
    <col min="8" max="16384" width="9" style="4"/>
  </cols>
  <sheetData>
    <row r="6" spans="1:9" ht="13.5" thickBot="1" x14ac:dyDescent="0.25"/>
    <row r="7" spans="1:9" ht="13.5" thickBot="1" x14ac:dyDescent="0.25">
      <c r="A7" s="337" t="s">
        <v>134</v>
      </c>
      <c r="B7" s="338"/>
      <c r="C7" s="338"/>
      <c r="D7" s="338"/>
      <c r="E7" s="338"/>
      <c r="F7" s="338"/>
      <c r="G7" s="339"/>
    </row>
    <row r="8" spans="1:9" ht="26.25" thickBot="1" x14ac:dyDescent="0.25">
      <c r="A8" s="48" t="s">
        <v>3</v>
      </c>
      <c r="B8" s="49" t="s">
        <v>25</v>
      </c>
      <c r="C8" s="50" t="s">
        <v>26</v>
      </c>
      <c r="D8" s="49" t="s">
        <v>27</v>
      </c>
      <c r="E8" s="50" t="s">
        <v>28</v>
      </c>
      <c r="F8" s="49" t="s">
        <v>29</v>
      </c>
      <c r="G8" s="50" t="s">
        <v>32</v>
      </c>
    </row>
    <row r="9" spans="1:9" x14ac:dyDescent="0.2">
      <c r="A9" s="136" t="str">
        <f>+'Series A Cap Table'!A36</f>
        <v>Employee #1</v>
      </c>
      <c r="B9" s="135">
        <f>+'Series A Cap Table'!B36</f>
        <v>7500000</v>
      </c>
      <c r="C9" s="51">
        <f>+'Series A Cap Table'!C36</f>
        <v>0</v>
      </c>
      <c r="D9" s="52">
        <f>'Series A Cap Table'!H36</f>
        <v>0</v>
      </c>
      <c r="E9" s="53">
        <f t="shared" ref="E9:E10" si="0">D9/$D$24</f>
        <v>0</v>
      </c>
      <c r="F9" s="54">
        <f t="shared" ref="F9:F23" si="1">D9+C9+B9</f>
        <v>7500000</v>
      </c>
      <c r="G9" s="53">
        <f t="shared" ref="G9:G23" si="2">F9/$F$24</f>
        <v>0.20826201072691999</v>
      </c>
      <c r="I9" s="38"/>
    </row>
    <row r="10" spans="1:9" x14ac:dyDescent="0.2">
      <c r="A10" s="137" t="str">
        <f>+'Series A Cap Table'!A37</f>
        <v>Employee #2</v>
      </c>
      <c r="B10" s="54">
        <f>+'Series A Cap Table'!B37</f>
        <v>1750000</v>
      </c>
      <c r="C10" s="51">
        <f>+'Series A Cap Table'!C37</f>
        <v>2500000</v>
      </c>
      <c r="D10" s="52">
        <f>'Series A Cap Table'!H37</f>
        <v>0</v>
      </c>
      <c r="E10" s="53">
        <f t="shared" si="0"/>
        <v>0</v>
      </c>
      <c r="F10" s="54">
        <f t="shared" si="1"/>
        <v>4250000</v>
      </c>
      <c r="G10" s="53">
        <f t="shared" si="2"/>
        <v>0.11801513941192134</v>
      </c>
      <c r="I10" s="38"/>
    </row>
    <row r="11" spans="1:9" x14ac:dyDescent="0.2">
      <c r="A11" s="137" t="str">
        <f>+'Series A Cap Table'!A38</f>
        <v>Employee #3</v>
      </c>
      <c r="B11" s="54">
        <f>+'Series A Cap Table'!B38</f>
        <v>0</v>
      </c>
      <c r="C11" s="51">
        <f>+'Series A Cap Table'!C38</f>
        <v>2000000</v>
      </c>
      <c r="D11" s="52">
        <f>'Series A Cap Table'!H38</f>
        <v>0</v>
      </c>
      <c r="E11" s="53">
        <f t="shared" ref="E11:E23" si="3">D11/$D$24</f>
        <v>0</v>
      </c>
      <c r="F11" s="54">
        <f t="shared" si="1"/>
        <v>2000000</v>
      </c>
      <c r="G11" s="53">
        <f t="shared" si="2"/>
        <v>5.5536536193845333E-2</v>
      </c>
      <c r="I11" s="38"/>
    </row>
    <row r="12" spans="1:9" x14ac:dyDescent="0.2">
      <c r="A12" s="137" t="str">
        <f>+'Series A Cap Table'!A40</f>
        <v>Advisor #1</v>
      </c>
      <c r="B12" s="54">
        <f>+'Series A Cap Table'!B40</f>
        <v>0</v>
      </c>
      <c r="C12" s="51">
        <f>+'Series A Cap Table'!C40</f>
        <v>50000</v>
      </c>
      <c r="D12" s="52">
        <f>'Series A Cap Table'!H40</f>
        <v>0</v>
      </c>
      <c r="E12" s="53">
        <f t="shared" si="3"/>
        <v>0</v>
      </c>
      <c r="F12" s="54">
        <f t="shared" si="1"/>
        <v>50000</v>
      </c>
      <c r="G12" s="53">
        <f t="shared" si="2"/>
        <v>1.3884134048461332E-3</v>
      </c>
      <c r="I12" s="38"/>
    </row>
    <row r="13" spans="1:9" x14ac:dyDescent="0.2">
      <c r="A13" s="137" t="str">
        <f>+'Series A Cap Table'!A41</f>
        <v>Advisor #2</v>
      </c>
      <c r="B13" s="54">
        <f>+'Series A Cap Table'!B41</f>
        <v>0</v>
      </c>
      <c r="C13" s="51">
        <f>+'Series A Cap Table'!C41</f>
        <v>50000</v>
      </c>
      <c r="D13" s="52">
        <f>'Series A Cap Table'!H41</f>
        <v>0</v>
      </c>
      <c r="E13" s="53">
        <f t="shared" si="3"/>
        <v>0</v>
      </c>
      <c r="F13" s="54">
        <f t="shared" si="1"/>
        <v>50000</v>
      </c>
      <c r="G13" s="53">
        <f t="shared" si="2"/>
        <v>1.3884134048461332E-3</v>
      </c>
      <c r="I13" s="38"/>
    </row>
    <row r="14" spans="1:9" x14ac:dyDescent="0.2">
      <c r="A14" s="137" t="str">
        <f>+'Series A Cap Table'!A42</f>
        <v>Consultant #1</v>
      </c>
      <c r="B14" s="54">
        <f>+'Series A Cap Table'!B42</f>
        <v>0</v>
      </c>
      <c r="C14" s="51">
        <f>+'Series A Cap Table'!C42</f>
        <v>100000</v>
      </c>
      <c r="D14" s="52">
        <f>'Series A Cap Table'!H42</f>
        <v>0</v>
      </c>
      <c r="E14" s="53">
        <f t="shared" si="3"/>
        <v>0</v>
      </c>
      <c r="F14" s="54">
        <f t="shared" si="1"/>
        <v>100000</v>
      </c>
      <c r="G14" s="53">
        <f t="shared" si="2"/>
        <v>2.7768268096922664E-3</v>
      </c>
      <c r="I14" s="38"/>
    </row>
    <row r="15" spans="1:9" x14ac:dyDescent="0.2">
      <c r="A15" s="137" t="str">
        <f>+'Series A Cap Table'!A39</f>
        <v>Other Employees</v>
      </c>
      <c r="B15" s="54">
        <f>+'Series A Cap Table'!B39</f>
        <v>750000</v>
      </c>
      <c r="C15" s="51">
        <f>+'Series A Cap Table'!C39</f>
        <v>1800000</v>
      </c>
      <c r="D15" s="52">
        <f>'Series A Cap Table'!H39</f>
        <v>0</v>
      </c>
      <c r="E15" s="53">
        <f t="shared" si="3"/>
        <v>0</v>
      </c>
      <c r="F15" s="54">
        <f t="shared" si="1"/>
        <v>2550000</v>
      </c>
      <c r="G15" s="53">
        <f t="shared" si="2"/>
        <v>7.0809083647152798E-2</v>
      </c>
      <c r="I15" s="38"/>
    </row>
    <row r="16" spans="1:9" x14ac:dyDescent="0.2">
      <c r="A16" s="137" t="str">
        <f>+'Series A Cap Table'!A43</f>
        <v>Pre-Investment Option Pool</v>
      </c>
      <c r="B16" s="54">
        <f>+'Series A Cap Table'!B43</f>
        <v>0</v>
      </c>
      <c r="C16" s="51">
        <f>+'Series A Cap Table'!C43</f>
        <v>1000000</v>
      </c>
      <c r="D16" s="52">
        <f>'Series A Cap Table'!H43</f>
        <v>0</v>
      </c>
      <c r="E16" s="53">
        <f t="shared" si="3"/>
        <v>0</v>
      </c>
      <c r="F16" s="54">
        <f t="shared" si="1"/>
        <v>1000000</v>
      </c>
      <c r="G16" s="53">
        <f>F16/$F$24</f>
        <v>2.7768268096922667E-2</v>
      </c>
      <c r="I16" s="38"/>
    </row>
    <row r="17" spans="1:9" x14ac:dyDescent="0.2">
      <c r="A17" s="137" t="str">
        <f>+'Series A Cap Table'!A44</f>
        <v>Srs A Option Pool Expansion</v>
      </c>
      <c r="B17" s="54">
        <f>+'Series A Cap Table'!B44</f>
        <v>0</v>
      </c>
      <c r="C17" s="51">
        <f>+'Series A Cap Table'!C44</f>
        <v>2500000</v>
      </c>
      <c r="D17" s="52">
        <f>'Series A Cap Table'!H44</f>
        <v>0</v>
      </c>
      <c r="E17" s="53">
        <f t="shared" si="3"/>
        <v>0</v>
      </c>
      <c r="F17" s="54">
        <f t="shared" si="1"/>
        <v>2500000</v>
      </c>
      <c r="G17" s="53">
        <f>F17/$F$24</f>
        <v>6.9420670242306665E-2</v>
      </c>
      <c r="I17" s="38"/>
    </row>
    <row r="18" spans="1:9" x14ac:dyDescent="0.2">
      <c r="A18" s="137" t="str">
        <f>+'Series A Cap Table'!A45</f>
        <v>Angel #1</v>
      </c>
      <c r="B18" s="54">
        <f>+'Series A Cap Table'!B45</f>
        <v>0</v>
      </c>
      <c r="C18" s="51">
        <f>+'Series A Cap Table'!C45</f>
        <v>0</v>
      </c>
      <c r="D18" s="52">
        <f>'Series A Cap Table'!H45</f>
        <v>1366438.3561643835</v>
      </c>
      <c r="E18" s="53">
        <f t="shared" si="3"/>
        <v>8.5336641286679782E-2</v>
      </c>
      <c r="F18" s="54">
        <f t="shared" si="1"/>
        <v>1366438.3561643835</v>
      </c>
      <c r="G18" s="53">
        <f t="shared" si="2"/>
        <v>3.79436266118909E-2</v>
      </c>
      <c r="I18" s="38"/>
    </row>
    <row r="19" spans="1:9" x14ac:dyDescent="0.2">
      <c r="A19" s="137" t="str">
        <f>+'Series A Cap Table'!A46</f>
        <v>Angel #2</v>
      </c>
      <c r="B19" s="54">
        <f>+'Series A Cap Table'!B46</f>
        <v>0</v>
      </c>
      <c r="C19" s="51">
        <f>+'Series A Cap Table'!C46</f>
        <v>0</v>
      </c>
      <c r="D19" s="52">
        <f>'Series A Cap Table'!H46</f>
        <v>1366438.3561643835</v>
      </c>
      <c r="E19" s="53">
        <f t="shared" si="3"/>
        <v>8.5336641286679782E-2</v>
      </c>
      <c r="F19" s="54">
        <f t="shared" si="1"/>
        <v>1366438.3561643835</v>
      </c>
      <c r="G19" s="53">
        <f t="shared" si="2"/>
        <v>3.79436266118909E-2</v>
      </c>
      <c r="I19" s="38"/>
    </row>
    <row r="20" spans="1:9" x14ac:dyDescent="0.2">
      <c r="A20" s="137" t="str">
        <f>+'Series A Cap Table'!A47</f>
        <v>Angel #3</v>
      </c>
      <c r="B20" s="54">
        <f>+'Series A Cap Table'!B47</f>
        <v>0</v>
      </c>
      <c r="C20" s="51">
        <f>+'Series A Cap Table'!C47</f>
        <v>0</v>
      </c>
      <c r="D20" s="52">
        <f>'Series A Cap Table'!H47</f>
        <v>1366438.3561643835</v>
      </c>
      <c r="E20" s="53">
        <f t="shared" si="3"/>
        <v>8.5336641286679782E-2</v>
      </c>
      <c r="F20" s="54">
        <f t="shared" si="1"/>
        <v>1366438.3561643835</v>
      </c>
      <c r="G20" s="53">
        <f t="shared" si="2"/>
        <v>3.79436266118909E-2</v>
      </c>
      <c r="I20" s="38"/>
    </row>
    <row r="21" spans="1:9" x14ac:dyDescent="0.2">
      <c r="A21" s="137" t="str">
        <f>+'Series A Cap Table'!A48</f>
        <v>Angels #4-10</v>
      </c>
      <c r="B21" s="54">
        <f>+'Series A Cap Table'!B48</f>
        <v>0</v>
      </c>
      <c r="C21" s="51">
        <f>+'Series A Cap Table'!C48</f>
        <v>0</v>
      </c>
      <c r="D21" s="52">
        <f>'Series A Cap Table'!H48</f>
        <v>1913013.6986301367</v>
      </c>
      <c r="E21" s="53">
        <f t="shared" si="3"/>
        <v>0.11947129780135168</v>
      </c>
      <c r="F21" s="54">
        <f t="shared" si="1"/>
        <v>1913013.6986301367</v>
      </c>
      <c r="G21" s="53">
        <f t="shared" si="2"/>
        <v>5.3121077256647255E-2</v>
      </c>
      <c r="I21" s="38"/>
    </row>
    <row r="22" spans="1:9" x14ac:dyDescent="0.2">
      <c r="A22" s="137" t="str">
        <f>+'Series A Cap Table'!A49</f>
        <v>Series A Lead Investor</v>
      </c>
      <c r="B22" s="54">
        <f>+'Series A Cap Table'!B49</f>
        <v>0</v>
      </c>
      <c r="C22" s="51">
        <f>+'Series A Cap Table'!C49</f>
        <v>0</v>
      </c>
      <c r="D22" s="52">
        <f>'Series A Cap Table'!H49</f>
        <v>8333333.333333334</v>
      </c>
      <c r="E22" s="53">
        <f t="shared" si="3"/>
        <v>0.52043231528217415</v>
      </c>
      <c r="F22" s="54">
        <f t="shared" si="1"/>
        <v>8333333.333333334</v>
      </c>
      <c r="G22" s="53">
        <f t="shared" si="2"/>
        <v>0.23140223414102223</v>
      </c>
      <c r="I22" s="38"/>
    </row>
    <row r="23" spans="1:9" ht="13.5" thickBot="1" x14ac:dyDescent="0.25">
      <c r="A23" s="137" t="str">
        <f>+'Series A Cap Table'!A50</f>
        <v>Series A Other Investors</v>
      </c>
      <c r="B23" s="54">
        <f>+'Series A Cap Table'!B50</f>
        <v>0</v>
      </c>
      <c r="C23" s="51">
        <f>+'Series A Cap Table'!C50</f>
        <v>0</v>
      </c>
      <c r="D23" s="52">
        <f>'Series A Cap Table'!H50</f>
        <v>1666666.6666666667</v>
      </c>
      <c r="E23" s="53">
        <f t="shared" si="3"/>
        <v>0.10408646305643483</v>
      </c>
      <c r="F23" s="54">
        <f t="shared" si="1"/>
        <v>1666666.6666666667</v>
      </c>
      <c r="G23" s="53">
        <f t="shared" si="2"/>
        <v>4.6280446828204445E-2</v>
      </c>
      <c r="I23" s="38"/>
    </row>
    <row r="24" spans="1:9" ht="13.5" thickBot="1" x14ac:dyDescent="0.25">
      <c r="A24" s="138" t="str">
        <f>'Series A Cap Table'!A51</f>
        <v>Total</v>
      </c>
      <c r="B24" s="90">
        <f t="shared" ref="B24:G24" si="4">SUM(B9:B23)</f>
        <v>10000000</v>
      </c>
      <c r="C24" s="87">
        <f t="shared" si="4"/>
        <v>10000000</v>
      </c>
      <c r="D24" s="88">
        <f>SUM(D9:D23)</f>
        <v>16012328.767123288</v>
      </c>
      <c r="E24" s="89">
        <f>SUM(E9:E23)</f>
        <v>1</v>
      </c>
      <c r="F24" s="90">
        <f t="shared" si="4"/>
        <v>36012328.767123289</v>
      </c>
      <c r="G24" s="89">
        <f t="shared" si="4"/>
        <v>1</v>
      </c>
    </row>
    <row r="25" spans="1:9" x14ac:dyDescent="0.2">
      <c r="A25" s="19"/>
      <c r="B25" s="19"/>
      <c r="C25" s="19"/>
      <c r="D25" s="19"/>
      <c r="E25" s="19"/>
      <c r="F25" s="19"/>
      <c r="G25" s="19"/>
    </row>
  </sheetData>
  <pageMargins left="0.7" right="0.7" top="0.75" bottom="0.75" header="0.3" footer="0.3"/>
  <pageSetup scale="8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6:J27"/>
  <sheetViews>
    <sheetView showGridLines="0" zoomScaleNormal="100" workbookViewId="0">
      <selection activeCell="H34" sqref="H34"/>
    </sheetView>
  </sheetViews>
  <sheetFormatPr defaultColWidth="9" defaultRowHeight="12.75" x14ac:dyDescent="0.2"/>
  <cols>
    <col min="1" max="1" width="20.5" style="4" customWidth="1"/>
    <col min="2" max="10" width="11" style="4" customWidth="1"/>
    <col min="11" max="16384" width="9" style="4"/>
  </cols>
  <sheetData>
    <row r="6" spans="1:10" ht="13.5" thickBot="1" x14ac:dyDescent="0.25"/>
    <row r="7" spans="1:10" ht="13.5" thickBot="1" x14ac:dyDescent="0.25">
      <c r="A7" s="340" t="s">
        <v>135</v>
      </c>
      <c r="B7" s="340"/>
      <c r="C7" s="340"/>
      <c r="D7" s="340"/>
      <c r="E7" s="340"/>
      <c r="F7" s="340"/>
      <c r="G7" s="340"/>
      <c r="H7" s="340"/>
      <c r="I7" s="340"/>
      <c r="J7" s="341"/>
    </row>
    <row r="8" spans="1:10" ht="26.25" thickBot="1" x14ac:dyDescent="0.25">
      <c r="A8" s="48" t="s">
        <v>3</v>
      </c>
      <c r="B8" s="49" t="s">
        <v>25</v>
      </c>
      <c r="C8" s="50" t="s">
        <v>26</v>
      </c>
      <c r="D8" s="49" t="s">
        <v>27</v>
      </c>
      <c r="E8" s="50" t="s">
        <v>28</v>
      </c>
      <c r="F8" s="49" t="s">
        <v>30</v>
      </c>
      <c r="G8" s="50" t="s">
        <v>31</v>
      </c>
      <c r="H8" s="55" t="s">
        <v>56</v>
      </c>
      <c r="I8" s="49" t="s">
        <v>29</v>
      </c>
      <c r="J8" s="50" t="s">
        <v>57</v>
      </c>
    </row>
    <row r="9" spans="1:10" x14ac:dyDescent="0.2">
      <c r="A9" s="136" t="str">
        <f>+'Series B Cap Table'!A30</f>
        <v>Employee #1</v>
      </c>
      <c r="B9" s="135">
        <f>+'Series B Cap Table'!B30</f>
        <v>7500000</v>
      </c>
      <c r="C9" s="51">
        <f>+'Series B Cap Table'!C30</f>
        <v>0</v>
      </c>
      <c r="D9" s="52">
        <f>+'Series B Cap Table'!F30</f>
        <v>0</v>
      </c>
      <c r="E9" s="53">
        <f t="shared" ref="E9:E26" si="0">D9/$D$27</f>
        <v>0</v>
      </c>
      <c r="F9" s="52">
        <f>+'Series B Cap Table'!I30</f>
        <v>0</v>
      </c>
      <c r="G9" s="56">
        <f t="shared" ref="G9:G26" si="1">F9/$F$27</f>
        <v>0</v>
      </c>
      <c r="H9" s="57">
        <f t="shared" ref="H9:H26" si="2">(F9+D9)/($F$27+$D$27)</f>
        <v>0</v>
      </c>
      <c r="I9" s="54">
        <f t="shared" ref="I9:I26" si="3">D9+C9+B9+F9</f>
        <v>7500000</v>
      </c>
      <c r="J9" s="53">
        <f t="shared" ref="J9:J26" si="4">I9/$I$27</f>
        <v>0.12866937163995568</v>
      </c>
    </row>
    <row r="10" spans="1:10" x14ac:dyDescent="0.2">
      <c r="A10" s="137" t="str">
        <f>+'Series B Cap Table'!A31</f>
        <v>Employee #2</v>
      </c>
      <c r="B10" s="54">
        <f>+'Series B Cap Table'!B31</f>
        <v>1750000</v>
      </c>
      <c r="C10" s="51">
        <f>+'Series B Cap Table'!C31</f>
        <v>2500000</v>
      </c>
      <c r="D10" s="52">
        <f>+'Series B Cap Table'!F31</f>
        <v>0</v>
      </c>
      <c r="E10" s="53">
        <f t="shared" si="0"/>
        <v>0</v>
      </c>
      <c r="F10" s="52">
        <f>+'Series B Cap Table'!I31</f>
        <v>0</v>
      </c>
      <c r="G10" s="56">
        <f t="shared" si="1"/>
        <v>0</v>
      </c>
      <c r="H10" s="57">
        <f t="shared" si="2"/>
        <v>0</v>
      </c>
      <c r="I10" s="54">
        <f t="shared" si="3"/>
        <v>4250000</v>
      </c>
      <c r="J10" s="53">
        <f t="shared" si="4"/>
        <v>7.2912643929308227E-2</v>
      </c>
    </row>
    <row r="11" spans="1:10" x14ac:dyDescent="0.2">
      <c r="A11" s="137" t="str">
        <f>+'Series B Cap Table'!A32</f>
        <v>Employee #3</v>
      </c>
      <c r="B11" s="54">
        <f>+'Series B Cap Table'!B32</f>
        <v>0</v>
      </c>
      <c r="C11" s="51">
        <f>+'Series B Cap Table'!C32</f>
        <v>2000000</v>
      </c>
      <c r="D11" s="52">
        <f>+'Series B Cap Table'!F32</f>
        <v>0</v>
      </c>
      <c r="E11" s="53">
        <f t="shared" si="0"/>
        <v>0</v>
      </c>
      <c r="F11" s="52">
        <f>+'Series B Cap Table'!I32</f>
        <v>0</v>
      </c>
      <c r="G11" s="56">
        <f t="shared" si="1"/>
        <v>0</v>
      </c>
      <c r="H11" s="57">
        <f t="shared" si="2"/>
        <v>0</v>
      </c>
      <c r="I11" s="54">
        <f t="shared" si="3"/>
        <v>2000000</v>
      </c>
      <c r="J11" s="53">
        <f t="shared" si="4"/>
        <v>3.4311832437321513E-2</v>
      </c>
    </row>
    <row r="12" spans="1:10" x14ac:dyDescent="0.2">
      <c r="A12" s="137" t="str">
        <f>+'Series B Cap Table'!A34</f>
        <v>Advisor #1</v>
      </c>
      <c r="B12" s="54">
        <f>+'Series B Cap Table'!B34</f>
        <v>0</v>
      </c>
      <c r="C12" s="51">
        <f>+'Series B Cap Table'!C34</f>
        <v>50000</v>
      </c>
      <c r="D12" s="52">
        <f>+'Series B Cap Table'!F34</f>
        <v>0</v>
      </c>
      <c r="E12" s="53">
        <f t="shared" si="0"/>
        <v>0</v>
      </c>
      <c r="F12" s="52">
        <f>+'Series B Cap Table'!I34</f>
        <v>0</v>
      </c>
      <c r="G12" s="56">
        <f t="shared" si="1"/>
        <v>0</v>
      </c>
      <c r="H12" s="57">
        <f t="shared" si="2"/>
        <v>0</v>
      </c>
      <c r="I12" s="54">
        <f t="shared" si="3"/>
        <v>50000</v>
      </c>
      <c r="J12" s="53">
        <f t="shared" si="4"/>
        <v>8.5779581093303791E-4</v>
      </c>
    </row>
    <row r="13" spans="1:10" x14ac:dyDescent="0.2">
      <c r="A13" s="137" t="str">
        <f>+'Series B Cap Table'!A35</f>
        <v>Advisor #2</v>
      </c>
      <c r="B13" s="54">
        <f>+'Series B Cap Table'!B35</f>
        <v>0</v>
      </c>
      <c r="C13" s="51">
        <f>+'Series B Cap Table'!C35</f>
        <v>50000</v>
      </c>
      <c r="D13" s="52">
        <f>+'Series B Cap Table'!F35</f>
        <v>0</v>
      </c>
      <c r="E13" s="53">
        <f t="shared" si="0"/>
        <v>0</v>
      </c>
      <c r="F13" s="52">
        <f>+'Series B Cap Table'!I35</f>
        <v>0</v>
      </c>
      <c r="G13" s="56">
        <f t="shared" si="1"/>
        <v>0</v>
      </c>
      <c r="H13" s="57">
        <f t="shared" si="2"/>
        <v>0</v>
      </c>
      <c r="I13" s="54">
        <f t="shared" si="3"/>
        <v>50000</v>
      </c>
      <c r="J13" s="53">
        <f t="shared" si="4"/>
        <v>8.5779581093303791E-4</v>
      </c>
    </row>
    <row r="14" spans="1:10" x14ac:dyDescent="0.2">
      <c r="A14" s="137" t="str">
        <f>+'Series B Cap Table'!A36</f>
        <v>Consultant #1</v>
      </c>
      <c r="B14" s="54">
        <f>+'Series B Cap Table'!B36</f>
        <v>0</v>
      </c>
      <c r="C14" s="51">
        <f>+'Series B Cap Table'!C36</f>
        <v>100000</v>
      </c>
      <c r="D14" s="52">
        <f>+'Series B Cap Table'!F36</f>
        <v>0</v>
      </c>
      <c r="E14" s="53">
        <f t="shared" si="0"/>
        <v>0</v>
      </c>
      <c r="F14" s="52">
        <f>+'Series B Cap Table'!I36</f>
        <v>0</v>
      </c>
      <c r="G14" s="56">
        <f t="shared" si="1"/>
        <v>0</v>
      </c>
      <c r="H14" s="57">
        <f t="shared" si="2"/>
        <v>0</v>
      </c>
      <c r="I14" s="54">
        <f t="shared" si="3"/>
        <v>100000</v>
      </c>
      <c r="J14" s="53">
        <f t="shared" si="4"/>
        <v>1.7155916218660758E-3</v>
      </c>
    </row>
    <row r="15" spans="1:10" x14ac:dyDescent="0.2">
      <c r="A15" s="137" t="str">
        <f>+'Series B Cap Table'!A33</f>
        <v>Other Employees</v>
      </c>
      <c r="B15" s="54">
        <f>+'Series B Cap Table'!B33</f>
        <v>750000</v>
      </c>
      <c r="C15" s="51">
        <f>+'Series B Cap Table'!C33</f>
        <v>1800000</v>
      </c>
      <c r="D15" s="52">
        <f>+'Series B Cap Table'!F33</f>
        <v>0</v>
      </c>
      <c r="E15" s="53">
        <f t="shared" si="0"/>
        <v>0</v>
      </c>
      <c r="F15" s="52">
        <f>+'Series B Cap Table'!I33</f>
        <v>0</v>
      </c>
      <c r="G15" s="56">
        <f t="shared" si="1"/>
        <v>0</v>
      </c>
      <c r="H15" s="57">
        <f t="shared" si="2"/>
        <v>0</v>
      </c>
      <c r="I15" s="54">
        <f t="shared" si="3"/>
        <v>2550000</v>
      </c>
      <c r="J15" s="53">
        <f t="shared" si="4"/>
        <v>4.3747586357584932E-2</v>
      </c>
    </row>
    <row r="16" spans="1:10" x14ac:dyDescent="0.2">
      <c r="A16" s="137" t="str">
        <f>+'Series B Cap Table'!A37</f>
        <v>Pre-Investment Option Pool</v>
      </c>
      <c r="B16" s="54">
        <f>+'Series B Cap Table'!B37</f>
        <v>0</v>
      </c>
      <c r="C16" s="51">
        <f>+'Series B Cap Table'!C37</f>
        <v>1000000</v>
      </c>
      <c r="D16" s="52">
        <f>+'Series B Cap Table'!F37</f>
        <v>0</v>
      </c>
      <c r="E16" s="53">
        <f t="shared" si="0"/>
        <v>0</v>
      </c>
      <c r="F16" s="52">
        <f>+'Series B Cap Table'!I37</f>
        <v>0</v>
      </c>
      <c r="G16" s="56">
        <f t="shared" si="1"/>
        <v>0</v>
      </c>
      <c r="H16" s="57">
        <f t="shared" si="2"/>
        <v>0</v>
      </c>
      <c r="I16" s="54">
        <f t="shared" si="3"/>
        <v>1000000</v>
      </c>
      <c r="J16" s="53">
        <f t="shared" si="4"/>
        <v>1.7155916218660756E-2</v>
      </c>
    </row>
    <row r="17" spans="1:10" x14ac:dyDescent="0.2">
      <c r="A17" s="137" t="str">
        <f>+'Series B Cap Table'!A38</f>
        <v>Srs A Option Pool Expansion</v>
      </c>
      <c r="B17" s="54">
        <f>+'Series B Cap Table'!B38</f>
        <v>0</v>
      </c>
      <c r="C17" s="51">
        <f>+'Series B Cap Table'!C38</f>
        <v>2500000</v>
      </c>
      <c r="D17" s="52">
        <f>+'Series B Cap Table'!F38</f>
        <v>0</v>
      </c>
      <c r="E17" s="53">
        <f t="shared" si="0"/>
        <v>0</v>
      </c>
      <c r="F17" s="52">
        <f>+'Series B Cap Table'!I38</f>
        <v>0</v>
      </c>
      <c r="G17" s="56">
        <f t="shared" si="1"/>
        <v>0</v>
      </c>
      <c r="H17" s="57">
        <f t="shared" si="2"/>
        <v>0</v>
      </c>
      <c r="I17" s="54">
        <f t="shared" si="3"/>
        <v>2500000</v>
      </c>
      <c r="J17" s="53">
        <f t="shared" si="4"/>
        <v>4.2889790546651894E-2</v>
      </c>
    </row>
    <row r="18" spans="1:10" x14ac:dyDescent="0.2">
      <c r="A18" s="137" t="str">
        <f>+'Series B Cap Table'!A39</f>
        <v>Srs B Option Pool Expansion</v>
      </c>
      <c r="B18" s="54">
        <f>+'Series B Cap Table'!B39</f>
        <v>0</v>
      </c>
      <c r="C18" s="51">
        <f>+'Series B Cap Table'!C39</f>
        <v>2500000</v>
      </c>
      <c r="D18" s="52">
        <f>+'Series B Cap Table'!F39</f>
        <v>0</v>
      </c>
      <c r="E18" s="53">
        <f t="shared" si="0"/>
        <v>0</v>
      </c>
      <c r="F18" s="52">
        <f>+'Series B Cap Table'!I39</f>
        <v>0</v>
      </c>
      <c r="G18" s="56">
        <f t="shared" si="1"/>
        <v>0</v>
      </c>
      <c r="H18" s="57">
        <f t="shared" si="2"/>
        <v>0</v>
      </c>
      <c r="I18" s="54">
        <f t="shared" si="3"/>
        <v>2500000</v>
      </c>
      <c r="J18" s="53">
        <f t="shared" si="4"/>
        <v>4.2889790546651894E-2</v>
      </c>
    </row>
    <row r="19" spans="1:10" x14ac:dyDescent="0.2">
      <c r="A19" s="137" t="str">
        <f>+'Series B Cap Table'!A40</f>
        <v>Angel #1</v>
      </c>
      <c r="B19" s="54">
        <f>+'Series B Cap Table'!B40</f>
        <v>0</v>
      </c>
      <c r="C19" s="51">
        <f>+'Series B Cap Table'!C40</f>
        <v>0</v>
      </c>
      <c r="D19" s="52">
        <f>+'Series B Cap Table'!F40</f>
        <v>1366438.3561643835</v>
      </c>
      <c r="E19" s="53">
        <f t="shared" si="0"/>
        <v>8.5336641286679782E-2</v>
      </c>
      <c r="F19" s="52">
        <f>+'Series B Cap Table'!I40</f>
        <v>0</v>
      </c>
      <c r="G19" s="56">
        <f t="shared" si="1"/>
        <v>0</v>
      </c>
      <c r="H19" s="57">
        <f t="shared" si="2"/>
        <v>3.8180475224458672E-2</v>
      </c>
      <c r="I19" s="54">
        <f t="shared" si="3"/>
        <v>1366438.3561643835</v>
      </c>
      <c r="J19" s="53">
        <f t="shared" si="4"/>
        <v>2.344250195632069E-2</v>
      </c>
    </row>
    <row r="20" spans="1:10" x14ac:dyDescent="0.2">
      <c r="A20" s="137" t="str">
        <f>+'Series B Cap Table'!A41</f>
        <v>Angel #2</v>
      </c>
      <c r="B20" s="54">
        <f>+'Series B Cap Table'!B41</f>
        <v>0</v>
      </c>
      <c r="C20" s="51">
        <f>+'Series B Cap Table'!C41</f>
        <v>0</v>
      </c>
      <c r="D20" s="52">
        <f>+'Series B Cap Table'!F41</f>
        <v>1366438.3561643835</v>
      </c>
      <c r="E20" s="53">
        <f t="shared" si="0"/>
        <v>8.5336641286679782E-2</v>
      </c>
      <c r="F20" s="52">
        <f>+'Series B Cap Table'!I41</f>
        <v>0</v>
      </c>
      <c r="G20" s="56">
        <f t="shared" si="1"/>
        <v>0</v>
      </c>
      <c r="H20" s="57">
        <f t="shared" si="2"/>
        <v>3.8180475224458672E-2</v>
      </c>
      <c r="I20" s="54">
        <f t="shared" si="3"/>
        <v>1366438.3561643835</v>
      </c>
      <c r="J20" s="53">
        <f t="shared" si="4"/>
        <v>2.344250195632069E-2</v>
      </c>
    </row>
    <row r="21" spans="1:10" x14ac:dyDescent="0.2">
      <c r="A21" s="137" t="str">
        <f>+'Series B Cap Table'!A42</f>
        <v>Angel #3</v>
      </c>
      <c r="B21" s="54">
        <f>+'Series B Cap Table'!B42</f>
        <v>0</v>
      </c>
      <c r="C21" s="51">
        <f>+'Series B Cap Table'!C42</f>
        <v>0</v>
      </c>
      <c r="D21" s="52">
        <f>+'Series B Cap Table'!F42</f>
        <v>1366438.3561643835</v>
      </c>
      <c r="E21" s="53">
        <f t="shared" si="0"/>
        <v>8.5336641286679782E-2</v>
      </c>
      <c r="F21" s="52">
        <f>+'Series B Cap Table'!I42</f>
        <v>0</v>
      </c>
      <c r="G21" s="56">
        <f t="shared" si="1"/>
        <v>0</v>
      </c>
      <c r="H21" s="57">
        <f t="shared" si="2"/>
        <v>3.8180475224458672E-2</v>
      </c>
      <c r="I21" s="54">
        <f t="shared" si="3"/>
        <v>1366438.3561643835</v>
      </c>
      <c r="J21" s="53">
        <f t="shared" si="4"/>
        <v>2.344250195632069E-2</v>
      </c>
    </row>
    <row r="22" spans="1:10" x14ac:dyDescent="0.2">
      <c r="A22" s="137" t="str">
        <f>+'Series B Cap Table'!A43</f>
        <v>Angels #4-10</v>
      </c>
      <c r="B22" s="54">
        <f>+'Series B Cap Table'!B43</f>
        <v>0</v>
      </c>
      <c r="C22" s="51">
        <f>+'Series B Cap Table'!C43</f>
        <v>0</v>
      </c>
      <c r="D22" s="52">
        <f>+'Series B Cap Table'!F43</f>
        <v>1913013.6986301367</v>
      </c>
      <c r="E22" s="53">
        <f t="shared" si="0"/>
        <v>0.11947129780135168</v>
      </c>
      <c r="F22" s="52">
        <f>+'Series B Cap Table'!I43</f>
        <v>0</v>
      </c>
      <c r="G22" s="56">
        <f t="shared" si="1"/>
        <v>0</v>
      </c>
      <c r="H22" s="57">
        <f t="shared" si="2"/>
        <v>5.3452665314242136E-2</v>
      </c>
      <c r="I22" s="54">
        <f t="shared" si="3"/>
        <v>1913013.6986301367</v>
      </c>
      <c r="J22" s="53">
        <f t="shared" si="4"/>
        <v>3.2819502738848962E-2</v>
      </c>
    </row>
    <row r="23" spans="1:10" x14ac:dyDescent="0.2">
      <c r="A23" s="137" t="str">
        <f>+'Series B Cap Table'!A44</f>
        <v>Series A Lead Investor</v>
      </c>
      <c r="B23" s="54">
        <f>+'Series B Cap Table'!B44</f>
        <v>0</v>
      </c>
      <c r="C23" s="51">
        <f>+'Series B Cap Table'!C44</f>
        <v>0</v>
      </c>
      <c r="D23" s="52">
        <f>+'Series B Cap Table'!F44</f>
        <v>8333333.333333334</v>
      </c>
      <c r="E23" s="53">
        <f t="shared" si="0"/>
        <v>0.52043231528217415</v>
      </c>
      <c r="F23" s="52">
        <f>+'Series B Cap Table'!I44</f>
        <v>1040873.7504627916</v>
      </c>
      <c r="G23" s="56">
        <f t="shared" si="1"/>
        <v>5.2631578947368425E-2</v>
      </c>
      <c r="H23" s="57">
        <f t="shared" si="2"/>
        <v>0.26193035324073255</v>
      </c>
      <c r="I23" s="54">
        <f t="shared" si="3"/>
        <v>9374207.0837961249</v>
      </c>
      <c r="J23" s="53">
        <f t="shared" si="4"/>
        <v>0.16082311134598251</v>
      </c>
    </row>
    <row r="24" spans="1:10" x14ac:dyDescent="0.2">
      <c r="A24" s="137" t="str">
        <f>+'Series B Cap Table'!A45</f>
        <v>Series A Other Investors</v>
      </c>
      <c r="B24" s="54">
        <f>+'Series B Cap Table'!B45</f>
        <v>0</v>
      </c>
      <c r="C24" s="51">
        <f>+'Series B Cap Table'!C45</f>
        <v>0</v>
      </c>
      <c r="D24" s="52">
        <f>+'Series B Cap Table'!F45</f>
        <v>1666666.6666666667</v>
      </c>
      <c r="E24" s="53">
        <f t="shared" si="0"/>
        <v>0.10408646305643483</v>
      </c>
      <c r="F24" s="52">
        <f>+'Series B Cap Table'!I45</f>
        <v>1040873.7504627916</v>
      </c>
      <c r="G24" s="56">
        <f t="shared" si="1"/>
        <v>5.2631578947368425E-2</v>
      </c>
      <c r="H24" s="57">
        <f t="shared" si="2"/>
        <v>7.5653013799764621E-2</v>
      </c>
      <c r="I24" s="54">
        <f t="shared" si="3"/>
        <v>2707540.4171294584</v>
      </c>
      <c r="J24" s="53">
        <f t="shared" si="4"/>
        <v>4.6450336554910786E-2</v>
      </c>
    </row>
    <row r="25" spans="1:10" x14ac:dyDescent="0.2">
      <c r="A25" s="137" t="str">
        <f>+'Series B Cap Table'!A46</f>
        <v>Series B Lead Investor</v>
      </c>
      <c r="B25" s="54">
        <f>+'Series B Cap Table'!B46</f>
        <v>0</v>
      </c>
      <c r="C25" s="51">
        <f>+'Series B Cap Table'!C46</f>
        <v>0</v>
      </c>
      <c r="D25" s="52">
        <f>+'Series B Cap Table'!F46</f>
        <v>0</v>
      </c>
      <c r="E25" s="53">
        <f t="shared" si="0"/>
        <v>0</v>
      </c>
      <c r="F25" s="52">
        <f>+'Series B Cap Table'!I46</f>
        <v>15613106.256941875</v>
      </c>
      <c r="G25" s="56">
        <f t="shared" si="1"/>
        <v>0.78947368421052633</v>
      </c>
      <c r="H25" s="57">
        <f t="shared" si="2"/>
        <v>0.43625518409283937</v>
      </c>
      <c r="I25" s="54">
        <f t="shared" si="3"/>
        <v>15613106.256941875</v>
      </c>
      <c r="J25" s="53">
        <f t="shared" si="4"/>
        <v>0.2678571428571429</v>
      </c>
    </row>
    <row r="26" spans="1:10" ht="13.5" thickBot="1" x14ac:dyDescent="0.25">
      <c r="A26" s="137" t="str">
        <f>+'Series B Cap Table'!A47</f>
        <v>Series B Other Investors</v>
      </c>
      <c r="B26" s="54">
        <f>+'Series B Cap Table'!B47</f>
        <v>0</v>
      </c>
      <c r="C26" s="51">
        <f>+'Series B Cap Table'!C47</f>
        <v>0</v>
      </c>
      <c r="D26" s="52">
        <f>+'Series B Cap Table'!F47</f>
        <v>0</v>
      </c>
      <c r="E26" s="53">
        <f t="shared" si="0"/>
        <v>0</v>
      </c>
      <c r="F26" s="52">
        <f>+'Series B Cap Table'!I47</f>
        <v>2081747.5009255833</v>
      </c>
      <c r="G26" s="56">
        <f t="shared" si="1"/>
        <v>0.10526315789473685</v>
      </c>
      <c r="H26" s="57">
        <f t="shared" si="2"/>
        <v>5.8167357879045249E-2</v>
      </c>
      <c r="I26" s="54">
        <f t="shared" si="3"/>
        <v>2081747.5009255833</v>
      </c>
      <c r="J26" s="53">
        <f t="shared" si="4"/>
        <v>3.5714285714285712E-2</v>
      </c>
    </row>
    <row r="27" spans="1:10" ht="13.5" thickBot="1" x14ac:dyDescent="0.25">
      <c r="A27" s="138" t="str">
        <f>'Series A Cap Table'!A51</f>
        <v>Total</v>
      </c>
      <c r="B27" s="90">
        <f t="shared" ref="B27:J27" si="5">SUM(B9:B26)</f>
        <v>10000000</v>
      </c>
      <c r="C27" s="87">
        <f t="shared" si="5"/>
        <v>12500000</v>
      </c>
      <c r="D27" s="88">
        <f t="shared" si="5"/>
        <v>16012328.767123288</v>
      </c>
      <c r="E27" s="89">
        <f t="shared" si="5"/>
        <v>1</v>
      </c>
      <c r="F27" s="88">
        <f t="shared" si="5"/>
        <v>19776601.258793041</v>
      </c>
      <c r="G27" s="93">
        <f t="shared" si="5"/>
        <v>1</v>
      </c>
      <c r="H27" s="94">
        <f t="shared" si="5"/>
        <v>1</v>
      </c>
      <c r="I27" s="90">
        <f t="shared" si="5"/>
        <v>58288930.025916331</v>
      </c>
      <c r="J27" s="89">
        <f t="shared" si="5"/>
        <v>1</v>
      </c>
    </row>
  </sheetData>
  <pageMargins left="0.7" right="0.7" top="0.75" bottom="0.75" header="0.3" footer="0.3"/>
  <pageSetup scale="7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vt:lpstr>
      <vt:lpstr>Instructions</vt:lpstr>
      <vt:lpstr>Pre-Investment Cap Table</vt:lpstr>
      <vt:lpstr>Convertible Notes</vt:lpstr>
      <vt:lpstr>Series A Cap Table</vt:lpstr>
      <vt:lpstr>Series B Cap Table</vt:lpstr>
      <vt:lpstr>Value Growth</vt:lpstr>
      <vt:lpstr>Series A_Print Version</vt:lpstr>
      <vt:lpstr>Series B_Print Version</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S3 Ventures</dc:creator>
  <cp:lastModifiedBy>Jonathan Fine</cp:lastModifiedBy>
  <cp:lastPrinted>2016-08-01T16:39:06Z</cp:lastPrinted>
  <dcterms:created xsi:type="dcterms:W3CDTF">2012-01-06T17:01:19Z</dcterms:created>
  <dcterms:modified xsi:type="dcterms:W3CDTF">2019-10-30T21:47:08Z</dcterms:modified>
</cp:coreProperties>
</file>