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janou/Dropbox/"/>
    </mc:Choice>
  </mc:AlternateContent>
  <xr:revisionPtr revIDLastSave="0" documentId="13_ncr:1_{D40A3150-F8ED-F346-9BAB-120D0FAF0523}" xr6:coauthVersionLast="37" xr6:coauthVersionMax="37" xr10:uidLastSave="{00000000-0000-0000-0000-000000000000}"/>
  <bookViews>
    <workbookView xWindow="-100" yWindow="460" windowWidth="28800" windowHeight="16580" activeTab="1" xr2:uid="{00000000-000D-0000-FFFF-FFFF00000000}"/>
  </bookViews>
  <sheets>
    <sheet name="Summary" sheetId="5" r:id="rId1"/>
    <sheet name="Monthly Model" sheetId="1" r:id="rId2"/>
    <sheet name="Cohort Model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43271.0697337963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S_Rev_COGS">'Monthly Model'!$D$7:$AY$27</definedName>
    <definedName name="_xlnm.Print_Area" localSheetId="1">'Monthly Model'!$A$1:$AY$94</definedName>
    <definedName name="_xlnm.Print_Area" localSheetId="0">Summary!$A$2:$T$47</definedName>
    <definedName name="_xlnm.Print_Titles" localSheetId="1">'Monthly Model'!$A:$C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" i="2" l="1"/>
  <c r="S54" i="2" l="1"/>
  <c r="E40" i="1" l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D41" i="1"/>
  <c r="D42" i="1"/>
  <c r="D40" i="1"/>
  <c r="Q9" i="2"/>
  <c r="S3" i="2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E89" i="1" l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D89" i="1"/>
  <c r="Y9" i="2"/>
  <c r="AG9" i="2"/>
  <c r="AO9" i="2"/>
  <c r="AW9" i="2"/>
  <c r="BE9" i="2"/>
  <c r="BM9" i="2"/>
  <c r="Z9" i="2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D32" i="1"/>
  <c r="D33" i="1"/>
  <c r="D34" i="1"/>
  <c r="D35" i="1"/>
  <c r="D36" i="1"/>
  <c r="D3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D52" i="1"/>
  <c r="D53" i="1" a="1"/>
  <c r="D53" i="1" s="1"/>
  <c r="B20" i="5" s="1"/>
  <c r="D7" i="1" a="1"/>
  <c r="D7" i="1" s="1"/>
  <c r="F46" i="2"/>
  <c r="H46" i="2" s="1"/>
  <c r="F47" i="2"/>
  <c r="H47" i="2" s="1"/>
  <c r="I47" i="2" s="1"/>
  <c r="J47" i="2" s="1"/>
  <c r="F48" i="2"/>
  <c r="H48" i="2" s="1"/>
  <c r="I48" i="2" s="1"/>
  <c r="J48" i="2" s="1"/>
  <c r="F49" i="2"/>
  <c r="H49" i="2" s="1"/>
  <c r="F50" i="2"/>
  <c r="H50" i="2" s="1"/>
  <c r="F51" i="2"/>
  <c r="H51" i="2" s="1"/>
  <c r="F52" i="2"/>
  <c r="H52" i="2" s="1"/>
  <c r="F53" i="2"/>
  <c r="H53" i="2" s="1"/>
  <c r="F54" i="2"/>
  <c r="H54" i="2" s="1"/>
  <c r="F55" i="2"/>
  <c r="H55" i="2" s="1"/>
  <c r="F56" i="2"/>
  <c r="H56" i="2" s="1"/>
  <c r="F57" i="2"/>
  <c r="H57" i="2" s="1"/>
  <c r="D69" i="1" l="1"/>
  <c r="BL9" i="2"/>
  <c r="BD9" i="2"/>
  <c r="AV9" i="2"/>
  <c r="AN9" i="2"/>
  <c r="AF9" i="2"/>
  <c r="X9" i="2"/>
  <c r="D74" i="1"/>
  <c r="BK9" i="2"/>
  <c r="BC9" i="2"/>
  <c r="AU9" i="2"/>
  <c r="AM9" i="2"/>
  <c r="AE9" i="2"/>
  <c r="W9" i="2"/>
  <c r="D73" i="1"/>
  <c r="BJ9" i="2"/>
  <c r="BB9" i="2"/>
  <c r="AT9" i="2"/>
  <c r="AL9" i="2"/>
  <c r="AD9" i="2"/>
  <c r="V9" i="2"/>
  <c r="D72" i="1"/>
  <c r="BI9" i="2"/>
  <c r="BA9" i="2"/>
  <c r="AS9" i="2"/>
  <c r="AK9" i="2"/>
  <c r="AC9" i="2"/>
  <c r="U9" i="2"/>
  <c r="D71" i="1"/>
  <c r="BH9" i="2"/>
  <c r="AZ9" i="2"/>
  <c r="AR9" i="2"/>
  <c r="AJ9" i="2"/>
  <c r="AB9" i="2"/>
  <c r="T9" i="2"/>
  <c r="D70" i="1"/>
  <c r="BG9" i="2"/>
  <c r="AY9" i="2"/>
  <c r="AQ9" i="2"/>
  <c r="AI9" i="2"/>
  <c r="AA9" i="2"/>
  <c r="S9" i="2"/>
  <c r="D78" i="1"/>
  <c r="R9" i="2"/>
  <c r="BF9" i="2"/>
  <c r="AX9" i="2"/>
  <c r="AP9" i="2"/>
  <c r="AH9" i="2"/>
  <c r="D79" i="1"/>
  <c r="Q48" i="2"/>
  <c r="Q47" i="2"/>
  <c r="AG37" i="1"/>
  <c r="X37" i="1"/>
  <c r="O37" i="1"/>
  <c r="O38" i="1" s="1"/>
  <c r="AL37" i="1"/>
  <c r="AL38" i="1" s="1"/>
  <c r="AD37" i="1"/>
  <c r="AD38" i="1" s="1"/>
  <c r="N37" i="1"/>
  <c r="N38" i="1" s="1"/>
  <c r="U37" i="1"/>
  <c r="U38" i="1" s="1"/>
  <c r="M37" i="1"/>
  <c r="M38" i="1" s="1"/>
  <c r="AB37" i="1"/>
  <c r="AB38" i="1" s="1"/>
  <c r="T37" i="1"/>
  <c r="Y37" i="1"/>
  <c r="Y38" i="1" s="1"/>
  <c r="P37" i="1"/>
  <c r="P38" i="1" s="1"/>
  <c r="W37" i="1"/>
  <c r="W38" i="1" s="1"/>
  <c r="AC37" i="1"/>
  <c r="AC38" i="1" s="1"/>
  <c r="AN37" i="1"/>
  <c r="G37" i="1"/>
  <c r="G38" i="1" s="1"/>
  <c r="AO37" i="1"/>
  <c r="AO38" i="1" s="1"/>
  <c r="H37" i="1"/>
  <c r="H38" i="1" s="1"/>
  <c r="AS37" i="1"/>
  <c r="AS38" i="1" s="1"/>
  <c r="Q37" i="1"/>
  <c r="Q38" i="1" s="1"/>
  <c r="AF37" i="1"/>
  <c r="AF38" i="1" s="1"/>
  <c r="AK37" i="1"/>
  <c r="AK38" i="1" s="1"/>
  <c r="AI37" i="1"/>
  <c r="AI38" i="1" s="1"/>
  <c r="Z37" i="1"/>
  <c r="Z38" i="1" s="1"/>
  <c r="D37" i="1"/>
  <c r="D38" i="1" s="1"/>
  <c r="R37" i="1"/>
  <c r="R38" i="1" s="1"/>
  <c r="J37" i="1"/>
  <c r="J38" i="1" s="1"/>
  <c r="AA37" i="1"/>
  <c r="AA38" i="1" s="1"/>
  <c r="S37" i="1"/>
  <c r="S38" i="1" s="1"/>
  <c r="E37" i="1"/>
  <c r="E38" i="1" s="1"/>
  <c r="AY37" i="1"/>
  <c r="AY38" i="1" s="1"/>
  <c r="AQ37" i="1"/>
  <c r="AQ38" i="1" s="1"/>
  <c r="AX37" i="1"/>
  <c r="AX38" i="1" s="1"/>
  <c r="AP37" i="1"/>
  <c r="AP38" i="1" s="1"/>
  <c r="AH37" i="1"/>
  <c r="AH38" i="1" s="1"/>
  <c r="V37" i="1"/>
  <c r="V38" i="1" s="1"/>
  <c r="AR37" i="1"/>
  <c r="AR38" i="1" s="1"/>
  <c r="AJ37" i="1"/>
  <c r="AJ38" i="1" s="1"/>
  <c r="AE37" i="1"/>
  <c r="AE38" i="1" s="1"/>
  <c r="L37" i="1"/>
  <c r="L38" i="1" s="1"/>
  <c r="K37" i="1"/>
  <c r="K38" i="1" s="1"/>
  <c r="AG38" i="1"/>
  <c r="X38" i="1"/>
  <c r="T38" i="1"/>
  <c r="I37" i="1"/>
  <c r="I38" i="1" s="1"/>
  <c r="AN38" i="1"/>
  <c r="AW37" i="1"/>
  <c r="AW38" i="1" s="1"/>
  <c r="AV37" i="1"/>
  <c r="AV38" i="1" s="1"/>
  <c r="AM37" i="1"/>
  <c r="AM38" i="1" s="1"/>
  <c r="AU37" i="1"/>
  <c r="AU38" i="1" s="1"/>
  <c r="F37" i="1"/>
  <c r="F38" i="1" s="1"/>
  <c r="AT37" i="1"/>
  <c r="AT38" i="1" s="1"/>
  <c r="AY53" i="1"/>
  <c r="AI53" i="1"/>
  <c r="AA53" i="1"/>
  <c r="AQ53" i="1"/>
  <c r="S53" i="1"/>
  <c r="K53" i="1"/>
  <c r="AX53" i="1"/>
  <c r="AH53" i="1"/>
  <c r="R53" i="1"/>
  <c r="J53" i="1"/>
  <c r="AW53" i="1"/>
  <c r="AO53" i="1"/>
  <c r="AG53" i="1"/>
  <c r="Y53" i="1"/>
  <c r="Q53" i="1"/>
  <c r="I53" i="1"/>
  <c r="AV53" i="1"/>
  <c r="AN53" i="1"/>
  <c r="AF53" i="1"/>
  <c r="X53" i="1"/>
  <c r="P53" i="1"/>
  <c r="H53" i="1"/>
  <c r="AT53" i="1"/>
  <c r="AL53" i="1"/>
  <c r="AD53" i="1"/>
  <c r="V53" i="1"/>
  <c r="N53" i="1"/>
  <c r="F53" i="1"/>
  <c r="Z53" i="1"/>
  <c r="AM53" i="1"/>
  <c r="W53" i="1"/>
  <c r="G53" i="1"/>
  <c r="AS53" i="1"/>
  <c r="AK53" i="1"/>
  <c r="AC53" i="1"/>
  <c r="U53" i="1"/>
  <c r="M53" i="1"/>
  <c r="E53" i="1"/>
  <c r="AP53" i="1"/>
  <c r="AU53" i="1"/>
  <c r="AE53" i="1"/>
  <c r="O53" i="1"/>
  <c r="AR53" i="1"/>
  <c r="AJ53" i="1"/>
  <c r="AB53" i="1"/>
  <c r="T53" i="1"/>
  <c r="L53" i="1"/>
  <c r="K7" i="1"/>
  <c r="AY7" i="1"/>
  <c r="AA7" i="1"/>
  <c r="AX7" i="1"/>
  <c r="AH7" i="1"/>
  <c r="R7" i="1"/>
  <c r="J7" i="1"/>
  <c r="AW7" i="1"/>
  <c r="AG7" i="1"/>
  <c r="Q7" i="1"/>
  <c r="AV7" i="1"/>
  <c r="AN7" i="1"/>
  <c r="AF7" i="1"/>
  <c r="X7" i="1"/>
  <c r="P7" i="1"/>
  <c r="H7" i="1"/>
  <c r="AU7" i="1"/>
  <c r="AM7" i="1"/>
  <c r="AE7" i="1"/>
  <c r="W7" i="1"/>
  <c r="O7" i="1"/>
  <c r="G7" i="1"/>
  <c r="AT7" i="1"/>
  <c r="AL7" i="1"/>
  <c r="AD7" i="1"/>
  <c r="V7" i="1"/>
  <c r="N7" i="1"/>
  <c r="F7" i="1"/>
  <c r="AI7" i="1"/>
  <c r="AK7" i="1"/>
  <c r="AC7" i="1"/>
  <c r="U7" i="1"/>
  <c r="M7" i="1"/>
  <c r="E7" i="1"/>
  <c r="AQ7" i="1"/>
  <c r="S7" i="1"/>
  <c r="AP7" i="1"/>
  <c r="Z7" i="1"/>
  <c r="AO7" i="1"/>
  <c r="Y7" i="1"/>
  <c r="I7" i="1"/>
  <c r="AS7" i="1"/>
  <c r="AR7" i="1"/>
  <c r="AJ7" i="1"/>
  <c r="AB7" i="1"/>
  <c r="T7" i="1"/>
  <c r="L7" i="1"/>
  <c r="I51" i="2"/>
  <c r="J51" i="2" s="1"/>
  <c r="I55" i="2"/>
  <c r="J55" i="2" s="1"/>
  <c r="I52" i="2"/>
  <c r="J52" i="2" s="1"/>
  <c r="I56" i="2"/>
  <c r="J56" i="2" s="1"/>
  <c r="I53" i="2"/>
  <c r="J53" i="2" s="1"/>
  <c r="I49" i="2"/>
  <c r="J49" i="2" s="1"/>
  <c r="I57" i="2"/>
  <c r="J57" i="2" s="1"/>
  <c r="I50" i="2"/>
  <c r="J50" i="2" s="1"/>
  <c r="I46" i="2"/>
  <c r="J46" i="2" s="1"/>
  <c r="I54" i="2"/>
  <c r="J54" i="2" s="1"/>
  <c r="D15" i="2"/>
  <c r="F10" i="2"/>
  <c r="H10" i="2" s="1"/>
  <c r="F11" i="2"/>
  <c r="H11" i="2" s="1"/>
  <c r="F12" i="2"/>
  <c r="H12" i="2" s="1"/>
  <c r="F13" i="2"/>
  <c r="H13" i="2" s="1"/>
  <c r="F14" i="2"/>
  <c r="F16" i="2"/>
  <c r="H16" i="2" s="1"/>
  <c r="F17" i="2"/>
  <c r="H17" i="2" s="1"/>
  <c r="F18" i="2"/>
  <c r="H18" i="2" s="1"/>
  <c r="F19" i="2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H33" i="2" s="1"/>
  <c r="F34" i="2"/>
  <c r="H34" i="2" s="1"/>
  <c r="F35" i="2"/>
  <c r="F36" i="2"/>
  <c r="H36" i="2" s="1"/>
  <c r="F37" i="2"/>
  <c r="H37" i="2" s="1"/>
  <c r="F38" i="2"/>
  <c r="H38" i="2" s="1"/>
  <c r="F39" i="2"/>
  <c r="H39" i="2" s="1"/>
  <c r="F40" i="2"/>
  <c r="F41" i="2"/>
  <c r="H41" i="2" s="1"/>
  <c r="F42" i="2"/>
  <c r="H42" i="2" s="1"/>
  <c r="I42" i="2" s="1"/>
  <c r="J42" i="2" s="1"/>
  <c r="F43" i="2"/>
  <c r="H43" i="2" s="1"/>
  <c r="F44" i="2"/>
  <c r="H44" i="2" s="1"/>
  <c r="C60" i="1"/>
  <c r="C63" i="1"/>
  <c r="C62" i="1"/>
  <c r="C61" i="1"/>
  <c r="C59" i="1"/>
  <c r="F45" i="2"/>
  <c r="H45" i="2" s="1"/>
  <c r="G11" i="5" l="1"/>
  <c r="D80" i="1"/>
  <c r="I27" i="2"/>
  <c r="J27" i="2" s="1"/>
  <c r="AB74" i="1"/>
  <c r="AB73" i="1"/>
  <c r="AB72" i="1"/>
  <c r="AB79" i="1"/>
  <c r="AB71" i="1"/>
  <c r="AB78" i="1"/>
  <c r="AB70" i="1"/>
  <c r="AB69" i="1"/>
  <c r="M69" i="1"/>
  <c r="M80" i="1" s="1"/>
  <c r="M74" i="1"/>
  <c r="M73" i="1"/>
  <c r="M72" i="1"/>
  <c r="M79" i="1"/>
  <c r="M71" i="1"/>
  <c r="M78" i="1"/>
  <c r="M70" i="1"/>
  <c r="Z74" i="1"/>
  <c r="Z73" i="1"/>
  <c r="Z72" i="1"/>
  <c r="Z79" i="1"/>
  <c r="Z71" i="1"/>
  <c r="Z78" i="1"/>
  <c r="Z70" i="1"/>
  <c r="Z69" i="1"/>
  <c r="M20" i="5"/>
  <c r="AG73" i="1"/>
  <c r="AG72" i="1"/>
  <c r="AG79" i="1"/>
  <c r="AG71" i="1"/>
  <c r="AG78" i="1"/>
  <c r="AG70" i="1"/>
  <c r="AG69" i="1"/>
  <c r="AG80" i="1" s="1"/>
  <c r="AG74" i="1"/>
  <c r="S74" i="1"/>
  <c r="S73" i="1"/>
  <c r="S72" i="1"/>
  <c r="S79" i="1"/>
  <c r="S71" i="1"/>
  <c r="S78" i="1"/>
  <c r="S70" i="1"/>
  <c r="S69" i="1"/>
  <c r="N20" i="5"/>
  <c r="AJ74" i="1"/>
  <c r="AJ73" i="1"/>
  <c r="AJ72" i="1"/>
  <c r="AJ79" i="1"/>
  <c r="AJ71" i="1"/>
  <c r="AJ78" i="1"/>
  <c r="AJ70" i="1"/>
  <c r="AJ69" i="1"/>
  <c r="AO73" i="1"/>
  <c r="AO72" i="1"/>
  <c r="AO79" i="1"/>
  <c r="AO71" i="1"/>
  <c r="AO78" i="1"/>
  <c r="AO70" i="1"/>
  <c r="AO69" i="1"/>
  <c r="AO80" i="1" s="1"/>
  <c r="AO74" i="1"/>
  <c r="AR74" i="1"/>
  <c r="AR73" i="1"/>
  <c r="AR72" i="1"/>
  <c r="AR79" i="1"/>
  <c r="AR71" i="1"/>
  <c r="AR78" i="1"/>
  <c r="AR70" i="1"/>
  <c r="AR69" i="1"/>
  <c r="AF72" i="1"/>
  <c r="AF79" i="1"/>
  <c r="AF71" i="1"/>
  <c r="AF78" i="1"/>
  <c r="AF70" i="1"/>
  <c r="AF69" i="1"/>
  <c r="AF80" i="1" s="1"/>
  <c r="AF74" i="1"/>
  <c r="AF73" i="1"/>
  <c r="J20" i="5"/>
  <c r="C42" i="5" s="1"/>
  <c r="AA74" i="1"/>
  <c r="AA73" i="1"/>
  <c r="AA72" i="1"/>
  <c r="AA79" i="1"/>
  <c r="AA71" i="1"/>
  <c r="AA78" i="1"/>
  <c r="AA70" i="1"/>
  <c r="AA69" i="1"/>
  <c r="AK69" i="1"/>
  <c r="AK80" i="1" s="1"/>
  <c r="AK74" i="1"/>
  <c r="AK73" i="1"/>
  <c r="AK72" i="1"/>
  <c r="AK79" i="1"/>
  <c r="AK71" i="1"/>
  <c r="AK78" i="1"/>
  <c r="AK70" i="1"/>
  <c r="AE71" i="1"/>
  <c r="AE78" i="1"/>
  <c r="AE70" i="1"/>
  <c r="AE69" i="1"/>
  <c r="AE80" i="1" s="1"/>
  <c r="AE74" i="1"/>
  <c r="AE73" i="1"/>
  <c r="AE72" i="1"/>
  <c r="AE79" i="1"/>
  <c r="R20" i="5"/>
  <c r="AS69" i="1"/>
  <c r="AS80" i="1" s="1"/>
  <c r="AS74" i="1"/>
  <c r="AS73" i="1"/>
  <c r="AS72" i="1"/>
  <c r="AS79" i="1"/>
  <c r="AS71" i="1"/>
  <c r="AS78" i="1"/>
  <c r="AS70" i="1"/>
  <c r="L20" i="5"/>
  <c r="AD70" i="1"/>
  <c r="AD69" i="1"/>
  <c r="AD80" i="1" s="1"/>
  <c r="AD74" i="1"/>
  <c r="AD73" i="1"/>
  <c r="AD72" i="1"/>
  <c r="AD79" i="1"/>
  <c r="AD71" i="1"/>
  <c r="AD78" i="1"/>
  <c r="S20" i="5"/>
  <c r="AV72" i="1"/>
  <c r="AV79" i="1"/>
  <c r="AV71" i="1"/>
  <c r="AV78" i="1"/>
  <c r="AV70" i="1"/>
  <c r="AV69" i="1"/>
  <c r="AV80" i="1" s="1"/>
  <c r="AV74" i="1"/>
  <c r="AV73" i="1"/>
  <c r="G20" i="5"/>
  <c r="R74" i="1"/>
  <c r="R73" i="1"/>
  <c r="R72" i="1"/>
  <c r="R79" i="1"/>
  <c r="R71" i="1"/>
  <c r="R78" i="1"/>
  <c r="R70" i="1"/>
  <c r="R69" i="1"/>
  <c r="T20" i="5"/>
  <c r="E42" i="5" s="1"/>
  <c r="AY74" i="1"/>
  <c r="AY73" i="1"/>
  <c r="AY72" i="1"/>
  <c r="AY79" i="1"/>
  <c r="AY71" i="1"/>
  <c r="AY78" i="1"/>
  <c r="AY70" i="1"/>
  <c r="AY69" i="1"/>
  <c r="Q27" i="2"/>
  <c r="Q11" i="5"/>
  <c r="H20" i="5"/>
  <c r="U69" i="1"/>
  <c r="U80" i="1" s="1"/>
  <c r="U74" i="1"/>
  <c r="U73" i="1"/>
  <c r="U72" i="1"/>
  <c r="U79" i="1"/>
  <c r="U71" i="1"/>
  <c r="U78" i="1"/>
  <c r="U70" i="1"/>
  <c r="F70" i="1"/>
  <c r="F69" i="1"/>
  <c r="F80" i="1" s="1"/>
  <c r="F74" i="1"/>
  <c r="F73" i="1"/>
  <c r="F72" i="1"/>
  <c r="F79" i="1"/>
  <c r="F71" i="1"/>
  <c r="F78" i="1"/>
  <c r="I20" i="5"/>
  <c r="X72" i="1"/>
  <c r="X79" i="1"/>
  <c r="X71" i="1"/>
  <c r="X78" i="1"/>
  <c r="X70" i="1"/>
  <c r="X69" i="1"/>
  <c r="X80" i="1" s="1"/>
  <c r="X74" i="1"/>
  <c r="X73" i="1"/>
  <c r="AQ74" i="1"/>
  <c r="AQ73" i="1"/>
  <c r="AQ72" i="1"/>
  <c r="AQ79" i="1"/>
  <c r="AQ71" i="1"/>
  <c r="AQ78" i="1"/>
  <c r="AQ70" i="1"/>
  <c r="AQ69" i="1"/>
  <c r="AC69" i="1"/>
  <c r="AC80" i="1" s="1"/>
  <c r="AC74" i="1"/>
  <c r="AC73" i="1"/>
  <c r="AC72" i="1"/>
  <c r="AC79" i="1"/>
  <c r="AC71" i="1"/>
  <c r="AC78" i="1"/>
  <c r="AC70" i="1"/>
  <c r="N70" i="1"/>
  <c r="N69" i="1"/>
  <c r="N80" i="1" s="1"/>
  <c r="N74" i="1"/>
  <c r="N73" i="1"/>
  <c r="N72" i="1"/>
  <c r="N79" i="1"/>
  <c r="N71" i="1"/>
  <c r="N78" i="1"/>
  <c r="AW73" i="1"/>
  <c r="AW72" i="1"/>
  <c r="AW79" i="1"/>
  <c r="AW71" i="1"/>
  <c r="AW78" i="1"/>
  <c r="AW70" i="1"/>
  <c r="AW69" i="1"/>
  <c r="AW80" i="1" s="1"/>
  <c r="AW74" i="1"/>
  <c r="E20" i="5"/>
  <c r="B42" i="5" s="1"/>
  <c r="O71" i="1"/>
  <c r="O78" i="1"/>
  <c r="O70" i="1"/>
  <c r="O69" i="1"/>
  <c r="O80" i="1" s="1"/>
  <c r="O74" i="1"/>
  <c r="O73" i="1"/>
  <c r="O72" i="1"/>
  <c r="O79" i="1"/>
  <c r="V70" i="1"/>
  <c r="V69" i="1"/>
  <c r="V80" i="1" s="1"/>
  <c r="V74" i="1"/>
  <c r="V73" i="1"/>
  <c r="V72" i="1"/>
  <c r="V79" i="1"/>
  <c r="V71" i="1"/>
  <c r="V78" i="1"/>
  <c r="AN72" i="1"/>
  <c r="AN79" i="1"/>
  <c r="AN71" i="1"/>
  <c r="AN78" i="1"/>
  <c r="AN70" i="1"/>
  <c r="AN69" i="1"/>
  <c r="AN80" i="1" s="1"/>
  <c r="AN74" i="1"/>
  <c r="AN73" i="1"/>
  <c r="J74" i="1"/>
  <c r="J73" i="1"/>
  <c r="J72" i="1"/>
  <c r="J79" i="1"/>
  <c r="J71" i="1"/>
  <c r="J78" i="1"/>
  <c r="J70" i="1"/>
  <c r="J69" i="1"/>
  <c r="AI74" i="1"/>
  <c r="AI73" i="1"/>
  <c r="AI72" i="1"/>
  <c r="AI79" i="1"/>
  <c r="AI71" i="1"/>
  <c r="AI78" i="1"/>
  <c r="AI70" i="1"/>
  <c r="AI69" i="1"/>
  <c r="AU71" i="1"/>
  <c r="AU78" i="1"/>
  <c r="AU70" i="1"/>
  <c r="AU69" i="1"/>
  <c r="AU80" i="1" s="1"/>
  <c r="AU74" i="1"/>
  <c r="AU73" i="1"/>
  <c r="AU72" i="1"/>
  <c r="AU79" i="1"/>
  <c r="G71" i="1"/>
  <c r="G78" i="1"/>
  <c r="G70" i="1"/>
  <c r="G69" i="1"/>
  <c r="G80" i="1" s="1"/>
  <c r="G74" i="1"/>
  <c r="G73" i="1"/>
  <c r="G72" i="1"/>
  <c r="G79" i="1"/>
  <c r="AL70" i="1"/>
  <c r="AL69" i="1"/>
  <c r="AL80" i="1" s="1"/>
  <c r="AL74" i="1"/>
  <c r="AL73" i="1"/>
  <c r="AL72" i="1"/>
  <c r="AL79" i="1"/>
  <c r="AL71" i="1"/>
  <c r="AL78" i="1"/>
  <c r="C20" i="5"/>
  <c r="I73" i="1"/>
  <c r="I72" i="1"/>
  <c r="I79" i="1"/>
  <c r="I71" i="1"/>
  <c r="I78" i="1"/>
  <c r="I70" i="1"/>
  <c r="I69" i="1"/>
  <c r="I80" i="1" s="1"/>
  <c r="I74" i="1"/>
  <c r="AH74" i="1"/>
  <c r="AH73" i="1"/>
  <c r="AH72" i="1"/>
  <c r="AH79" i="1"/>
  <c r="AH71" i="1"/>
  <c r="AH78" i="1"/>
  <c r="AH70" i="1"/>
  <c r="AH69" i="1"/>
  <c r="P72" i="1"/>
  <c r="P79" i="1"/>
  <c r="P71" i="1"/>
  <c r="P78" i="1"/>
  <c r="P70" i="1"/>
  <c r="P69" i="1"/>
  <c r="P80" i="1" s="1"/>
  <c r="P74" i="1"/>
  <c r="P73" i="1"/>
  <c r="D20" i="5"/>
  <c r="L74" i="1"/>
  <c r="L73" i="1"/>
  <c r="L72" i="1"/>
  <c r="L79" i="1"/>
  <c r="L71" i="1"/>
  <c r="L78" i="1"/>
  <c r="L70" i="1"/>
  <c r="L69" i="1"/>
  <c r="Q20" i="5"/>
  <c r="AP74" i="1"/>
  <c r="AP73" i="1"/>
  <c r="AP72" i="1"/>
  <c r="AP79" i="1"/>
  <c r="AP71" i="1"/>
  <c r="AP78" i="1"/>
  <c r="AP70" i="1"/>
  <c r="AP69" i="1"/>
  <c r="W71" i="1"/>
  <c r="W78" i="1"/>
  <c r="W70" i="1"/>
  <c r="W69" i="1"/>
  <c r="W80" i="1" s="1"/>
  <c r="W74" i="1"/>
  <c r="W73" i="1"/>
  <c r="W72" i="1"/>
  <c r="W79" i="1"/>
  <c r="AT70" i="1"/>
  <c r="AT69" i="1"/>
  <c r="AT80" i="1" s="1"/>
  <c r="AT74" i="1"/>
  <c r="AT73" i="1"/>
  <c r="AT72" i="1"/>
  <c r="AT79" i="1"/>
  <c r="AT71" i="1"/>
  <c r="AT78" i="1"/>
  <c r="Q73" i="1"/>
  <c r="Q72" i="1"/>
  <c r="Q79" i="1"/>
  <c r="Q71" i="1"/>
  <c r="Q78" i="1"/>
  <c r="Q70" i="1"/>
  <c r="Q69" i="1"/>
  <c r="Q80" i="1" s="1"/>
  <c r="Q74" i="1"/>
  <c r="AX74" i="1"/>
  <c r="AX73" i="1"/>
  <c r="AX72" i="1"/>
  <c r="AX79" i="1"/>
  <c r="AX71" i="1"/>
  <c r="AX78" i="1"/>
  <c r="AX70" i="1"/>
  <c r="AX69" i="1"/>
  <c r="T74" i="1"/>
  <c r="T73" i="1"/>
  <c r="T72" i="1"/>
  <c r="T79" i="1"/>
  <c r="T71" i="1"/>
  <c r="T78" i="1"/>
  <c r="T70" i="1"/>
  <c r="T69" i="1"/>
  <c r="E69" i="1"/>
  <c r="E80" i="1" s="1"/>
  <c r="E74" i="1"/>
  <c r="E73" i="1"/>
  <c r="E72" i="1"/>
  <c r="E79" i="1"/>
  <c r="E71" i="1"/>
  <c r="E78" i="1"/>
  <c r="E70" i="1"/>
  <c r="O20" i="5"/>
  <c r="D42" i="5" s="1"/>
  <c r="AM71" i="1"/>
  <c r="AM78" i="1"/>
  <c r="AM70" i="1"/>
  <c r="AM69" i="1"/>
  <c r="AM80" i="1" s="1"/>
  <c r="AM74" i="1"/>
  <c r="AM73" i="1"/>
  <c r="AM72" i="1"/>
  <c r="AM79" i="1"/>
  <c r="H72" i="1"/>
  <c r="H79" i="1"/>
  <c r="H71" i="1"/>
  <c r="H78" i="1"/>
  <c r="H70" i="1"/>
  <c r="H69" i="1"/>
  <c r="H80" i="1" s="1"/>
  <c r="H74" i="1"/>
  <c r="H73" i="1"/>
  <c r="Y73" i="1"/>
  <c r="Y72" i="1"/>
  <c r="Y79" i="1"/>
  <c r="Y71" i="1"/>
  <c r="Y78" i="1"/>
  <c r="Y70" i="1"/>
  <c r="Y69" i="1"/>
  <c r="Y80" i="1" s="1"/>
  <c r="Y74" i="1"/>
  <c r="K74" i="1"/>
  <c r="K73" i="1"/>
  <c r="K72" i="1"/>
  <c r="K79" i="1"/>
  <c r="K71" i="1"/>
  <c r="K78" i="1"/>
  <c r="K70" i="1"/>
  <c r="K69" i="1"/>
  <c r="T11" i="5"/>
  <c r="C11" i="5"/>
  <c r="Q42" i="2"/>
  <c r="Q57" i="2"/>
  <c r="Q54" i="2"/>
  <c r="Q55" i="2"/>
  <c r="Q53" i="2"/>
  <c r="Q56" i="2"/>
  <c r="Q52" i="2"/>
  <c r="Q51" i="2"/>
  <c r="Q50" i="2"/>
  <c r="Q49" i="2"/>
  <c r="Q46" i="2"/>
  <c r="L11" i="5"/>
  <c r="H11" i="5"/>
  <c r="J11" i="5"/>
  <c r="I43" i="2"/>
  <c r="J43" i="2" s="1"/>
  <c r="H40" i="2"/>
  <c r="F15" i="2"/>
  <c r="D39" i="1" a="1"/>
  <c r="M11" i="5"/>
  <c r="S11" i="5"/>
  <c r="R11" i="5"/>
  <c r="O11" i="5"/>
  <c r="I11" i="5"/>
  <c r="N11" i="5"/>
  <c r="D11" i="5"/>
  <c r="E11" i="5"/>
  <c r="B11" i="5"/>
  <c r="AB65" i="1"/>
  <c r="I41" i="2"/>
  <c r="J41" i="2" s="1"/>
  <c r="I30" i="2"/>
  <c r="J30" i="2" s="1"/>
  <c r="I25" i="2"/>
  <c r="J25" i="2" s="1"/>
  <c r="I37" i="2"/>
  <c r="J37" i="2" s="1"/>
  <c r="BF47" i="2"/>
  <c r="AX47" i="2"/>
  <c r="AP47" i="2"/>
  <c r="AH47" i="2"/>
  <c r="Z47" i="2"/>
  <c r="R47" i="2"/>
  <c r="BM47" i="2"/>
  <c r="BE47" i="2"/>
  <c r="AW47" i="2"/>
  <c r="AO47" i="2"/>
  <c r="AG47" i="2"/>
  <c r="Y47" i="2"/>
  <c r="BJ47" i="2"/>
  <c r="BB47" i="2"/>
  <c r="AT47" i="2"/>
  <c r="AL47" i="2"/>
  <c r="AD47" i="2"/>
  <c r="V47" i="2"/>
  <c r="BI47" i="2"/>
  <c r="BA47" i="2"/>
  <c r="AS47" i="2"/>
  <c r="AK47" i="2"/>
  <c r="AC47" i="2"/>
  <c r="U47" i="2"/>
  <c r="BD47" i="2"/>
  <c r="AN47" i="2"/>
  <c r="X47" i="2"/>
  <c r="BC47" i="2"/>
  <c r="AM47" i="2"/>
  <c r="W47" i="2"/>
  <c r="AZ47" i="2"/>
  <c r="AJ47" i="2"/>
  <c r="T47" i="2"/>
  <c r="AY47" i="2"/>
  <c r="AI47" i="2"/>
  <c r="S47" i="2"/>
  <c r="BL47" i="2"/>
  <c r="AV47" i="2"/>
  <c r="AF47" i="2"/>
  <c r="BK47" i="2"/>
  <c r="AU47" i="2"/>
  <c r="AE47" i="2"/>
  <c r="BH47" i="2"/>
  <c r="AR47" i="2"/>
  <c r="AB47" i="2"/>
  <c r="BG47" i="2"/>
  <c r="AQ47" i="2"/>
  <c r="AA47" i="2"/>
  <c r="I24" i="2"/>
  <c r="J24" i="2" s="1"/>
  <c r="H14" i="2"/>
  <c r="BF48" i="2"/>
  <c r="AX48" i="2"/>
  <c r="AP48" i="2"/>
  <c r="AH48" i="2"/>
  <c r="Z48" i="2"/>
  <c r="R48" i="2"/>
  <c r="BM48" i="2"/>
  <c r="BE48" i="2"/>
  <c r="AW48" i="2"/>
  <c r="AO48" i="2"/>
  <c r="AG48" i="2"/>
  <c r="Y48" i="2"/>
  <c r="BK48" i="2"/>
  <c r="BC48" i="2"/>
  <c r="AU48" i="2"/>
  <c r="AM48" i="2"/>
  <c r="AE48" i="2"/>
  <c r="BJ48" i="2"/>
  <c r="BB48" i="2"/>
  <c r="AT48" i="2"/>
  <c r="AL48" i="2"/>
  <c r="AD48" i="2"/>
  <c r="V48" i="2"/>
  <c r="BI48" i="2"/>
  <c r="BA48" i="2"/>
  <c r="AS48" i="2"/>
  <c r="AK48" i="2"/>
  <c r="AC48" i="2"/>
  <c r="U48" i="2"/>
  <c r="AR48" i="2"/>
  <c r="X48" i="2"/>
  <c r="BL48" i="2"/>
  <c r="AQ48" i="2"/>
  <c r="W48" i="2"/>
  <c r="BH48" i="2"/>
  <c r="AN48" i="2"/>
  <c r="T48" i="2"/>
  <c r="BG48" i="2"/>
  <c r="AJ48" i="2"/>
  <c r="S48" i="2"/>
  <c r="BD48" i="2"/>
  <c r="AI48" i="2"/>
  <c r="AZ48" i="2"/>
  <c r="AF48" i="2"/>
  <c r="AY48" i="2"/>
  <c r="AB48" i="2"/>
  <c r="AV48" i="2"/>
  <c r="AA48" i="2"/>
  <c r="I16" i="2"/>
  <c r="J16" i="2" s="1"/>
  <c r="BH27" i="2"/>
  <c r="AQ27" i="2"/>
  <c r="AX27" i="2"/>
  <c r="BL27" i="2"/>
  <c r="X27" i="2"/>
  <c r="AS27" i="2"/>
  <c r="BI27" i="2"/>
  <c r="AE27" i="2"/>
  <c r="I34" i="2"/>
  <c r="J34" i="2" s="1"/>
  <c r="BF51" i="2"/>
  <c r="I36" i="2"/>
  <c r="J36" i="2" s="1"/>
  <c r="I31" i="2"/>
  <c r="J31" i="2" s="1"/>
  <c r="I12" i="2"/>
  <c r="J12" i="2" s="1"/>
  <c r="I13" i="2"/>
  <c r="J13" i="2" s="1"/>
  <c r="I33" i="2"/>
  <c r="J33" i="2" s="1"/>
  <c r="I32" i="2"/>
  <c r="J32" i="2" s="1"/>
  <c r="I39" i="2"/>
  <c r="J39" i="2" s="1"/>
  <c r="I38" i="2"/>
  <c r="J38" i="2" s="1"/>
  <c r="I29" i="2"/>
  <c r="J29" i="2" s="1"/>
  <c r="I28" i="2"/>
  <c r="J28" i="2" s="1"/>
  <c r="I22" i="2"/>
  <c r="J22" i="2" s="1"/>
  <c r="I20" i="2"/>
  <c r="J20" i="2" s="1"/>
  <c r="I17" i="2"/>
  <c r="J17" i="2" s="1"/>
  <c r="I10" i="2"/>
  <c r="J10" i="2" s="1"/>
  <c r="I21" i="2"/>
  <c r="J21" i="2" s="1"/>
  <c r="I23" i="2"/>
  <c r="J23" i="2" s="1"/>
  <c r="H35" i="2"/>
  <c r="D65" i="1"/>
  <c r="B24" i="5" s="1"/>
  <c r="I11" i="2"/>
  <c r="J11" i="2" s="1"/>
  <c r="H19" i="2"/>
  <c r="I45" i="2"/>
  <c r="J45" i="2" s="1"/>
  <c r="I18" i="2"/>
  <c r="J18" i="2" s="1"/>
  <c r="I44" i="2"/>
  <c r="J44" i="2" s="1"/>
  <c r="H26" i="2"/>
  <c r="P65" i="1"/>
  <c r="L47" i="2" l="1"/>
  <c r="L48" i="2"/>
  <c r="AX51" i="2"/>
  <c r="AZ27" i="2"/>
  <c r="AT27" i="2"/>
  <c r="BE27" i="2"/>
  <c r="Z27" i="2"/>
  <c r="W27" i="2"/>
  <c r="L27" i="2" s="1"/>
  <c r="R27" i="2"/>
  <c r="AK27" i="2"/>
  <c r="S27" i="2"/>
  <c r="AN27" i="2"/>
  <c r="AL27" i="2"/>
  <c r="BD27" i="2"/>
  <c r="AI27" i="2"/>
  <c r="BJ27" i="2"/>
  <c r="AO27" i="2"/>
  <c r="AJ27" i="2"/>
  <c r="BC27" i="2"/>
  <c r="BK27" i="2"/>
  <c r="AV27" i="2"/>
  <c r="BM27" i="2"/>
  <c r="AA27" i="2"/>
  <c r="AD27" i="2"/>
  <c r="AC27" i="2"/>
  <c r="Y27" i="2"/>
  <c r="BG27" i="2"/>
  <c r="U27" i="2"/>
  <c r="AH27" i="2"/>
  <c r="BA27" i="2"/>
  <c r="AM27" i="2"/>
  <c r="AU27" i="2"/>
  <c r="AG27" i="2"/>
  <c r="AP27" i="2"/>
  <c r="T27" i="2"/>
  <c r="BB27" i="2"/>
  <c r="V27" i="2"/>
  <c r="AF27" i="2"/>
  <c r="AW27" i="2"/>
  <c r="BF27" i="2"/>
  <c r="AR27" i="2"/>
  <c r="AY27" i="2"/>
  <c r="AB27" i="2"/>
  <c r="M75" i="1"/>
  <c r="AT75" i="1"/>
  <c r="W75" i="1"/>
  <c r="L80" i="1"/>
  <c r="L75" i="1"/>
  <c r="AB75" i="1"/>
  <c r="AB80" i="1"/>
  <c r="P75" i="1"/>
  <c r="I75" i="1"/>
  <c r="R80" i="1"/>
  <c r="R75" i="1"/>
  <c r="Q25" i="2"/>
  <c r="J80" i="1"/>
  <c r="J75" i="1"/>
  <c r="AY75" i="1"/>
  <c r="AY80" i="1"/>
  <c r="AI75" i="1"/>
  <c r="AI80" i="1"/>
  <c r="Q24" i="2"/>
  <c r="Q18" i="2"/>
  <c r="Q10" i="2"/>
  <c r="BI10" i="2" s="1"/>
  <c r="Q32" i="2"/>
  <c r="AN75" i="1"/>
  <c r="Q21" i="2"/>
  <c r="Q17" i="2"/>
  <c r="H15" i="2"/>
  <c r="I15" i="2" s="1"/>
  <c r="J15" i="2" s="1"/>
  <c r="Z75" i="1"/>
  <c r="Z80" i="1"/>
  <c r="AH75" i="1"/>
  <c r="AH80" i="1"/>
  <c r="AV75" i="1"/>
  <c r="Q33" i="2"/>
  <c r="Q31" i="2"/>
  <c r="Q20" i="2"/>
  <c r="Q13" i="2"/>
  <c r="AL75" i="1"/>
  <c r="X75" i="1"/>
  <c r="Q11" i="2"/>
  <c r="AW75" i="1"/>
  <c r="Q30" i="2"/>
  <c r="G75" i="1"/>
  <c r="O75" i="1"/>
  <c r="AQ75" i="1"/>
  <c r="AQ80" i="1"/>
  <c r="Q12" i="2"/>
  <c r="BA12" i="2" s="1"/>
  <c r="Q29" i="2"/>
  <c r="AU75" i="1"/>
  <c r="V75" i="1"/>
  <c r="AC75" i="1"/>
  <c r="Q22" i="2"/>
  <c r="Q28" i="2"/>
  <c r="Q23" i="2"/>
  <c r="Q36" i="2"/>
  <c r="T36" i="2" s="1"/>
  <c r="N75" i="1"/>
  <c r="U75" i="1"/>
  <c r="AD75" i="1"/>
  <c r="AS75" i="1"/>
  <c r="Q34" i="2"/>
  <c r="F75" i="1"/>
  <c r="AK75" i="1"/>
  <c r="AA75" i="1"/>
  <c r="AA80" i="1"/>
  <c r="Q16" i="2"/>
  <c r="K80" i="1"/>
  <c r="K75" i="1"/>
  <c r="Y75" i="1"/>
  <c r="H75" i="1"/>
  <c r="AE75" i="1"/>
  <c r="AF75" i="1"/>
  <c r="AR75" i="1"/>
  <c r="AR80" i="1"/>
  <c r="AO75" i="1"/>
  <c r="AJ75" i="1"/>
  <c r="AJ80" i="1"/>
  <c r="AM75" i="1"/>
  <c r="E75" i="1"/>
  <c r="T75" i="1"/>
  <c r="T80" i="1"/>
  <c r="AX75" i="1"/>
  <c r="AX80" i="1"/>
  <c r="Q75" i="1"/>
  <c r="AP80" i="1"/>
  <c r="AP75" i="1"/>
  <c r="S75" i="1"/>
  <c r="S80" i="1"/>
  <c r="AG75" i="1"/>
  <c r="AS51" i="2"/>
  <c r="BJ51" i="2"/>
  <c r="AB51" i="2"/>
  <c r="AF51" i="2"/>
  <c r="AW51" i="2"/>
  <c r="Q39" i="2"/>
  <c r="Q38" i="2"/>
  <c r="Q37" i="2"/>
  <c r="W51" i="2"/>
  <c r="AY51" i="2"/>
  <c r="AR51" i="2"/>
  <c r="BI51" i="2"/>
  <c r="AE51" i="2"/>
  <c r="AV51" i="2"/>
  <c r="BM51" i="2"/>
  <c r="AJ51" i="2"/>
  <c r="BG51" i="2"/>
  <c r="AZ51" i="2"/>
  <c r="V51" i="2"/>
  <c r="AM51" i="2"/>
  <c r="BD51" i="2"/>
  <c r="R51" i="2"/>
  <c r="AQ51" i="2"/>
  <c r="S51" i="2"/>
  <c r="BH51" i="2"/>
  <c r="AD51" i="2"/>
  <c r="AU51" i="2"/>
  <c r="BL51" i="2"/>
  <c r="Z51" i="2"/>
  <c r="BA51" i="2"/>
  <c r="AA51" i="2"/>
  <c r="U51" i="2"/>
  <c r="AL51" i="2"/>
  <c r="BC51" i="2"/>
  <c r="Y51" i="2"/>
  <c r="AH51" i="2"/>
  <c r="BE51" i="2"/>
  <c r="AI51" i="2"/>
  <c r="AC51" i="2"/>
  <c r="AT51" i="2"/>
  <c r="BK51" i="2"/>
  <c r="AG51" i="2"/>
  <c r="AP51" i="2"/>
  <c r="AN51" i="2"/>
  <c r="T51" i="2"/>
  <c r="AK51" i="2"/>
  <c r="BB51" i="2"/>
  <c r="X51" i="2"/>
  <c r="AO51" i="2"/>
  <c r="Q44" i="2"/>
  <c r="Q45" i="2"/>
  <c r="Q43" i="2"/>
  <c r="Q41" i="2"/>
  <c r="S41" i="2" s="1"/>
  <c r="AP57" i="2"/>
  <c r="AG57" i="2"/>
  <c r="BK57" i="2"/>
  <c r="AT57" i="2"/>
  <c r="AC57" i="2"/>
  <c r="BG57" i="2"/>
  <c r="BL57" i="2"/>
  <c r="AD57" i="2"/>
  <c r="AQ57" i="2"/>
  <c r="T57" i="2"/>
  <c r="AH57" i="2"/>
  <c r="Y57" i="2"/>
  <c r="BC57" i="2"/>
  <c r="AL57" i="2"/>
  <c r="U57" i="2"/>
  <c r="AY57" i="2"/>
  <c r="AU57" i="2"/>
  <c r="BB57" i="2"/>
  <c r="Z57" i="2"/>
  <c r="BH57" i="2"/>
  <c r="AX57" i="2"/>
  <c r="R57" i="2"/>
  <c r="BD57" i="2"/>
  <c r="AM57" i="2"/>
  <c r="V57" i="2"/>
  <c r="AZ57" i="2"/>
  <c r="AI57" i="2"/>
  <c r="S57" i="2"/>
  <c r="AF57" i="2"/>
  <c r="AO57" i="2"/>
  <c r="BM57" i="2"/>
  <c r="AV57" i="2"/>
  <c r="AE57" i="2"/>
  <c r="BI57" i="2"/>
  <c r="AR57" i="2"/>
  <c r="AA57" i="2"/>
  <c r="AW57" i="2"/>
  <c r="AB57" i="2"/>
  <c r="AK57" i="2"/>
  <c r="BE57" i="2"/>
  <c r="AN57" i="2"/>
  <c r="W57" i="2"/>
  <c r="BA57" i="2"/>
  <c r="AJ57" i="2"/>
  <c r="BJ57" i="2"/>
  <c r="X57" i="2"/>
  <c r="BF57" i="2"/>
  <c r="AS57" i="2"/>
  <c r="AP53" i="2"/>
  <c r="AG53" i="2"/>
  <c r="BK53" i="2"/>
  <c r="AT53" i="2"/>
  <c r="AC53" i="2"/>
  <c r="BG53" i="2"/>
  <c r="AS53" i="2"/>
  <c r="AO53" i="2"/>
  <c r="AH53" i="2"/>
  <c r="Y53" i="2"/>
  <c r="BC53" i="2"/>
  <c r="AL53" i="2"/>
  <c r="U53" i="2"/>
  <c r="AY53" i="2"/>
  <c r="AX53" i="2"/>
  <c r="Z53" i="2"/>
  <c r="BL53" i="2"/>
  <c r="AU53" i="2"/>
  <c r="AD53" i="2"/>
  <c r="BH53" i="2"/>
  <c r="AQ53" i="2"/>
  <c r="X53" i="2"/>
  <c r="R53" i="2"/>
  <c r="BD53" i="2"/>
  <c r="AM53" i="2"/>
  <c r="V53" i="2"/>
  <c r="AZ53" i="2"/>
  <c r="AI53" i="2"/>
  <c r="BF53" i="2"/>
  <c r="BJ53" i="2"/>
  <c r="T53" i="2"/>
  <c r="BM53" i="2"/>
  <c r="AV53" i="2"/>
  <c r="AE53" i="2"/>
  <c r="BI53" i="2"/>
  <c r="AR53" i="2"/>
  <c r="AA53" i="2"/>
  <c r="AW53" i="2"/>
  <c r="AF53" i="2"/>
  <c r="BB53" i="2"/>
  <c r="BE53" i="2"/>
  <c r="AN53" i="2"/>
  <c r="W53" i="2"/>
  <c r="BA53" i="2"/>
  <c r="AJ53" i="2"/>
  <c r="S53" i="2"/>
  <c r="AB53" i="2"/>
  <c r="AK53" i="2"/>
  <c r="AP55" i="2"/>
  <c r="AG55" i="2"/>
  <c r="BK55" i="2"/>
  <c r="AT55" i="2"/>
  <c r="AC55" i="2"/>
  <c r="AI55" i="2"/>
  <c r="T55" i="2"/>
  <c r="AH55" i="2"/>
  <c r="Y55" i="2"/>
  <c r="BC55" i="2"/>
  <c r="AL55" i="2"/>
  <c r="U55" i="2"/>
  <c r="AA55" i="2"/>
  <c r="AO55" i="2"/>
  <c r="Z55" i="2"/>
  <c r="BL55" i="2"/>
  <c r="AU55" i="2"/>
  <c r="AD55" i="2"/>
  <c r="BH55" i="2"/>
  <c r="S55" i="2"/>
  <c r="AS55" i="2"/>
  <c r="BB55" i="2"/>
  <c r="R55" i="2"/>
  <c r="BD55" i="2"/>
  <c r="AM55" i="2"/>
  <c r="V55" i="2"/>
  <c r="AZ55" i="2"/>
  <c r="BG55" i="2"/>
  <c r="BF55" i="2"/>
  <c r="AF55" i="2"/>
  <c r="AK55" i="2"/>
  <c r="BM55" i="2"/>
  <c r="AV55" i="2"/>
  <c r="AE55" i="2"/>
  <c r="BI55" i="2"/>
  <c r="AR55" i="2"/>
  <c r="AY55" i="2"/>
  <c r="AW55" i="2"/>
  <c r="BJ55" i="2"/>
  <c r="AX55" i="2"/>
  <c r="BE55" i="2"/>
  <c r="AN55" i="2"/>
  <c r="W55" i="2"/>
  <c r="BA55" i="2"/>
  <c r="AJ55" i="2"/>
  <c r="AQ55" i="2"/>
  <c r="AB55" i="2"/>
  <c r="X55" i="2"/>
  <c r="AP56" i="2"/>
  <c r="AG56" i="2"/>
  <c r="BK56" i="2"/>
  <c r="AT56" i="2"/>
  <c r="AC56" i="2"/>
  <c r="AY56" i="2"/>
  <c r="AK56" i="2"/>
  <c r="AH56" i="2"/>
  <c r="Y56" i="2"/>
  <c r="BC56" i="2"/>
  <c r="AL56" i="2"/>
  <c r="U56" i="2"/>
  <c r="AQ56" i="2"/>
  <c r="BJ56" i="2"/>
  <c r="AO56" i="2"/>
  <c r="Z56" i="2"/>
  <c r="BL56" i="2"/>
  <c r="AU56" i="2"/>
  <c r="AD56" i="2"/>
  <c r="BH56" i="2"/>
  <c r="AI56" i="2"/>
  <c r="AF56" i="2"/>
  <c r="BB56" i="2"/>
  <c r="R56" i="2"/>
  <c r="BD56" i="2"/>
  <c r="AM56" i="2"/>
  <c r="V56" i="2"/>
  <c r="AZ56" i="2"/>
  <c r="AA56" i="2"/>
  <c r="BF56" i="2"/>
  <c r="AX56" i="2"/>
  <c r="BM56" i="2"/>
  <c r="AV56" i="2"/>
  <c r="AE56" i="2"/>
  <c r="BI56" i="2"/>
  <c r="AR56" i="2"/>
  <c r="S56" i="2"/>
  <c r="AW56" i="2"/>
  <c r="AS56" i="2"/>
  <c r="T56" i="2"/>
  <c r="BE56" i="2"/>
  <c r="AN56" i="2"/>
  <c r="W56" i="2"/>
  <c r="BA56" i="2"/>
  <c r="AJ56" i="2"/>
  <c r="BG56" i="2"/>
  <c r="AB56" i="2"/>
  <c r="X56" i="2"/>
  <c r="AP54" i="2"/>
  <c r="AG54" i="2"/>
  <c r="BK54" i="2"/>
  <c r="AT54" i="2"/>
  <c r="AC54" i="2"/>
  <c r="AW54" i="2"/>
  <c r="AK54" i="2"/>
  <c r="AH54" i="2"/>
  <c r="Y54" i="2"/>
  <c r="BC54" i="2"/>
  <c r="AL54" i="2"/>
  <c r="U54" i="2"/>
  <c r="BG54" i="2"/>
  <c r="AO54" i="2"/>
  <c r="Z54" i="2"/>
  <c r="BL54" i="2"/>
  <c r="AU54" i="2"/>
  <c r="AD54" i="2"/>
  <c r="BH54" i="2"/>
  <c r="AY54" i="2"/>
  <c r="AF54" i="2"/>
  <c r="BB54" i="2"/>
  <c r="R54" i="2"/>
  <c r="BD54" i="2"/>
  <c r="AM54" i="2"/>
  <c r="V54" i="2"/>
  <c r="AZ54" i="2"/>
  <c r="AQ54" i="2"/>
  <c r="BF54" i="2"/>
  <c r="AS54" i="2"/>
  <c r="X54" i="2"/>
  <c r="BM54" i="2"/>
  <c r="AV54" i="2"/>
  <c r="AE54" i="2"/>
  <c r="BI54" i="2"/>
  <c r="AR54" i="2"/>
  <c r="AI54" i="2"/>
  <c r="BJ54" i="2"/>
  <c r="T54" i="2"/>
  <c r="BE54" i="2"/>
  <c r="AN54" i="2"/>
  <c r="W54" i="2"/>
  <c r="BA54" i="2"/>
  <c r="AJ54" i="2"/>
  <c r="AA54" i="2"/>
  <c r="AB54" i="2"/>
  <c r="AX54" i="2"/>
  <c r="AH52" i="2"/>
  <c r="Y52" i="2"/>
  <c r="BC52" i="2"/>
  <c r="AL52" i="2"/>
  <c r="U52" i="2"/>
  <c r="AQ52" i="2"/>
  <c r="AF52" i="2"/>
  <c r="AS52" i="2"/>
  <c r="AX52" i="2"/>
  <c r="T52" i="2"/>
  <c r="BK52" i="2"/>
  <c r="AY52" i="2"/>
  <c r="Z52" i="2"/>
  <c r="BL52" i="2"/>
  <c r="AU52" i="2"/>
  <c r="AD52" i="2"/>
  <c r="BH52" i="2"/>
  <c r="AI52" i="2"/>
  <c r="BB52" i="2"/>
  <c r="AC52" i="2"/>
  <c r="R52" i="2"/>
  <c r="BD52" i="2"/>
  <c r="AM52" i="2"/>
  <c r="V52" i="2"/>
  <c r="AZ52" i="2"/>
  <c r="AA52" i="2"/>
  <c r="BJ52" i="2"/>
  <c r="AK52" i="2"/>
  <c r="BM52" i="2"/>
  <c r="AV52" i="2"/>
  <c r="AE52" i="2"/>
  <c r="BI52" i="2"/>
  <c r="AR52" i="2"/>
  <c r="S52" i="2"/>
  <c r="BF52" i="2"/>
  <c r="AB52" i="2"/>
  <c r="X52" i="2"/>
  <c r="AG52" i="2"/>
  <c r="BE52" i="2"/>
  <c r="AN52" i="2"/>
  <c r="W52" i="2"/>
  <c r="BA52" i="2"/>
  <c r="AJ52" i="2"/>
  <c r="BG52" i="2"/>
  <c r="AW52" i="2"/>
  <c r="AO52" i="2"/>
  <c r="AT52" i="2"/>
  <c r="AP52" i="2"/>
  <c r="AP49" i="2"/>
  <c r="AG49" i="2"/>
  <c r="BC49" i="2"/>
  <c r="AL49" i="2"/>
  <c r="U49" i="2"/>
  <c r="BG49" i="2"/>
  <c r="AS49" i="2"/>
  <c r="AW49" i="2"/>
  <c r="BK49" i="2"/>
  <c r="AH49" i="2"/>
  <c r="Y49" i="2"/>
  <c r="AU49" i="2"/>
  <c r="AD49" i="2"/>
  <c r="AR49" i="2"/>
  <c r="AA49" i="2"/>
  <c r="BE49" i="2"/>
  <c r="BH49" i="2"/>
  <c r="AB49" i="2"/>
  <c r="Z49" i="2"/>
  <c r="BL49" i="2"/>
  <c r="AM49" i="2"/>
  <c r="V49" i="2"/>
  <c r="S49" i="2"/>
  <c r="AZ49" i="2"/>
  <c r="AN49" i="2"/>
  <c r="BF49" i="2"/>
  <c r="AO49" i="2"/>
  <c r="R49" i="2"/>
  <c r="BD49" i="2"/>
  <c r="AE49" i="2"/>
  <c r="BI49" i="2"/>
  <c r="AQ49" i="2"/>
  <c r="X49" i="2"/>
  <c r="AI49" i="2"/>
  <c r="BB49" i="2"/>
  <c r="AX49" i="2"/>
  <c r="AC49" i="2"/>
  <c r="BM49" i="2"/>
  <c r="AV49" i="2"/>
  <c r="W49" i="2"/>
  <c r="BA49" i="2"/>
  <c r="AJ49" i="2"/>
  <c r="AY49" i="2"/>
  <c r="T49" i="2"/>
  <c r="BJ49" i="2"/>
  <c r="AF49" i="2"/>
  <c r="AK49" i="2"/>
  <c r="AT49" i="2"/>
  <c r="AP50" i="2"/>
  <c r="AG50" i="2"/>
  <c r="BK50" i="2"/>
  <c r="AT50" i="2"/>
  <c r="AC50" i="2"/>
  <c r="BG50" i="2"/>
  <c r="AB50" i="2"/>
  <c r="AF50" i="2"/>
  <c r="AK50" i="2"/>
  <c r="AH50" i="2"/>
  <c r="Y50" i="2"/>
  <c r="BC50" i="2"/>
  <c r="AL50" i="2"/>
  <c r="U50" i="2"/>
  <c r="S50" i="2"/>
  <c r="AI50" i="2"/>
  <c r="BF50" i="2"/>
  <c r="AA50" i="2"/>
  <c r="AO50" i="2"/>
  <c r="T50" i="2"/>
  <c r="Z50" i="2"/>
  <c r="BL50" i="2"/>
  <c r="AU50" i="2"/>
  <c r="AD50" i="2"/>
  <c r="BH50" i="2"/>
  <c r="AY50" i="2"/>
  <c r="BA50" i="2"/>
  <c r="AW50" i="2"/>
  <c r="X50" i="2"/>
  <c r="R50" i="2"/>
  <c r="BD50" i="2"/>
  <c r="AM50" i="2"/>
  <c r="V50" i="2"/>
  <c r="AZ50" i="2"/>
  <c r="AQ50" i="2"/>
  <c r="W50" i="2"/>
  <c r="BJ50" i="2"/>
  <c r="AX50" i="2"/>
  <c r="BM50" i="2"/>
  <c r="AV50" i="2"/>
  <c r="AE50" i="2"/>
  <c r="BI50" i="2"/>
  <c r="AR50" i="2"/>
  <c r="AJ50" i="2"/>
  <c r="AN50" i="2"/>
  <c r="AS50" i="2"/>
  <c r="BB50" i="2"/>
  <c r="BE50" i="2"/>
  <c r="Z46" i="2"/>
  <c r="BJ46" i="2"/>
  <c r="AS46" i="2"/>
  <c r="AM46" i="2"/>
  <c r="BL46" i="2"/>
  <c r="AB46" i="2"/>
  <c r="AG46" i="2"/>
  <c r="S46" i="2"/>
  <c r="R46" i="2"/>
  <c r="BB46" i="2"/>
  <c r="AK46" i="2"/>
  <c r="W46" i="2"/>
  <c r="AV46" i="2"/>
  <c r="BG46" i="2"/>
  <c r="X46" i="2"/>
  <c r="AR46" i="2"/>
  <c r="BM46" i="2"/>
  <c r="AT46" i="2"/>
  <c r="AC46" i="2"/>
  <c r="AZ46" i="2"/>
  <c r="AF46" i="2"/>
  <c r="AQ46" i="2"/>
  <c r="AI46" i="2"/>
  <c r="Y46" i="2"/>
  <c r="BE46" i="2"/>
  <c r="AL46" i="2"/>
  <c r="U46" i="2"/>
  <c r="AJ46" i="2"/>
  <c r="BK46" i="2"/>
  <c r="AA46" i="2"/>
  <c r="AP46" i="2"/>
  <c r="BH46" i="2"/>
  <c r="BA46" i="2"/>
  <c r="BF46" i="2"/>
  <c r="AW46" i="2"/>
  <c r="AD46" i="2"/>
  <c r="BD46" i="2"/>
  <c r="T46" i="2"/>
  <c r="AU46" i="2"/>
  <c r="BC46" i="2"/>
  <c r="AX46" i="2"/>
  <c r="AO46" i="2"/>
  <c r="V46" i="2"/>
  <c r="AN46" i="2"/>
  <c r="AY46" i="2"/>
  <c r="AE46" i="2"/>
  <c r="BI46" i="2"/>
  <c r="AH46" i="2"/>
  <c r="E33" i="5"/>
  <c r="C33" i="5"/>
  <c r="D33" i="5"/>
  <c r="B33" i="5"/>
  <c r="D39" i="1"/>
  <c r="AP39" i="1"/>
  <c r="AF39" i="1"/>
  <c r="O39" i="1"/>
  <c r="AG39" i="1"/>
  <c r="AS39" i="1"/>
  <c r="AJ39" i="1"/>
  <c r="AI39" i="1"/>
  <c r="AH39" i="1"/>
  <c r="X39" i="1"/>
  <c r="G39" i="1"/>
  <c r="I39" i="1"/>
  <c r="AK39" i="1"/>
  <c r="AB39" i="1"/>
  <c r="AN39" i="1"/>
  <c r="R39" i="1"/>
  <c r="P39" i="1"/>
  <c r="AQ39" i="1"/>
  <c r="AT39" i="1"/>
  <c r="AC39" i="1"/>
  <c r="T39" i="1"/>
  <c r="Y39" i="1"/>
  <c r="F39" i="1"/>
  <c r="J39" i="1"/>
  <c r="H39" i="1"/>
  <c r="AA39" i="1"/>
  <c r="AL39" i="1"/>
  <c r="U39" i="1"/>
  <c r="L39" i="1"/>
  <c r="AW39" i="1"/>
  <c r="AO39" i="1"/>
  <c r="AU39" i="1"/>
  <c r="K39" i="1"/>
  <c r="AD39" i="1"/>
  <c r="M39" i="1"/>
  <c r="S39" i="1"/>
  <c r="AY39" i="1"/>
  <c r="Q39" i="1"/>
  <c r="AM39" i="1"/>
  <c r="AX39" i="1"/>
  <c r="V39" i="1"/>
  <c r="E39" i="1"/>
  <c r="AV39" i="1"/>
  <c r="AE39" i="1"/>
  <c r="Z39" i="1"/>
  <c r="N39" i="1"/>
  <c r="W39" i="1"/>
  <c r="AR39" i="1"/>
  <c r="I40" i="2"/>
  <c r="J40" i="2" s="1"/>
  <c r="AC65" i="1"/>
  <c r="F65" i="1"/>
  <c r="E65" i="1"/>
  <c r="G65" i="1"/>
  <c r="AJ37" i="2"/>
  <c r="S37" i="2"/>
  <c r="AG44" i="2"/>
  <c r="BL44" i="2"/>
  <c r="AC44" i="2"/>
  <c r="AU44" i="2"/>
  <c r="AS44" i="2"/>
  <c r="BA34" i="2"/>
  <c r="AK34" i="2"/>
  <c r="AC34" i="2"/>
  <c r="U34" i="2"/>
  <c r="BH34" i="2"/>
  <c r="AJ34" i="2"/>
  <c r="T34" i="2"/>
  <c r="BG34" i="2"/>
  <c r="AY34" i="2"/>
  <c r="AQ34" i="2"/>
  <c r="S34" i="2"/>
  <c r="AX34" i="2"/>
  <c r="AP34" i="2"/>
  <c r="AH34" i="2"/>
  <c r="Z34" i="2"/>
  <c r="BE34" i="2"/>
  <c r="AO34" i="2"/>
  <c r="AG34" i="2"/>
  <c r="Y34" i="2"/>
  <c r="BL34" i="2"/>
  <c r="AN34" i="2"/>
  <c r="X34" i="2"/>
  <c r="BK34" i="2"/>
  <c r="BC34" i="2"/>
  <c r="AU34" i="2"/>
  <c r="W34" i="2"/>
  <c r="AL34" i="2"/>
  <c r="AD34" i="2"/>
  <c r="V34" i="2"/>
  <c r="BJ34" i="2"/>
  <c r="AM12" i="2"/>
  <c r="AF12" i="2"/>
  <c r="AU12" i="2"/>
  <c r="AP16" i="2"/>
  <c r="AL16" i="2"/>
  <c r="V16" i="2"/>
  <c r="AQ16" i="2"/>
  <c r="AK16" i="2"/>
  <c r="AZ30" i="2"/>
  <c r="AR30" i="2"/>
  <c r="AI30" i="2"/>
  <c r="AA30" i="2"/>
  <c r="R30" i="2"/>
  <c r="BM30" i="2"/>
  <c r="BD30" i="2"/>
  <c r="AV30" i="2"/>
  <c r="AD30" i="2"/>
  <c r="AU30" i="2"/>
  <c r="BJ30" i="2"/>
  <c r="AM30" i="2"/>
  <c r="I14" i="2"/>
  <c r="J14" i="2" s="1"/>
  <c r="T31" i="2"/>
  <c r="BI42" i="2"/>
  <c r="BA42" i="2"/>
  <c r="AS42" i="2"/>
  <c r="AK42" i="2"/>
  <c r="AC42" i="2"/>
  <c r="U42" i="2"/>
  <c r="BH42" i="2"/>
  <c r="AZ42" i="2"/>
  <c r="AR42" i="2"/>
  <c r="AJ42" i="2"/>
  <c r="AB42" i="2"/>
  <c r="T42" i="2"/>
  <c r="BG42" i="2"/>
  <c r="AY42" i="2"/>
  <c r="AQ42" i="2"/>
  <c r="AI42" i="2"/>
  <c r="AA42" i="2"/>
  <c r="S42" i="2"/>
  <c r="BF42" i="2"/>
  <c r="AX42" i="2"/>
  <c r="AP42" i="2"/>
  <c r="AH42" i="2"/>
  <c r="Z42" i="2"/>
  <c r="R42" i="2"/>
  <c r="BM42" i="2"/>
  <c r="BE42" i="2"/>
  <c r="AW42" i="2"/>
  <c r="AO42" i="2"/>
  <c r="AG42" i="2"/>
  <c r="Y42" i="2"/>
  <c r="BL42" i="2"/>
  <c r="BD42" i="2"/>
  <c r="AV42" i="2"/>
  <c r="AN42" i="2"/>
  <c r="AF42" i="2"/>
  <c r="X42" i="2"/>
  <c r="BK42" i="2"/>
  <c r="BC42" i="2"/>
  <c r="AU42" i="2"/>
  <c r="AM42" i="2"/>
  <c r="AE42" i="2"/>
  <c r="W42" i="2"/>
  <c r="AT42" i="2"/>
  <c r="AL42" i="2"/>
  <c r="AD42" i="2"/>
  <c r="V42" i="2"/>
  <c r="BJ42" i="2"/>
  <c r="BB42" i="2"/>
  <c r="BF10" i="2"/>
  <c r="AK10" i="2"/>
  <c r="I26" i="2"/>
  <c r="J26" i="2" s="1"/>
  <c r="D75" i="1"/>
  <c r="I19" i="2"/>
  <c r="J19" i="2" s="1"/>
  <c r="I35" i="2"/>
  <c r="J35" i="2" s="1"/>
  <c r="AB12" i="2" l="1"/>
  <c r="L46" i="2"/>
  <c r="L42" i="2"/>
  <c r="AO36" i="2"/>
  <c r="AP12" i="2"/>
  <c r="L54" i="2"/>
  <c r="L56" i="2"/>
  <c r="BE36" i="2"/>
  <c r="AX12" i="2"/>
  <c r="AR12" i="2"/>
  <c r="BJ12" i="2"/>
  <c r="L55" i="2"/>
  <c r="L53" i="2"/>
  <c r="BB36" i="2"/>
  <c r="AT12" i="2"/>
  <c r="AX36" i="2"/>
  <c r="BD12" i="2"/>
  <c r="BK12" i="2"/>
  <c r="BH12" i="2"/>
  <c r="L50" i="2"/>
  <c r="L52" i="2"/>
  <c r="L57" i="2"/>
  <c r="L51" i="2"/>
  <c r="BB12" i="2"/>
  <c r="AD10" i="2"/>
  <c r="BE12" i="2"/>
  <c r="AY12" i="2"/>
  <c r="AS12" i="2"/>
  <c r="L49" i="2"/>
  <c r="AH12" i="2"/>
  <c r="AJ12" i="2"/>
  <c r="AY10" i="2"/>
  <c r="AW12" i="2"/>
  <c r="AQ12" i="2"/>
  <c r="AK12" i="2"/>
  <c r="BB10" i="2"/>
  <c r="AP10" i="2"/>
  <c r="BM12" i="2"/>
  <c r="BG12" i="2"/>
  <c r="AZ34" i="2"/>
  <c r="AZ31" i="2"/>
  <c r="AP44" i="2"/>
  <c r="AJ30" i="2"/>
  <c r="BM16" i="2"/>
  <c r="AS41" i="2"/>
  <c r="AS37" i="2"/>
  <c r="AC36" i="2"/>
  <c r="AL12" i="2"/>
  <c r="BG10" i="2"/>
  <c r="BG25" i="2"/>
  <c r="X16" i="2"/>
  <c r="AT34" i="2"/>
  <c r="AF34" i="2"/>
  <c r="AW34" i="2"/>
  <c r="BF34" i="2"/>
  <c r="AB34" i="2"/>
  <c r="L34" i="2" s="1"/>
  <c r="AS34" i="2"/>
  <c r="R41" i="2"/>
  <c r="BA31" i="2"/>
  <c r="AU16" i="2"/>
  <c r="BF16" i="2"/>
  <c r="AE34" i="2"/>
  <c r="AV34" i="2"/>
  <c r="BM34" i="2"/>
  <c r="AA34" i="2"/>
  <c r="AR34" i="2"/>
  <c r="BI34" i="2"/>
  <c r="BL31" i="2"/>
  <c r="T16" i="2"/>
  <c r="BB34" i="2"/>
  <c r="AM34" i="2"/>
  <c r="BD34" i="2"/>
  <c r="R34" i="2"/>
  <c r="AI34" i="2"/>
  <c r="U25" i="2"/>
  <c r="AD25" i="2"/>
  <c r="X25" i="2"/>
  <c r="AO25" i="2"/>
  <c r="AX25" i="2"/>
  <c r="T25" i="2"/>
  <c r="AF25" i="2"/>
  <c r="BF25" i="2"/>
  <c r="AS25" i="2"/>
  <c r="AE25" i="2"/>
  <c r="AN25" i="2"/>
  <c r="BE25" i="2"/>
  <c r="S25" i="2"/>
  <c r="AJ25" i="2"/>
  <c r="AI41" i="2"/>
  <c r="V25" i="2"/>
  <c r="BK25" i="2"/>
  <c r="BB25" i="2"/>
  <c r="AV25" i="2"/>
  <c r="BM25" i="2"/>
  <c r="AA25" i="2"/>
  <c r="AR25" i="2"/>
  <c r="AT41" i="2"/>
  <c r="AQ41" i="2"/>
  <c r="W25" i="2"/>
  <c r="AK25" i="2"/>
  <c r="BD25" i="2"/>
  <c r="R25" i="2"/>
  <c r="AI25" i="2"/>
  <c r="AZ25" i="2"/>
  <c r="AM41" i="2"/>
  <c r="AJ41" i="2"/>
  <c r="AB25" i="2"/>
  <c r="AT25" i="2"/>
  <c r="BC25" i="2"/>
  <c r="BL25" i="2"/>
  <c r="Z25" i="2"/>
  <c r="AQ25" i="2"/>
  <c r="BH25" i="2"/>
  <c r="AU41" i="2"/>
  <c r="BA41" i="2"/>
  <c r="AW25" i="2"/>
  <c r="AM25" i="2"/>
  <c r="AC25" i="2"/>
  <c r="AL25" i="2"/>
  <c r="Y25" i="2"/>
  <c r="AH25" i="2"/>
  <c r="AY25" i="2"/>
  <c r="AN41" i="2"/>
  <c r="BA25" i="2"/>
  <c r="BJ25" i="2"/>
  <c r="AU25" i="2"/>
  <c r="BI25" i="2"/>
  <c r="AG25" i="2"/>
  <c r="AP25" i="2"/>
  <c r="BD41" i="2"/>
  <c r="U16" i="2"/>
  <c r="R16" i="2"/>
  <c r="BB16" i="2"/>
  <c r="AG16" i="2"/>
  <c r="S16" i="2"/>
  <c r="AF16" i="2"/>
  <c r="Y16" i="2"/>
  <c r="AC16" i="2"/>
  <c r="AN16" i="2"/>
  <c r="AW16" i="2"/>
  <c r="AR16" i="2"/>
  <c r="BD16" i="2"/>
  <c r="AA16" i="2"/>
  <c r="AD16" i="2"/>
  <c r="AX16" i="2"/>
  <c r="X10" i="2"/>
  <c r="AS10" i="2"/>
  <c r="S36" i="2"/>
  <c r="AE16" i="2"/>
  <c r="AI16" i="2"/>
  <c r="BA16" i="2"/>
  <c r="AO16" i="2"/>
  <c r="AT16" i="2"/>
  <c r="AV16" i="2"/>
  <c r="AN12" i="2"/>
  <c r="W12" i="2"/>
  <c r="BF12" i="2"/>
  <c r="AE12" i="2"/>
  <c r="AZ12" i="2"/>
  <c r="BI12" i="2"/>
  <c r="AJ36" i="2"/>
  <c r="AS16" i="2"/>
  <c r="Z16" i="2"/>
  <c r="AB16" i="2"/>
  <c r="AZ16" i="2"/>
  <c r="BJ16" i="2"/>
  <c r="BL16" i="2"/>
  <c r="Y12" i="2"/>
  <c r="X12" i="2"/>
  <c r="S12" i="2"/>
  <c r="AV12" i="2"/>
  <c r="BC12" i="2"/>
  <c r="V12" i="2"/>
  <c r="X36" i="2"/>
  <c r="AK36" i="2"/>
  <c r="W16" i="2"/>
  <c r="AJ16" i="2"/>
  <c r="AM16" i="2"/>
  <c r="BH16" i="2"/>
  <c r="BC16" i="2"/>
  <c r="BE16" i="2"/>
  <c r="AG12" i="2"/>
  <c r="R12" i="2"/>
  <c r="AA12" i="2"/>
  <c r="BL12" i="2"/>
  <c r="U12" i="2"/>
  <c r="AD12" i="2"/>
  <c r="AV10" i="2"/>
  <c r="W36" i="2"/>
  <c r="AM10" i="2"/>
  <c r="AU10" i="2"/>
  <c r="AN36" i="2"/>
  <c r="BA36" i="2"/>
  <c r="AH16" i="2"/>
  <c r="AY16" i="2"/>
  <c r="BG16" i="2"/>
  <c r="BI16" i="2"/>
  <c r="BK16" i="2"/>
  <c r="AO12" i="2"/>
  <c r="Z12" i="2"/>
  <c r="AI12" i="2"/>
  <c r="T12" i="2"/>
  <c r="AC12" i="2"/>
  <c r="AX44" i="2"/>
  <c r="BL41" i="2"/>
  <c r="AZ41" i="2"/>
  <c r="BA37" i="2"/>
  <c r="AL41" i="2"/>
  <c r="BE41" i="2"/>
  <c r="BH41" i="2"/>
  <c r="W41" i="2"/>
  <c r="Z41" i="2"/>
  <c r="W37" i="2"/>
  <c r="AN37" i="2"/>
  <c r="BE37" i="2"/>
  <c r="AE37" i="2"/>
  <c r="AV37" i="2"/>
  <c r="BM37" i="2"/>
  <c r="AA37" i="2"/>
  <c r="AR37" i="2"/>
  <c r="BI37" i="2"/>
  <c r="AL37" i="2"/>
  <c r="AM37" i="2"/>
  <c r="BD37" i="2"/>
  <c r="R37" i="2"/>
  <c r="AI37" i="2"/>
  <c r="AZ37" i="2"/>
  <c r="AT37" i="2"/>
  <c r="AU37" i="2"/>
  <c r="BL37" i="2"/>
  <c r="Z37" i="2"/>
  <c r="AQ37" i="2"/>
  <c r="BH37" i="2"/>
  <c r="BB37" i="2"/>
  <c r="BC37" i="2"/>
  <c r="Y37" i="2"/>
  <c r="AH37" i="2"/>
  <c r="AY37" i="2"/>
  <c r="U37" i="2"/>
  <c r="BJ37" i="2"/>
  <c r="BK37" i="2"/>
  <c r="AG37" i="2"/>
  <c r="AP37" i="2"/>
  <c r="BG37" i="2"/>
  <c r="AC37" i="2"/>
  <c r="V37" i="2"/>
  <c r="X37" i="2"/>
  <c r="AO37" i="2"/>
  <c r="AX37" i="2"/>
  <c r="T37" i="2"/>
  <c r="AK37" i="2"/>
  <c r="AD37" i="2"/>
  <c r="AF37" i="2"/>
  <c r="AW37" i="2"/>
  <c r="BF37" i="2"/>
  <c r="AB37" i="2"/>
  <c r="V30" i="2"/>
  <c r="BA30" i="2"/>
  <c r="BL30" i="2"/>
  <c r="Z30" i="2"/>
  <c r="AQ30" i="2"/>
  <c r="BH30" i="2"/>
  <c r="BD44" i="2"/>
  <c r="BH44" i="2"/>
  <c r="AM44" i="2"/>
  <c r="U44" i="2"/>
  <c r="AO44" i="2"/>
  <c r="BF44" i="2"/>
  <c r="AK30" i="2"/>
  <c r="X44" i="2"/>
  <c r="AE44" i="2"/>
  <c r="BC30" i="2"/>
  <c r="BK30" i="2"/>
  <c r="BB30" i="2"/>
  <c r="AG30" i="2"/>
  <c r="AP30" i="2"/>
  <c r="BG30" i="2"/>
  <c r="AR44" i="2"/>
  <c r="AJ44" i="2"/>
  <c r="AB44" i="2"/>
  <c r="BK44" i="2"/>
  <c r="AQ44" i="2"/>
  <c r="BE44" i="2"/>
  <c r="AE30" i="2"/>
  <c r="AY30" i="2"/>
  <c r="AF44" i="2"/>
  <c r="AW44" i="2"/>
  <c r="AL30" i="2"/>
  <c r="W30" i="2"/>
  <c r="X30" i="2"/>
  <c r="AO30" i="2"/>
  <c r="AX30" i="2"/>
  <c r="T30" i="2"/>
  <c r="V44" i="2"/>
  <c r="AT44" i="2"/>
  <c r="AL44" i="2"/>
  <c r="T44" i="2"/>
  <c r="BB44" i="2"/>
  <c r="BM44" i="2"/>
  <c r="Y30" i="2"/>
  <c r="R44" i="2"/>
  <c r="BI30" i="2"/>
  <c r="AT30" i="2"/>
  <c r="AF30" i="2"/>
  <c r="AW30" i="2"/>
  <c r="BF30" i="2"/>
  <c r="AB30" i="2"/>
  <c r="BC44" i="2"/>
  <c r="BG44" i="2"/>
  <c r="AV44" i="2"/>
  <c r="AD44" i="2"/>
  <c r="BA44" i="2"/>
  <c r="Z44" i="2"/>
  <c r="AS30" i="2"/>
  <c r="AH30" i="2"/>
  <c r="AY44" i="2"/>
  <c r="U30" i="2"/>
  <c r="AC30" i="2"/>
  <c r="AN30" i="2"/>
  <c r="BE30" i="2"/>
  <c r="S30" i="2"/>
  <c r="W44" i="2"/>
  <c r="AA44" i="2"/>
  <c r="BJ44" i="2"/>
  <c r="AN44" i="2"/>
  <c r="BI44" i="2"/>
  <c r="AH44" i="2"/>
  <c r="AI44" i="2"/>
  <c r="AK44" i="2"/>
  <c r="S44" i="2"/>
  <c r="AZ44" i="2"/>
  <c r="Y44" i="2"/>
  <c r="AE31" i="2"/>
  <c r="AG31" i="2"/>
  <c r="BH31" i="2"/>
  <c r="BI31" i="2"/>
  <c r="AM31" i="2"/>
  <c r="Z31" i="2"/>
  <c r="AO31" i="2"/>
  <c r="BJ31" i="2"/>
  <c r="AP31" i="2"/>
  <c r="AT31" i="2"/>
  <c r="AX31" i="2"/>
  <c r="AU31" i="2"/>
  <c r="AQ31" i="2"/>
  <c r="X31" i="2"/>
  <c r="BG31" i="2"/>
  <c r="Q15" i="2"/>
  <c r="Q26" i="2"/>
  <c r="AX22" i="2"/>
  <c r="AD22" i="2"/>
  <c r="BL22" i="2"/>
  <c r="AS22" i="2"/>
  <c r="BI22" i="2"/>
  <c r="AF22" i="2"/>
  <c r="AP22" i="2"/>
  <c r="U22" i="2"/>
  <c r="BC22" i="2"/>
  <c r="AJ22" i="2"/>
  <c r="AZ22" i="2"/>
  <c r="W22" i="2"/>
  <c r="AH22" i="2"/>
  <c r="BM22" i="2"/>
  <c r="AT22" i="2"/>
  <c r="AA22" i="2"/>
  <c r="AQ22" i="2"/>
  <c r="AN22" i="2"/>
  <c r="Z22" i="2"/>
  <c r="BD22" i="2"/>
  <c r="AK22" i="2"/>
  <c r="BJ22" i="2"/>
  <c r="AG22" i="2"/>
  <c r="AE22" i="2"/>
  <c r="R22" i="2"/>
  <c r="AB22" i="2"/>
  <c r="X22" i="2"/>
  <c r="AU22" i="2"/>
  <c r="AW22" i="2"/>
  <c r="BE22" i="2"/>
  <c r="S22" i="2"/>
  <c r="BH22" i="2"/>
  <c r="BA22" i="2"/>
  <c r="AV22" i="2"/>
  <c r="BK22" i="2"/>
  <c r="AY22" i="2"/>
  <c r="AM22" i="2"/>
  <c r="BB22" i="2"/>
  <c r="AO22" i="2"/>
  <c r="AI22" i="2"/>
  <c r="AL22" i="2"/>
  <c r="AC22" i="2"/>
  <c r="Y22" i="2"/>
  <c r="V22" i="2"/>
  <c r="T22" i="2"/>
  <c r="AR22" i="2"/>
  <c r="BF22" i="2"/>
  <c r="BG22" i="2"/>
  <c r="AL11" i="2"/>
  <c r="AK11" i="2"/>
  <c r="T11" i="2"/>
  <c r="AA11" i="2"/>
  <c r="AH11" i="2"/>
  <c r="AG11" i="2"/>
  <c r="AD11" i="2"/>
  <c r="AC11" i="2"/>
  <c r="AV11" i="2"/>
  <c r="S11" i="2"/>
  <c r="Z11" i="2"/>
  <c r="Y11" i="2"/>
  <c r="BA11" i="2"/>
  <c r="X11" i="2"/>
  <c r="W11" i="2"/>
  <c r="AW11" i="2"/>
  <c r="BH11" i="2"/>
  <c r="V11" i="2"/>
  <c r="AQ11" i="2"/>
  <c r="BC11" i="2"/>
  <c r="BJ11" i="2"/>
  <c r="AS11" i="2"/>
  <c r="AM11" i="2"/>
  <c r="BF11" i="2"/>
  <c r="AO11" i="2"/>
  <c r="AY11" i="2"/>
  <c r="AN11" i="2"/>
  <c r="AZ11" i="2"/>
  <c r="R11" i="2"/>
  <c r="BB11" i="2"/>
  <c r="U11" i="2"/>
  <c r="BG11" i="2"/>
  <c r="AX11" i="2"/>
  <c r="BL11" i="2"/>
  <c r="AT11" i="2"/>
  <c r="AP11" i="2"/>
  <c r="AR11" i="2"/>
  <c r="BE11" i="2"/>
  <c r="AJ11" i="2"/>
  <c r="AF11" i="2"/>
  <c r="AI11" i="2"/>
  <c r="BD11" i="2"/>
  <c r="BK11" i="2"/>
  <c r="AB11" i="2"/>
  <c r="AU11" i="2"/>
  <c r="BM11" i="2"/>
  <c r="AE11" i="2"/>
  <c r="BI11" i="2"/>
  <c r="AR32" i="2"/>
  <c r="AA32" i="2"/>
  <c r="BM32" i="2"/>
  <c r="AV32" i="2"/>
  <c r="AM32" i="2"/>
  <c r="BA32" i="2"/>
  <c r="AJ32" i="2"/>
  <c r="S32" i="2"/>
  <c r="BE32" i="2"/>
  <c r="AN32" i="2"/>
  <c r="U32" i="2"/>
  <c r="AD32" i="2"/>
  <c r="AQ32" i="2"/>
  <c r="AW32" i="2"/>
  <c r="BK32" i="2"/>
  <c r="BB32" i="2"/>
  <c r="V32" i="2"/>
  <c r="AZ32" i="2"/>
  <c r="Y32" i="2"/>
  <c r="BJ32" i="2"/>
  <c r="AP32" i="2"/>
  <c r="AI32" i="2"/>
  <c r="AO32" i="2"/>
  <c r="AS32" i="2"/>
  <c r="AE32" i="2"/>
  <c r="AX32" i="2"/>
  <c r="AC32" i="2"/>
  <c r="BL32" i="2"/>
  <c r="BH32" i="2"/>
  <c r="BF32" i="2"/>
  <c r="AG32" i="2"/>
  <c r="AU32" i="2"/>
  <c r="BD32" i="2"/>
  <c r="AT32" i="2"/>
  <c r="AB32" i="2"/>
  <c r="BI32" i="2"/>
  <c r="AH32" i="2"/>
  <c r="Z32" i="2"/>
  <c r="AF32" i="2"/>
  <c r="AK32" i="2"/>
  <c r="R32" i="2"/>
  <c r="T32" i="2"/>
  <c r="X32" i="2"/>
  <c r="BG32" i="2"/>
  <c r="AL32" i="2"/>
  <c r="W32" i="2"/>
  <c r="AY32" i="2"/>
  <c r="BC32" i="2"/>
  <c r="T10" i="2"/>
  <c r="AZ10" i="2"/>
  <c r="AQ10" i="2"/>
  <c r="AH10" i="2"/>
  <c r="AO10" i="2"/>
  <c r="BJ36" i="2"/>
  <c r="AF36" i="2"/>
  <c r="AW36" i="2"/>
  <c r="BF36" i="2"/>
  <c r="AB36" i="2"/>
  <c r="AS36" i="2"/>
  <c r="BM10" i="2"/>
  <c r="AD31" i="2"/>
  <c r="U31" i="2"/>
  <c r="AC31" i="2"/>
  <c r="Y31" i="2"/>
  <c r="AH31" i="2"/>
  <c r="AY31" i="2"/>
  <c r="Q14" i="2"/>
  <c r="AE41" i="2"/>
  <c r="AV41" i="2"/>
  <c r="BM41" i="2"/>
  <c r="AA41" i="2"/>
  <c r="AR41" i="2"/>
  <c r="BI41" i="2"/>
  <c r="AR33" i="2"/>
  <c r="AA33" i="2"/>
  <c r="BE33" i="2"/>
  <c r="AN33" i="2"/>
  <c r="AE33" i="2"/>
  <c r="AS33" i="2"/>
  <c r="AJ33" i="2"/>
  <c r="S33" i="2"/>
  <c r="AW33" i="2"/>
  <c r="AF33" i="2"/>
  <c r="BA33" i="2"/>
  <c r="V33" i="2"/>
  <c r="AQ33" i="2"/>
  <c r="AO33" i="2"/>
  <c r="AL33" i="2"/>
  <c r="W33" i="2"/>
  <c r="AP33" i="2"/>
  <c r="AD33" i="2"/>
  <c r="BM33" i="2"/>
  <c r="AI33" i="2"/>
  <c r="AG33" i="2"/>
  <c r="BC33" i="2"/>
  <c r="BK33" i="2"/>
  <c r="AB33" i="2"/>
  <c r="BD33" i="2"/>
  <c r="BH33" i="2"/>
  <c r="BF33" i="2"/>
  <c r="Y33" i="2"/>
  <c r="AK33" i="2"/>
  <c r="BJ33" i="2"/>
  <c r="AZ33" i="2"/>
  <c r="AX33" i="2"/>
  <c r="BL33" i="2"/>
  <c r="BB33" i="2"/>
  <c r="AM33" i="2"/>
  <c r="U33" i="2"/>
  <c r="AV33" i="2"/>
  <c r="AU33" i="2"/>
  <c r="AY33" i="2"/>
  <c r="AT33" i="2"/>
  <c r="X33" i="2"/>
  <c r="BG33" i="2"/>
  <c r="Z33" i="2"/>
  <c r="T33" i="2"/>
  <c r="BI33" i="2"/>
  <c r="AC33" i="2"/>
  <c r="AH33" i="2"/>
  <c r="R33" i="2"/>
  <c r="AT10" i="2"/>
  <c r="AR36" i="2"/>
  <c r="AP17" i="2"/>
  <c r="AG17" i="2"/>
  <c r="AH17" i="2"/>
  <c r="Z17" i="2"/>
  <c r="BD17" i="2"/>
  <c r="AM17" i="2"/>
  <c r="V17" i="2"/>
  <c r="AZ17" i="2"/>
  <c r="AY17" i="2"/>
  <c r="AJ17" i="2"/>
  <c r="BJ17" i="2"/>
  <c r="AB17" i="2"/>
  <c r="R17" i="2"/>
  <c r="AV17" i="2"/>
  <c r="AE17" i="2"/>
  <c r="BI17" i="2"/>
  <c r="AR17" i="2"/>
  <c r="AQ17" i="2"/>
  <c r="BM17" i="2"/>
  <c r="AN17" i="2"/>
  <c r="BA17" i="2"/>
  <c r="AI17" i="2"/>
  <c r="AS17" i="2"/>
  <c r="W17" i="2"/>
  <c r="AF17" i="2"/>
  <c r="BE17" i="2"/>
  <c r="BK17" i="2"/>
  <c r="AC17" i="2"/>
  <c r="BF17" i="2"/>
  <c r="BC17" i="2"/>
  <c r="AO17" i="2"/>
  <c r="S17" i="2"/>
  <c r="Y17" i="2"/>
  <c r="U17" i="2"/>
  <c r="AW17" i="2"/>
  <c r="AL17" i="2"/>
  <c r="AX17" i="2"/>
  <c r="AU17" i="2"/>
  <c r="BH17" i="2"/>
  <c r="T17" i="2"/>
  <c r="AT17" i="2"/>
  <c r="BG17" i="2"/>
  <c r="BL17" i="2"/>
  <c r="AA17" i="2"/>
  <c r="AK17" i="2"/>
  <c r="BB17" i="2"/>
  <c r="AD17" i="2"/>
  <c r="X17" i="2"/>
  <c r="AZ36" i="2"/>
  <c r="BB41" i="2"/>
  <c r="BC41" i="2"/>
  <c r="Y41" i="2"/>
  <c r="AH41" i="2"/>
  <c r="AY41" i="2"/>
  <c r="U41" i="2"/>
  <c r="BG23" i="2"/>
  <c r="AP23" i="2"/>
  <c r="AE23" i="2"/>
  <c r="BA23" i="2"/>
  <c r="AV23" i="2"/>
  <c r="AT23" i="2"/>
  <c r="AY23" i="2"/>
  <c r="AH23" i="2"/>
  <c r="T23" i="2"/>
  <c r="AM23" i="2"/>
  <c r="AK23" i="2"/>
  <c r="AF23" i="2"/>
  <c r="AQ23" i="2"/>
  <c r="Z23" i="2"/>
  <c r="BC23" i="2"/>
  <c r="Y23" i="2"/>
  <c r="W23" i="2"/>
  <c r="U23" i="2"/>
  <c r="BH23" i="2"/>
  <c r="AI23" i="2"/>
  <c r="R23" i="2"/>
  <c r="AO23" i="2"/>
  <c r="BL23" i="2"/>
  <c r="BJ23" i="2"/>
  <c r="S23" i="2"/>
  <c r="BB23" i="2"/>
  <c r="AG23" i="2"/>
  <c r="BF23" i="2"/>
  <c r="AN23" i="2"/>
  <c r="V23" i="2"/>
  <c r="AR23" i="2"/>
  <c r="BE23" i="2"/>
  <c r="AL23" i="2"/>
  <c r="AX23" i="2"/>
  <c r="AC23" i="2"/>
  <c r="BI23" i="2"/>
  <c r="AZ23" i="2"/>
  <c r="BM23" i="2"/>
  <c r="AW23" i="2"/>
  <c r="AD23" i="2"/>
  <c r="AA23" i="2"/>
  <c r="X23" i="2"/>
  <c r="AS23" i="2"/>
  <c r="BK23" i="2"/>
  <c r="AB23" i="2"/>
  <c r="BD23" i="2"/>
  <c r="AJ23" i="2"/>
  <c r="AU23" i="2"/>
  <c r="BJ13" i="2"/>
  <c r="BC13" i="2"/>
  <c r="AJ13" i="2"/>
  <c r="AQ13" i="2"/>
  <c r="AH13" i="2"/>
  <c r="Y13" i="2"/>
  <c r="BB13" i="2"/>
  <c r="AS13" i="2"/>
  <c r="AB13" i="2"/>
  <c r="AI13" i="2"/>
  <c r="Z13" i="2"/>
  <c r="BG13" i="2"/>
  <c r="BE13" i="2"/>
  <c r="AK13" i="2"/>
  <c r="T13" i="2"/>
  <c r="AA13" i="2"/>
  <c r="R13" i="2"/>
  <c r="AN13" i="2"/>
  <c r="AT13" i="2"/>
  <c r="AC13" i="2"/>
  <c r="AW13" i="2"/>
  <c r="S13" i="2"/>
  <c r="AU13" i="2"/>
  <c r="X13" i="2"/>
  <c r="AL13" i="2"/>
  <c r="AF13" i="2"/>
  <c r="BH13" i="2"/>
  <c r="BF13" i="2"/>
  <c r="AD13" i="2"/>
  <c r="AE13" i="2"/>
  <c r="AX13" i="2"/>
  <c r="W13" i="2"/>
  <c r="V13" i="2"/>
  <c r="BK13" i="2"/>
  <c r="AO13" i="2"/>
  <c r="U13" i="2"/>
  <c r="AM13" i="2"/>
  <c r="AZ13" i="2"/>
  <c r="AG13" i="2"/>
  <c r="AV13" i="2"/>
  <c r="AY13" i="2"/>
  <c r="BL13" i="2"/>
  <c r="BM13" i="2"/>
  <c r="BA13" i="2"/>
  <c r="AP13" i="2"/>
  <c r="BD13" i="2"/>
  <c r="AR13" i="2"/>
  <c r="BI13" i="2"/>
  <c r="AH18" i="2"/>
  <c r="Y18" i="2"/>
  <c r="BC18" i="2"/>
  <c r="AL18" i="2"/>
  <c r="U18" i="2"/>
  <c r="AA18" i="2"/>
  <c r="Z18" i="2"/>
  <c r="BL18" i="2"/>
  <c r="AU18" i="2"/>
  <c r="AD18" i="2"/>
  <c r="BH18" i="2"/>
  <c r="S18" i="2"/>
  <c r="R18" i="2"/>
  <c r="AN18" i="2"/>
  <c r="BB18" i="2"/>
  <c r="AZ18" i="2"/>
  <c r="AY18" i="2"/>
  <c r="BA18" i="2"/>
  <c r="BM18" i="2"/>
  <c r="AF18" i="2"/>
  <c r="AT18" i="2"/>
  <c r="AR18" i="2"/>
  <c r="AW18" i="2"/>
  <c r="AB18" i="2"/>
  <c r="AM18" i="2"/>
  <c r="T18" i="2"/>
  <c r="BE18" i="2"/>
  <c r="X18" i="2"/>
  <c r="V18" i="2"/>
  <c r="AJ18" i="2"/>
  <c r="BK18" i="2"/>
  <c r="AO18" i="2"/>
  <c r="BI18" i="2"/>
  <c r="AP18" i="2"/>
  <c r="AK18" i="2"/>
  <c r="AG18" i="2"/>
  <c r="AQ18" i="2"/>
  <c r="AE18" i="2"/>
  <c r="BJ18" i="2"/>
  <c r="AX18" i="2"/>
  <c r="AC18" i="2"/>
  <c r="BD18" i="2"/>
  <c r="AI18" i="2"/>
  <c r="AS18" i="2"/>
  <c r="AV18" i="2"/>
  <c r="BG18" i="2"/>
  <c r="W18" i="2"/>
  <c r="BF18" i="2"/>
  <c r="AW10" i="2"/>
  <c r="AE36" i="2"/>
  <c r="BM36" i="2"/>
  <c r="BI36" i="2"/>
  <c r="BA10" i="2"/>
  <c r="W10" i="2"/>
  <c r="V36" i="2"/>
  <c r="R36" i="2"/>
  <c r="BD10" i="2"/>
  <c r="V31" i="2"/>
  <c r="BF31" i="2"/>
  <c r="Q35" i="2"/>
  <c r="K10" i="2"/>
  <c r="O10" i="2" s="1"/>
  <c r="AJ10" i="2"/>
  <c r="AA10" i="2"/>
  <c r="Z10" i="2"/>
  <c r="Y10" i="2"/>
  <c r="AD36" i="2"/>
  <c r="AU36" i="2"/>
  <c r="BL36" i="2"/>
  <c r="Z36" i="2"/>
  <c r="AQ36" i="2"/>
  <c r="BH36" i="2"/>
  <c r="BK10" i="2"/>
  <c r="BE10" i="2"/>
  <c r="AK31" i="2"/>
  <c r="AS31" i="2"/>
  <c r="AN31" i="2"/>
  <c r="BE31" i="2"/>
  <c r="S31" i="2"/>
  <c r="AJ31" i="2"/>
  <c r="BJ41" i="2"/>
  <c r="BK41" i="2"/>
  <c r="AG41" i="2"/>
  <c r="AP41" i="2"/>
  <c r="BG41" i="2"/>
  <c r="AC41" i="2"/>
  <c r="AZ29" i="2"/>
  <c r="AI29" i="2"/>
  <c r="R29" i="2"/>
  <c r="BD29" i="2"/>
  <c r="AK29" i="2"/>
  <c r="W29" i="2"/>
  <c r="AR29" i="2"/>
  <c r="AA29" i="2"/>
  <c r="BM29" i="2"/>
  <c r="AV29" i="2"/>
  <c r="BB29" i="2"/>
  <c r="BK29" i="2"/>
  <c r="AJ29" i="2"/>
  <c r="S29" i="2"/>
  <c r="BE29" i="2"/>
  <c r="AN29" i="2"/>
  <c r="AE29" i="2"/>
  <c r="AS29" i="2"/>
  <c r="AB29" i="2"/>
  <c r="BF29" i="2"/>
  <c r="AW29" i="2"/>
  <c r="AF29" i="2"/>
  <c r="BA29" i="2"/>
  <c r="V29" i="2"/>
  <c r="T29" i="2"/>
  <c r="AO29" i="2"/>
  <c r="AD29" i="2"/>
  <c r="X29" i="2"/>
  <c r="BG29" i="2"/>
  <c r="AG29" i="2"/>
  <c r="AU29" i="2"/>
  <c r="BJ29" i="2"/>
  <c r="AY29" i="2"/>
  <c r="Y29" i="2"/>
  <c r="AC29" i="2"/>
  <c r="AQ29" i="2"/>
  <c r="BL29" i="2"/>
  <c r="AT29" i="2"/>
  <c r="AX29" i="2"/>
  <c r="AM29" i="2"/>
  <c r="Z29" i="2"/>
  <c r="BI29" i="2"/>
  <c r="BH29" i="2"/>
  <c r="U29" i="2"/>
  <c r="AP29" i="2"/>
  <c r="AL29" i="2"/>
  <c r="BC29" i="2"/>
  <c r="AH29" i="2"/>
  <c r="AX21" i="2"/>
  <c r="AW21" i="2"/>
  <c r="X21" i="2"/>
  <c r="BC21" i="2"/>
  <c r="AK21" i="2"/>
  <c r="T21" i="2"/>
  <c r="BH21" i="2"/>
  <c r="AO21" i="2"/>
  <c r="BM21" i="2"/>
  <c r="AT21" i="2"/>
  <c r="AC21" i="2"/>
  <c r="S21" i="2"/>
  <c r="AY21" i="2"/>
  <c r="AG21" i="2"/>
  <c r="BD21" i="2"/>
  <c r="AL21" i="2"/>
  <c r="U21" i="2"/>
  <c r="BI21" i="2"/>
  <c r="AP21" i="2"/>
  <c r="Y21" i="2"/>
  <c r="AU21" i="2"/>
  <c r="AD21" i="2"/>
  <c r="BJ21" i="2"/>
  <c r="AZ21" i="2"/>
  <c r="AH21" i="2"/>
  <c r="AM21" i="2"/>
  <c r="BA21" i="2"/>
  <c r="BE21" i="2"/>
  <c r="AA21" i="2"/>
  <c r="Z21" i="2"/>
  <c r="AE21" i="2"/>
  <c r="AR21" i="2"/>
  <c r="V21" i="2"/>
  <c r="R21" i="2"/>
  <c r="W21" i="2"/>
  <c r="AJ21" i="2"/>
  <c r="BG21" i="2"/>
  <c r="BL21" i="2"/>
  <c r="AB21" i="2"/>
  <c r="AS21" i="2"/>
  <c r="AQ21" i="2"/>
  <c r="BB21" i="2"/>
  <c r="BF21" i="2"/>
  <c r="AI21" i="2"/>
  <c r="AN21" i="2"/>
  <c r="BK21" i="2"/>
  <c r="AV21" i="2"/>
  <c r="AF21" i="2"/>
  <c r="AB10" i="2"/>
  <c r="AV36" i="2"/>
  <c r="V10" i="2"/>
  <c r="AM36" i="2"/>
  <c r="AI36" i="2"/>
  <c r="BB31" i="2"/>
  <c r="AW31" i="2"/>
  <c r="AB31" i="2"/>
  <c r="Q19" i="2"/>
  <c r="AN10" i="2"/>
  <c r="AE10" i="2"/>
  <c r="AL10" i="2"/>
  <c r="AC10" i="2"/>
  <c r="AL36" i="2"/>
  <c r="BC36" i="2"/>
  <c r="Y36" i="2"/>
  <c r="AH36" i="2"/>
  <c r="AY36" i="2"/>
  <c r="U36" i="2"/>
  <c r="BC10" i="2"/>
  <c r="BL10" i="2"/>
  <c r="BC31" i="2"/>
  <c r="BK31" i="2"/>
  <c r="AV31" i="2"/>
  <c r="BM31" i="2"/>
  <c r="AA31" i="2"/>
  <c r="AR31" i="2"/>
  <c r="V41" i="2"/>
  <c r="X41" i="2"/>
  <c r="AO41" i="2"/>
  <c r="AX41" i="2"/>
  <c r="T41" i="2"/>
  <c r="AK41" i="2"/>
  <c r="AY28" i="2"/>
  <c r="AH28" i="2"/>
  <c r="Y28" i="2"/>
  <c r="AS28" i="2"/>
  <c r="AK28" i="2"/>
  <c r="AT28" i="2"/>
  <c r="BH28" i="2"/>
  <c r="AQ28" i="2"/>
  <c r="Z28" i="2"/>
  <c r="BL28" i="2"/>
  <c r="V28" i="2"/>
  <c r="BB28" i="2"/>
  <c r="AZ28" i="2"/>
  <c r="AI28" i="2"/>
  <c r="R28" i="2"/>
  <c r="BD28" i="2"/>
  <c r="BJ28" i="2"/>
  <c r="AE28" i="2"/>
  <c r="AR28" i="2"/>
  <c r="AA28" i="2"/>
  <c r="BM28" i="2"/>
  <c r="AV28" i="2"/>
  <c r="AM28" i="2"/>
  <c r="BA28" i="2"/>
  <c r="AP28" i="2"/>
  <c r="BK28" i="2"/>
  <c r="W28" i="2"/>
  <c r="AG28" i="2"/>
  <c r="AJ28" i="2"/>
  <c r="BE28" i="2"/>
  <c r="U28" i="2"/>
  <c r="BG28" i="2"/>
  <c r="BC28" i="2"/>
  <c r="AB28" i="2"/>
  <c r="AW28" i="2"/>
  <c r="BI28" i="2"/>
  <c r="T28" i="2"/>
  <c r="AO28" i="2"/>
  <c r="AL28" i="2"/>
  <c r="AX28" i="2"/>
  <c r="AN28" i="2"/>
  <c r="AF28" i="2"/>
  <c r="AC28" i="2"/>
  <c r="X28" i="2"/>
  <c r="AD28" i="2"/>
  <c r="AU28" i="2"/>
  <c r="S28" i="2"/>
  <c r="BF28" i="2"/>
  <c r="BE20" i="2"/>
  <c r="AN20" i="2"/>
  <c r="W20" i="2"/>
  <c r="BA20" i="2"/>
  <c r="AJ20" i="2"/>
  <c r="S20" i="2"/>
  <c r="BF20" i="2"/>
  <c r="AW20" i="2"/>
  <c r="AF20" i="2"/>
  <c r="BJ20" i="2"/>
  <c r="AS20" i="2"/>
  <c r="AB20" i="2"/>
  <c r="AX20" i="2"/>
  <c r="AO20" i="2"/>
  <c r="X20" i="2"/>
  <c r="BB20" i="2"/>
  <c r="AK20" i="2"/>
  <c r="T20" i="2"/>
  <c r="AP20" i="2"/>
  <c r="AG20" i="2"/>
  <c r="BK20" i="2"/>
  <c r="AT20" i="2"/>
  <c r="AC20" i="2"/>
  <c r="BG20" i="2"/>
  <c r="AV20" i="2"/>
  <c r="BI20" i="2"/>
  <c r="AA20" i="2"/>
  <c r="AE20" i="2"/>
  <c r="AH20" i="2"/>
  <c r="BC20" i="2"/>
  <c r="U20" i="2"/>
  <c r="AR20" i="2"/>
  <c r="Z20" i="2"/>
  <c r="AU20" i="2"/>
  <c r="BH20" i="2"/>
  <c r="R20" i="2"/>
  <c r="AM20" i="2"/>
  <c r="AZ20" i="2"/>
  <c r="BM20" i="2"/>
  <c r="BL20" i="2"/>
  <c r="BD20" i="2"/>
  <c r="V20" i="2"/>
  <c r="AQ20" i="2"/>
  <c r="Y20" i="2"/>
  <c r="AI20" i="2"/>
  <c r="AL20" i="2"/>
  <c r="AD20" i="2"/>
  <c r="AY20" i="2"/>
  <c r="AR24" i="2"/>
  <c r="AA24" i="2"/>
  <c r="BM24" i="2"/>
  <c r="AV24" i="2"/>
  <c r="BI24" i="2"/>
  <c r="BA24" i="2"/>
  <c r="AJ24" i="2"/>
  <c r="S24" i="2"/>
  <c r="BE24" i="2"/>
  <c r="AN24" i="2"/>
  <c r="AL24" i="2"/>
  <c r="AE24" i="2"/>
  <c r="AB24" i="2"/>
  <c r="AP24" i="2"/>
  <c r="BL24" i="2"/>
  <c r="V24" i="2"/>
  <c r="AT24" i="2"/>
  <c r="R24" i="2"/>
  <c r="X24" i="2"/>
  <c r="T24" i="2"/>
  <c r="AH24" i="2"/>
  <c r="BD24" i="2"/>
  <c r="BC24" i="2"/>
  <c r="AC24" i="2"/>
  <c r="AY24" i="2"/>
  <c r="U24" i="2"/>
  <c r="AQ24" i="2"/>
  <c r="BB24" i="2"/>
  <c r="BG24" i="2"/>
  <c r="Z24" i="2"/>
  <c r="BK24" i="2"/>
  <c r="AK24" i="2"/>
  <c r="AS24" i="2"/>
  <c r="AO24" i="2"/>
  <c r="AD24" i="2"/>
  <c r="BJ24" i="2"/>
  <c r="AI24" i="2"/>
  <c r="AM24" i="2"/>
  <c r="BF24" i="2"/>
  <c r="AG24" i="2"/>
  <c r="BH24" i="2"/>
  <c r="Y24" i="2"/>
  <c r="AZ24" i="2"/>
  <c r="W24" i="2"/>
  <c r="AX24" i="2"/>
  <c r="AW24" i="2"/>
  <c r="AF24" i="2"/>
  <c r="AU24" i="2"/>
  <c r="S10" i="2"/>
  <c r="AX10" i="2"/>
  <c r="AA36" i="2"/>
  <c r="AF10" i="2"/>
  <c r="U10" i="2"/>
  <c r="BD36" i="2"/>
  <c r="BH10" i="2"/>
  <c r="AF31" i="2"/>
  <c r="AR10" i="2"/>
  <c r="AI10" i="2"/>
  <c r="R10" i="2"/>
  <c r="K11" i="2" s="1"/>
  <c r="O11" i="2" s="1"/>
  <c r="AG10" i="2"/>
  <c r="AT36" i="2"/>
  <c r="BK36" i="2"/>
  <c r="AG36" i="2"/>
  <c r="AP36" i="2"/>
  <c r="BG36" i="2"/>
  <c r="BJ10" i="2"/>
  <c r="AL31" i="2"/>
  <c r="W31" i="2"/>
  <c r="BD31" i="2"/>
  <c r="R31" i="2"/>
  <c r="AI31" i="2"/>
  <c r="AD41" i="2"/>
  <c r="AF41" i="2"/>
  <c r="AW41" i="2"/>
  <c r="BF41" i="2"/>
  <c r="AB41" i="2"/>
  <c r="BA39" i="2"/>
  <c r="AJ39" i="2"/>
  <c r="S39" i="2"/>
  <c r="BE39" i="2"/>
  <c r="AN39" i="2"/>
  <c r="W39" i="2"/>
  <c r="Y39" i="2"/>
  <c r="AS39" i="2"/>
  <c r="AB39" i="2"/>
  <c r="BF39" i="2"/>
  <c r="AW39" i="2"/>
  <c r="AF39" i="2"/>
  <c r="BJ39" i="2"/>
  <c r="U39" i="2"/>
  <c r="AK39" i="2"/>
  <c r="T39" i="2"/>
  <c r="AX39" i="2"/>
  <c r="AO39" i="2"/>
  <c r="X39" i="2"/>
  <c r="BB39" i="2"/>
  <c r="AY39" i="2"/>
  <c r="AL39" i="2"/>
  <c r="AC39" i="2"/>
  <c r="BG39" i="2"/>
  <c r="AP39" i="2"/>
  <c r="AG39" i="2"/>
  <c r="BK39" i="2"/>
  <c r="AT39" i="2"/>
  <c r="AH39" i="2"/>
  <c r="BC39" i="2"/>
  <c r="BH39" i="2"/>
  <c r="AQ39" i="2"/>
  <c r="Z39" i="2"/>
  <c r="BL39" i="2"/>
  <c r="AU39" i="2"/>
  <c r="AD39" i="2"/>
  <c r="AR39" i="2"/>
  <c r="BM39" i="2"/>
  <c r="AZ39" i="2"/>
  <c r="AI39" i="2"/>
  <c r="R39" i="2"/>
  <c r="BD39" i="2"/>
  <c r="AM39" i="2"/>
  <c r="V39" i="2"/>
  <c r="BI39" i="2"/>
  <c r="AA39" i="2"/>
  <c r="AV39" i="2"/>
  <c r="AE39" i="2"/>
  <c r="U38" i="2"/>
  <c r="AY38" i="2"/>
  <c r="AH38" i="2"/>
  <c r="Y38" i="2"/>
  <c r="BC38" i="2"/>
  <c r="V38" i="2"/>
  <c r="W38" i="2"/>
  <c r="AX38" i="2"/>
  <c r="AG38" i="2"/>
  <c r="BH38" i="2"/>
  <c r="AQ38" i="2"/>
  <c r="Z38" i="2"/>
  <c r="BL38" i="2"/>
  <c r="AU38" i="2"/>
  <c r="BJ38" i="2"/>
  <c r="AO38" i="2"/>
  <c r="BG38" i="2"/>
  <c r="AZ38" i="2"/>
  <c r="AI38" i="2"/>
  <c r="R38" i="2"/>
  <c r="BD38" i="2"/>
  <c r="AM38" i="2"/>
  <c r="BB38" i="2"/>
  <c r="T38" i="2"/>
  <c r="BK38" i="2"/>
  <c r="BI38" i="2"/>
  <c r="AR38" i="2"/>
  <c r="AA38" i="2"/>
  <c r="BM38" i="2"/>
  <c r="AV38" i="2"/>
  <c r="AE38" i="2"/>
  <c r="AN38" i="2"/>
  <c r="AD38" i="2"/>
  <c r="BA38" i="2"/>
  <c r="AJ38" i="2"/>
  <c r="S38" i="2"/>
  <c r="BE38" i="2"/>
  <c r="AP38" i="2"/>
  <c r="AS38" i="2"/>
  <c r="AB38" i="2"/>
  <c r="BF38" i="2"/>
  <c r="AW38" i="2"/>
  <c r="AF38" i="2"/>
  <c r="AT38" i="2"/>
  <c r="AK38" i="2"/>
  <c r="X38" i="2"/>
  <c r="AL38" i="2"/>
  <c r="AC38" i="2"/>
  <c r="AS43" i="2"/>
  <c r="AB43" i="2"/>
  <c r="BF43" i="2"/>
  <c r="AW43" i="2"/>
  <c r="AF43" i="2"/>
  <c r="BJ43" i="2"/>
  <c r="AY43" i="2"/>
  <c r="BC43" i="2"/>
  <c r="AK43" i="2"/>
  <c r="T43" i="2"/>
  <c r="AX43" i="2"/>
  <c r="AO43" i="2"/>
  <c r="X43" i="2"/>
  <c r="BB43" i="2"/>
  <c r="Y43" i="2"/>
  <c r="BE43" i="2"/>
  <c r="AC43" i="2"/>
  <c r="BG43" i="2"/>
  <c r="AP43" i="2"/>
  <c r="AG43" i="2"/>
  <c r="BK43" i="2"/>
  <c r="AT43" i="2"/>
  <c r="U43" i="2"/>
  <c r="AH43" i="2"/>
  <c r="AL43" i="2"/>
  <c r="W43" i="2"/>
  <c r="BH43" i="2"/>
  <c r="AQ43" i="2"/>
  <c r="Z43" i="2"/>
  <c r="BL43" i="2"/>
  <c r="AU43" i="2"/>
  <c r="AD43" i="2"/>
  <c r="AJ43" i="2"/>
  <c r="AZ43" i="2"/>
  <c r="AI43" i="2"/>
  <c r="R43" i="2"/>
  <c r="BD43" i="2"/>
  <c r="AM43" i="2"/>
  <c r="V43" i="2"/>
  <c r="AN43" i="2"/>
  <c r="BI43" i="2"/>
  <c r="AR43" i="2"/>
  <c r="AA43" i="2"/>
  <c r="BM43" i="2"/>
  <c r="AV43" i="2"/>
  <c r="AE43" i="2"/>
  <c r="BA43" i="2"/>
  <c r="S43" i="2"/>
  <c r="R45" i="2"/>
  <c r="BI45" i="2"/>
  <c r="AE45" i="2"/>
  <c r="AZ45" i="2"/>
  <c r="AV45" i="2"/>
  <c r="AT45" i="2"/>
  <c r="BF45" i="2"/>
  <c r="AQ45" i="2"/>
  <c r="BM45" i="2"/>
  <c r="BA45" i="2"/>
  <c r="S45" i="2"/>
  <c r="AM45" i="2"/>
  <c r="AJ45" i="2"/>
  <c r="AF45" i="2"/>
  <c r="AW45" i="2"/>
  <c r="BH45" i="2"/>
  <c r="BE45" i="2"/>
  <c r="AS45" i="2"/>
  <c r="BC45" i="2"/>
  <c r="AA45" i="2"/>
  <c r="W45" i="2"/>
  <c r="T45" i="2"/>
  <c r="AK45" i="2"/>
  <c r="BL45" i="2"/>
  <c r="AX45" i="2"/>
  <c r="AO45" i="2"/>
  <c r="AC45" i="2"/>
  <c r="AD45" i="2"/>
  <c r="AY45" i="2"/>
  <c r="AU45" i="2"/>
  <c r="Z45" i="2"/>
  <c r="BG45" i="2"/>
  <c r="AP45" i="2"/>
  <c r="AG45" i="2"/>
  <c r="U45" i="2"/>
  <c r="BB45" i="2"/>
  <c r="AL45" i="2"/>
  <c r="AI45" i="2"/>
  <c r="BJ45" i="2"/>
  <c r="AH45" i="2"/>
  <c r="Y45" i="2"/>
  <c r="BD45" i="2"/>
  <c r="AN45" i="2"/>
  <c r="X45" i="2"/>
  <c r="V45" i="2"/>
  <c r="AR45" i="2"/>
  <c r="AB45" i="2"/>
  <c r="BK45" i="2"/>
  <c r="D54" i="1" a="1"/>
  <c r="AH54" i="1" s="1"/>
  <c r="Q40" i="2"/>
  <c r="L12" i="5"/>
  <c r="O12" i="5"/>
  <c r="T12" i="5"/>
  <c r="J12" i="5"/>
  <c r="C12" i="5"/>
  <c r="B12" i="5"/>
  <c r="N12" i="5"/>
  <c r="M12" i="5"/>
  <c r="H12" i="5"/>
  <c r="E12" i="5"/>
  <c r="S12" i="5"/>
  <c r="R12" i="5"/>
  <c r="I12" i="5"/>
  <c r="G12" i="5"/>
  <c r="D12" i="5"/>
  <c r="Q12" i="5"/>
  <c r="Q65" i="1"/>
  <c r="AD65" i="1"/>
  <c r="L24" i="5" s="1"/>
  <c r="R65" i="1"/>
  <c r="G24" i="5" s="1"/>
  <c r="L21" i="2" l="1"/>
  <c r="L33" i="2"/>
  <c r="L32" i="2"/>
  <c r="L22" i="2"/>
  <c r="L25" i="2"/>
  <c r="L36" i="2"/>
  <c r="L43" i="2"/>
  <c r="L38" i="2"/>
  <c r="L29" i="2"/>
  <c r="L17" i="2"/>
  <c r="L44" i="2"/>
  <c r="L28" i="2"/>
  <c r="L41" i="2"/>
  <c r="L18" i="2"/>
  <c r="L23" i="2"/>
  <c r="L16" i="2"/>
  <c r="L31" i="2"/>
  <c r="L37" i="2"/>
  <c r="L12" i="2"/>
  <c r="L13" i="2"/>
  <c r="L45" i="2"/>
  <c r="L39" i="2"/>
  <c r="L11" i="2"/>
  <c r="L24" i="2"/>
  <c r="L20" i="2"/>
  <c r="L30" i="2"/>
  <c r="L10" i="2"/>
  <c r="K12" i="2"/>
  <c r="O12" i="2" s="1"/>
  <c r="AX19" i="2"/>
  <c r="AO19" i="2"/>
  <c r="X19" i="2"/>
  <c r="BB19" i="2"/>
  <c r="AK19" i="2"/>
  <c r="T19" i="2"/>
  <c r="AU19" i="2"/>
  <c r="R19" i="2"/>
  <c r="BG19" i="2"/>
  <c r="AP19" i="2"/>
  <c r="AG19" i="2"/>
  <c r="BK19" i="2"/>
  <c r="AT19" i="2"/>
  <c r="AC19" i="2"/>
  <c r="AY19" i="2"/>
  <c r="Z19" i="2"/>
  <c r="BH19" i="2"/>
  <c r="AM19" i="2"/>
  <c r="AH19" i="2"/>
  <c r="Y19" i="2"/>
  <c r="BC19" i="2"/>
  <c r="AL19" i="2"/>
  <c r="U19" i="2"/>
  <c r="AQ19" i="2"/>
  <c r="BL19" i="2"/>
  <c r="AD19" i="2"/>
  <c r="AI19" i="2"/>
  <c r="BD19" i="2"/>
  <c r="AZ19" i="2"/>
  <c r="V19" i="2"/>
  <c r="BE19" i="2"/>
  <c r="AN19" i="2"/>
  <c r="W19" i="2"/>
  <c r="BA19" i="2"/>
  <c r="AJ19" i="2"/>
  <c r="S19" i="2"/>
  <c r="BJ19" i="2"/>
  <c r="BI19" i="2"/>
  <c r="AW19" i="2"/>
  <c r="BF19" i="2"/>
  <c r="AS19" i="2"/>
  <c r="AA19" i="2"/>
  <c r="BM19" i="2"/>
  <c r="AR19" i="2"/>
  <c r="AF19" i="2"/>
  <c r="AE19" i="2"/>
  <c r="AB19" i="2"/>
  <c r="AV19" i="2"/>
  <c r="K13" i="2"/>
  <c r="O13" i="2" s="1"/>
  <c r="AS35" i="2"/>
  <c r="AB35" i="2"/>
  <c r="BF35" i="2"/>
  <c r="AW35" i="2"/>
  <c r="AF35" i="2"/>
  <c r="BJ35" i="2"/>
  <c r="AQ35" i="2"/>
  <c r="AD35" i="2"/>
  <c r="AK35" i="2"/>
  <c r="T35" i="2"/>
  <c r="AX35" i="2"/>
  <c r="AO35" i="2"/>
  <c r="X35" i="2"/>
  <c r="BB35" i="2"/>
  <c r="BL35" i="2"/>
  <c r="AC35" i="2"/>
  <c r="BG35" i="2"/>
  <c r="AP35" i="2"/>
  <c r="AG35" i="2"/>
  <c r="BK35" i="2"/>
  <c r="AT35" i="2"/>
  <c r="BH35" i="2"/>
  <c r="Z35" i="2"/>
  <c r="AU35" i="2"/>
  <c r="AZ35" i="2"/>
  <c r="AI35" i="2"/>
  <c r="BD35" i="2"/>
  <c r="U35" i="2"/>
  <c r="AY35" i="2"/>
  <c r="AH35" i="2"/>
  <c r="Y35" i="2"/>
  <c r="BC35" i="2"/>
  <c r="AL35" i="2"/>
  <c r="R35" i="2"/>
  <c r="BI35" i="2"/>
  <c r="AR35" i="2"/>
  <c r="AA35" i="2"/>
  <c r="BM35" i="2"/>
  <c r="AV35" i="2"/>
  <c r="AE35" i="2"/>
  <c r="AJ35" i="2"/>
  <c r="S35" i="2"/>
  <c r="BE35" i="2"/>
  <c r="AM35" i="2"/>
  <c r="W35" i="2"/>
  <c r="AN35" i="2"/>
  <c r="V35" i="2"/>
  <c r="BA35" i="2"/>
  <c r="AR26" i="2"/>
  <c r="AA26" i="2"/>
  <c r="BM26" i="2"/>
  <c r="AV26" i="2"/>
  <c r="AU26" i="2"/>
  <c r="AM26" i="2"/>
  <c r="BG26" i="2"/>
  <c r="BB26" i="2"/>
  <c r="AJ26" i="2"/>
  <c r="S26" i="2"/>
  <c r="BE26" i="2"/>
  <c r="AN26" i="2"/>
  <c r="AC26" i="2"/>
  <c r="U26" i="2"/>
  <c r="BK26" i="2"/>
  <c r="AB26" i="2"/>
  <c r="BF26" i="2"/>
  <c r="AW26" i="2"/>
  <c r="AF26" i="2"/>
  <c r="AT26" i="2"/>
  <c r="BI26" i="2"/>
  <c r="T26" i="2"/>
  <c r="AG26" i="2"/>
  <c r="BC26" i="2"/>
  <c r="AX26" i="2"/>
  <c r="AO26" i="2"/>
  <c r="X26" i="2"/>
  <c r="W26" i="2"/>
  <c r="AL26" i="2"/>
  <c r="AP26" i="2"/>
  <c r="BH26" i="2"/>
  <c r="AQ26" i="2"/>
  <c r="Z26" i="2"/>
  <c r="BL26" i="2"/>
  <c r="BA26" i="2"/>
  <c r="V26" i="2"/>
  <c r="AY26" i="2"/>
  <c r="AS26" i="2"/>
  <c r="AI26" i="2"/>
  <c r="BJ26" i="2"/>
  <c r="AH26" i="2"/>
  <c r="AK26" i="2"/>
  <c r="Y26" i="2"/>
  <c r="BD26" i="2"/>
  <c r="R26" i="2"/>
  <c r="AE26" i="2"/>
  <c r="AZ26" i="2"/>
  <c r="AD26" i="2"/>
  <c r="X15" i="2"/>
  <c r="AS15" i="2"/>
  <c r="W15" i="2"/>
  <c r="BK15" i="2"/>
  <c r="AY15" i="2"/>
  <c r="R15" i="2"/>
  <c r="BJ15" i="2"/>
  <c r="AI15" i="2"/>
  <c r="BM15" i="2"/>
  <c r="AZ15" i="2"/>
  <c r="AO15" i="2"/>
  <c r="AW15" i="2"/>
  <c r="BB15" i="2"/>
  <c r="AU15" i="2"/>
  <c r="BG15" i="2"/>
  <c r="AC15" i="2"/>
  <c r="BD15" i="2"/>
  <c r="BA15" i="2"/>
  <c r="AM15" i="2"/>
  <c r="AT15" i="2"/>
  <c r="BC15" i="2"/>
  <c r="AJ15" i="2"/>
  <c r="S15" i="2"/>
  <c r="AH15" i="2"/>
  <c r="V15" i="2"/>
  <c r="T15" i="2"/>
  <c r="AL15" i="2"/>
  <c r="AR15" i="2"/>
  <c r="AP15" i="2"/>
  <c r="BH15" i="2"/>
  <c r="BL15" i="2"/>
  <c r="AD15" i="2"/>
  <c r="AE15" i="2"/>
  <c r="AX15" i="2"/>
  <c r="AQ15" i="2"/>
  <c r="Z15" i="2"/>
  <c r="BE15" i="2"/>
  <c r="BI15" i="2"/>
  <c r="AG15" i="2"/>
  <c r="AA15" i="2"/>
  <c r="AV15" i="2"/>
  <c r="U15" i="2"/>
  <c r="BF15" i="2"/>
  <c r="Y15" i="2"/>
  <c r="AB15" i="2"/>
  <c r="AK15" i="2"/>
  <c r="AN15" i="2"/>
  <c r="AF15" i="2"/>
  <c r="BD14" i="2"/>
  <c r="AL14" i="2"/>
  <c r="BK14" i="2"/>
  <c r="BG14" i="2"/>
  <c r="AJ14" i="2"/>
  <c r="AZ14" i="2"/>
  <c r="AA14" i="2"/>
  <c r="AM14" i="2"/>
  <c r="AV14" i="2"/>
  <c r="AD14" i="2"/>
  <c r="T14" i="2"/>
  <c r="AW14" i="2"/>
  <c r="Z14" i="2"/>
  <c r="BC14" i="2"/>
  <c r="AN14" i="2"/>
  <c r="V14" i="2"/>
  <c r="BH14" i="2"/>
  <c r="AK14" i="2"/>
  <c r="AG14" i="2"/>
  <c r="AR14" i="2"/>
  <c r="AF14" i="2"/>
  <c r="BI14" i="2"/>
  <c r="AX14" i="2"/>
  <c r="AH14" i="2"/>
  <c r="X14" i="2"/>
  <c r="AY14" i="2"/>
  <c r="BE14" i="2"/>
  <c r="W14" i="2"/>
  <c r="AP14" i="2"/>
  <c r="AQ14" i="2"/>
  <c r="BB14" i="2"/>
  <c r="AC14" i="2"/>
  <c r="R14" i="2"/>
  <c r="K15" i="2" s="1"/>
  <c r="O15" i="2" s="1"/>
  <c r="BF14" i="2"/>
  <c r="AI14" i="2"/>
  <c r="BA14" i="2"/>
  <c r="AT14" i="2"/>
  <c r="Y14" i="2"/>
  <c r="K14" i="2"/>
  <c r="O14" i="2" s="1"/>
  <c r="AO14" i="2"/>
  <c r="BM14" i="2"/>
  <c r="S14" i="2"/>
  <c r="AE14" i="2"/>
  <c r="AB14" i="2"/>
  <c r="BL14" i="2"/>
  <c r="AU14" i="2"/>
  <c r="BJ14" i="2"/>
  <c r="AS14" i="2"/>
  <c r="U14" i="2"/>
  <c r="Z54" i="1"/>
  <c r="R54" i="1"/>
  <c r="G21" i="5" s="1"/>
  <c r="AM54" i="1"/>
  <c r="O21" i="5" s="1"/>
  <c r="D43" i="5" s="1"/>
  <c r="AO54" i="1"/>
  <c r="AP54" i="1"/>
  <c r="Q21" i="5" s="1"/>
  <c r="AC54" i="1"/>
  <c r="AD54" i="1"/>
  <c r="L21" i="5" s="1"/>
  <c r="AA54" i="1"/>
  <c r="J21" i="5" s="1"/>
  <c r="C43" i="5" s="1"/>
  <c r="Q54" i="1"/>
  <c r="P54" i="1"/>
  <c r="AU54" i="1"/>
  <c r="AJ54" i="1"/>
  <c r="N21" i="5" s="1"/>
  <c r="V54" i="1"/>
  <c r="W54" i="1"/>
  <c r="AG54" i="1"/>
  <c r="M21" i="5" s="1"/>
  <c r="AB54" i="1"/>
  <c r="U54" i="1"/>
  <c r="H21" i="5" s="1"/>
  <c r="O54" i="1"/>
  <c r="E21" i="5" s="1"/>
  <c r="B43" i="5" s="1"/>
  <c r="I54" i="1"/>
  <c r="C21" i="5" s="1"/>
  <c r="AY54" i="1"/>
  <c r="T21" i="5" s="1"/>
  <c r="E43" i="5" s="1"/>
  <c r="X54" i="1"/>
  <c r="I21" i="5" s="1"/>
  <c r="AW54" i="1"/>
  <c r="AR54" i="1"/>
  <c r="AK54" i="1"/>
  <c r="AL54" i="1"/>
  <c r="T54" i="1"/>
  <c r="N54" i="1"/>
  <c r="AV54" i="1"/>
  <c r="S21" i="5" s="1"/>
  <c r="D54" i="1"/>
  <c r="B21" i="5" s="1"/>
  <c r="BA40" i="2"/>
  <c r="AJ40" i="2"/>
  <c r="S40" i="2"/>
  <c r="BE40" i="2"/>
  <c r="AN40" i="2"/>
  <c r="W40" i="2"/>
  <c r="R40" i="2"/>
  <c r="AA40" i="2"/>
  <c r="AS40" i="2"/>
  <c r="AB40" i="2"/>
  <c r="BF40" i="2"/>
  <c r="AW40" i="2"/>
  <c r="AF40" i="2"/>
  <c r="BJ40" i="2"/>
  <c r="AI40" i="2"/>
  <c r="AE40" i="2"/>
  <c r="AK40" i="2"/>
  <c r="T40" i="2"/>
  <c r="AX40" i="2"/>
  <c r="AO40" i="2"/>
  <c r="X40" i="2"/>
  <c r="BB40" i="2"/>
  <c r="AM40" i="2"/>
  <c r="BI40" i="2"/>
  <c r="AC40" i="2"/>
  <c r="BG40" i="2"/>
  <c r="AP40" i="2"/>
  <c r="AG40" i="2"/>
  <c r="BK40" i="2"/>
  <c r="AT40" i="2"/>
  <c r="AL40" i="2"/>
  <c r="AV40" i="2"/>
  <c r="U40" i="2"/>
  <c r="AY40" i="2"/>
  <c r="AH40" i="2"/>
  <c r="Y40" i="2"/>
  <c r="BC40" i="2"/>
  <c r="AD40" i="2"/>
  <c r="BD40" i="2"/>
  <c r="AR40" i="2"/>
  <c r="BH40" i="2"/>
  <c r="AQ40" i="2"/>
  <c r="Z40" i="2"/>
  <c r="BL40" i="2"/>
  <c r="AU40" i="2"/>
  <c r="V40" i="2"/>
  <c r="AZ40" i="2"/>
  <c r="BM40" i="2"/>
  <c r="K54" i="1"/>
  <c r="J54" i="1"/>
  <c r="AF54" i="1"/>
  <c r="AE54" i="1"/>
  <c r="AS54" i="1"/>
  <c r="R21" i="5" s="1"/>
  <c r="M54" i="1"/>
  <c r="S54" i="1"/>
  <c r="H54" i="1"/>
  <c r="E54" i="1"/>
  <c r="F54" i="1"/>
  <c r="G54" i="1"/>
  <c r="AX54" i="1"/>
  <c r="Y54" i="1"/>
  <c r="L54" i="1"/>
  <c r="D21" i="5" s="1"/>
  <c r="AQ54" i="1"/>
  <c r="AI54" i="1"/>
  <c r="AN54" i="1"/>
  <c r="AT54" i="1"/>
  <c r="D34" i="5"/>
  <c r="C34" i="5"/>
  <c r="E34" i="5"/>
  <c r="B34" i="5"/>
  <c r="I65" i="1"/>
  <c r="C24" i="5" s="1"/>
  <c r="AE65" i="1"/>
  <c r="J65" i="1"/>
  <c r="H65" i="1"/>
  <c r="S65" i="1"/>
  <c r="K65" i="1"/>
  <c r="L35" i="2" l="1"/>
  <c r="L19" i="2"/>
  <c r="L15" i="2"/>
  <c r="L40" i="2"/>
  <c r="L26" i="2"/>
  <c r="L14" i="2"/>
  <c r="K48" i="2"/>
  <c r="O48" i="2" s="1"/>
  <c r="K18" i="2"/>
  <c r="O18" i="2" s="1"/>
  <c r="K26" i="2"/>
  <c r="O26" i="2" s="1"/>
  <c r="K19" i="2"/>
  <c r="O19" i="2" s="1"/>
  <c r="K29" i="2"/>
  <c r="O29" i="2" s="1"/>
  <c r="K33" i="2"/>
  <c r="O33" i="2" s="1"/>
  <c r="K47" i="2"/>
  <c r="O47" i="2" s="1"/>
  <c r="K55" i="2"/>
  <c r="O55" i="2" s="1"/>
  <c r="K34" i="2"/>
  <c r="O34" i="2" s="1"/>
  <c r="K31" i="2"/>
  <c r="O31" i="2" s="1"/>
  <c r="K39" i="2"/>
  <c r="O39" i="2" s="1"/>
  <c r="K24" i="2"/>
  <c r="O24" i="2" s="1"/>
  <c r="K22" i="2"/>
  <c r="O22" i="2" s="1"/>
  <c r="K21" i="2"/>
  <c r="O21" i="2" s="1"/>
  <c r="K23" i="2"/>
  <c r="O23" i="2" s="1"/>
  <c r="K40" i="2"/>
  <c r="O40" i="2" s="1"/>
  <c r="K25" i="2"/>
  <c r="O25" i="2" s="1"/>
  <c r="K44" i="2"/>
  <c r="O44" i="2" s="1"/>
  <c r="K20" i="2"/>
  <c r="O20" i="2" s="1"/>
  <c r="K28" i="2"/>
  <c r="O28" i="2" s="1"/>
  <c r="K37" i="2"/>
  <c r="O37" i="2" s="1"/>
  <c r="K36" i="2"/>
  <c r="O36" i="2" s="1"/>
  <c r="K38" i="2"/>
  <c r="O38" i="2" s="1"/>
  <c r="K51" i="2"/>
  <c r="O51" i="2" s="1"/>
  <c r="K52" i="2"/>
  <c r="O52" i="2" s="1"/>
  <c r="K17" i="2"/>
  <c r="O17" i="2" s="1"/>
  <c r="K35" i="2"/>
  <c r="O35" i="2" s="1"/>
  <c r="K54" i="2"/>
  <c r="O54" i="2" s="1"/>
  <c r="K16" i="2"/>
  <c r="O16" i="2" s="1"/>
  <c r="K32" i="2"/>
  <c r="O32" i="2" s="1"/>
  <c r="K49" i="2"/>
  <c r="O49" i="2" s="1"/>
  <c r="K42" i="2"/>
  <c r="O42" i="2" s="1"/>
  <c r="K50" i="2"/>
  <c r="O50" i="2" s="1"/>
  <c r="K41" i="2"/>
  <c r="O41" i="2" s="1"/>
  <c r="K56" i="2"/>
  <c r="O56" i="2" s="1"/>
  <c r="K57" i="2"/>
  <c r="O57" i="2" s="1"/>
  <c r="K43" i="2"/>
  <c r="O43" i="2" s="1"/>
  <c r="O45" i="2"/>
  <c r="K53" i="2"/>
  <c r="O53" i="2" s="1"/>
  <c r="K46" i="2"/>
  <c r="O46" i="2" s="1"/>
  <c r="K27" i="2"/>
  <c r="O27" i="2" s="1"/>
  <c r="K30" i="2"/>
  <c r="O30" i="2" s="1"/>
  <c r="AF65" i="1"/>
  <c r="T65" i="1"/>
  <c r="L65" i="1"/>
  <c r="D24" i="5" s="1"/>
  <c r="D50" i="1" l="1" a="1"/>
  <c r="D50" i="1" s="1"/>
  <c r="AG65" i="1"/>
  <c r="M24" i="5" s="1"/>
  <c r="M65" i="1"/>
  <c r="U65" i="1"/>
  <c r="H24" i="5" s="1"/>
  <c r="D18" i="1" l="1"/>
  <c r="D21" i="1"/>
  <c r="AT50" i="1"/>
  <c r="AT9" i="1" s="1"/>
  <c r="AT13" i="1" s="1"/>
  <c r="AF50" i="1"/>
  <c r="AF18" i="1" s="1"/>
  <c r="F50" i="1"/>
  <c r="F10" i="1" s="1"/>
  <c r="AK50" i="1"/>
  <c r="AK22" i="1" s="1"/>
  <c r="T50" i="1"/>
  <c r="T9" i="1" s="1"/>
  <c r="T13" i="1" s="1"/>
  <c r="AL50" i="1"/>
  <c r="AL19" i="1" s="1"/>
  <c r="Z50" i="1"/>
  <c r="Z9" i="1" s="1"/>
  <c r="Z13" i="1" s="1"/>
  <c r="AM50" i="1"/>
  <c r="AM10" i="1" s="1"/>
  <c r="K50" i="1"/>
  <c r="K18" i="1" s="1"/>
  <c r="H50" i="1"/>
  <c r="H10" i="1" s="1"/>
  <c r="P50" i="1"/>
  <c r="P19" i="1" s="1"/>
  <c r="AH50" i="1"/>
  <c r="AH9" i="1" s="1"/>
  <c r="AH13" i="1" s="1"/>
  <c r="Y50" i="1"/>
  <c r="Y22" i="1" s="1"/>
  <c r="AY50" i="1"/>
  <c r="AY21" i="1" s="1"/>
  <c r="AG50" i="1"/>
  <c r="AG22" i="1" s="1"/>
  <c r="AR50" i="1"/>
  <c r="AR20" i="1" s="1"/>
  <c r="D22" i="1"/>
  <c r="AE50" i="1"/>
  <c r="AE22" i="1" s="1"/>
  <c r="N50" i="1"/>
  <c r="N22" i="1" s="1"/>
  <c r="AD50" i="1"/>
  <c r="AD18" i="1" s="1"/>
  <c r="AS50" i="1"/>
  <c r="AS22" i="1" s="1"/>
  <c r="D51" i="1"/>
  <c r="D14" i="1" s="1"/>
  <c r="I50" i="1"/>
  <c r="I21" i="1" s="1"/>
  <c r="AQ50" i="1"/>
  <c r="AQ21" i="1" s="1"/>
  <c r="AO50" i="1"/>
  <c r="AO10" i="1" s="1"/>
  <c r="G50" i="1"/>
  <c r="G20" i="1" s="1"/>
  <c r="E50" i="1"/>
  <c r="E51" i="1" s="1"/>
  <c r="E14" i="1" s="1"/>
  <c r="O50" i="1"/>
  <c r="O21" i="1" s="1"/>
  <c r="AI50" i="1"/>
  <c r="AI22" i="1" s="1"/>
  <c r="AU50" i="1"/>
  <c r="AU51" i="1" s="1"/>
  <c r="AU11" i="1" s="1"/>
  <c r="M50" i="1"/>
  <c r="M9" i="1" s="1"/>
  <c r="M13" i="1" s="1"/>
  <c r="D9" i="1"/>
  <c r="D13" i="1" s="1"/>
  <c r="AW50" i="1"/>
  <c r="AW9" i="1" s="1"/>
  <c r="AW13" i="1" s="1"/>
  <c r="AC50" i="1"/>
  <c r="AC18" i="1" s="1"/>
  <c r="AN50" i="1"/>
  <c r="AN21" i="1" s="1"/>
  <c r="V50" i="1"/>
  <c r="V19" i="1" s="1"/>
  <c r="D19" i="1"/>
  <c r="AJ50" i="1"/>
  <c r="AJ20" i="1" s="1"/>
  <c r="J50" i="1"/>
  <c r="J10" i="1" s="1"/>
  <c r="D10" i="1"/>
  <c r="AV50" i="1"/>
  <c r="AV18" i="1" s="1"/>
  <c r="AX50" i="1"/>
  <c r="AX22" i="1" s="1"/>
  <c r="AP50" i="1"/>
  <c r="AP21" i="1" s="1"/>
  <c r="L50" i="1"/>
  <c r="L18" i="1" s="1"/>
  <c r="D20" i="1"/>
  <c r="S50" i="1"/>
  <c r="S20" i="1" s="1"/>
  <c r="U50" i="1"/>
  <c r="U19" i="1" s="1"/>
  <c r="Q50" i="1"/>
  <c r="Q10" i="1" s="1"/>
  <c r="X50" i="1"/>
  <c r="X22" i="1" s="1"/>
  <c r="W50" i="1"/>
  <c r="W9" i="1" s="1"/>
  <c r="W13" i="1" s="1"/>
  <c r="AB50" i="1"/>
  <c r="AB18" i="1" s="1"/>
  <c r="AA50" i="1"/>
  <c r="AA10" i="1" s="1"/>
  <c r="R50" i="1"/>
  <c r="R20" i="1" s="1"/>
  <c r="AH65" i="1"/>
  <c r="V65" i="1"/>
  <c r="N65" i="1"/>
  <c r="V21" i="1" l="1"/>
  <c r="AD20" i="1"/>
  <c r="AH51" i="1"/>
  <c r="AH11" i="1" s="1"/>
  <c r="O10" i="1"/>
  <c r="O9" i="1"/>
  <c r="O13" i="1" s="1"/>
  <c r="AH19" i="1"/>
  <c r="AK10" i="1"/>
  <c r="AU9" i="1"/>
  <c r="AU13" i="1" s="1"/>
  <c r="V20" i="1"/>
  <c r="AD10" i="1"/>
  <c r="AK19" i="1"/>
  <c r="AY19" i="1"/>
  <c r="B19" i="5"/>
  <c r="F20" i="1"/>
  <c r="AU19" i="1"/>
  <c r="AY10" i="1"/>
  <c r="AJ51" i="1"/>
  <c r="AJ23" i="1" s="1"/>
  <c r="AY51" i="1"/>
  <c r="AY17" i="1" s="1"/>
  <c r="AY9" i="1"/>
  <c r="AY13" i="1" s="1"/>
  <c r="AJ18" i="1"/>
  <c r="AY22" i="1"/>
  <c r="AJ19" i="1"/>
  <c r="S21" i="1"/>
  <c r="AL10" i="1"/>
  <c r="AJ9" i="1"/>
  <c r="AJ13" i="1" s="1"/>
  <c r="AJ10" i="1"/>
  <c r="AY20" i="1"/>
  <c r="AL20" i="1"/>
  <c r="AL18" i="1"/>
  <c r="D23" i="1"/>
  <c r="AU10" i="1"/>
  <c r="AJ21" i="1"/>
  <c r="AJ22" i="1"/>
  <c r="AU23" i="1"/>
  <c r="AL9" i="1"/>
  <c r="AL13" i="1" s="1"/>
  <c r="AL22" i="1"/>
  <c r="AU21" i="1"/>
  <c r="AU22" i="1"/>
  <c r="D11" i="1"/>
  <c r="D12" i="1" s="1"/>
  <c r="D15" i="1" s="1"/>
  <c r="AU18" i="1"/>
  <c r="AU20" i="1"/>
  <c r="AY18" i="1"/>
  <c r="S9" i="1"/>
  <c r="S13" i="1" s="1"/>
  <c r="AL51" i="1"/>
  <c r="AL14" i="1" s="1"/>
  <c r="D17" i="1"/>
  <c r="AF10" i="1"/>
  <c r="AL21" i="1"/>
  <c r="AD22" i="1"/>
  <c r="AA20" i="1"/>
  <c r="AD51" i="1"/>
  <c r="AD11" i="1" s="1"/>
  <c r="AK51" i="1"/>
  <c r="AK14" i="1" s="1"/>
  <c r="AH18" i="1"/>
  <c r="AK20" i="1"/>
  <c r="S19" i="1"/>
  <c r="L20" i="1"/>
  <c r="AD19" i="1"/>
  <c r="AK18" i="1"/>
  <c r="AA19" i="1"/>
  <c r="AH10" i="1"/>
  <c r="AH12" i="1" s="1"/>
  <c r="AD9" i="1"/>
  <c r="AD13" i="1" s="1"/>
  <c r="L21" i="1"/>
  <c r="AH21" i="1"/>
  <c r="AH20" i="1"/>
  <c r="AD21" i="1"/>
  <c r="V9" i="1"/>
  <c r="V13" i="1" s="1"/>
  <c r="AH22" i="1"/>
  <c r="AK21" i="1"/>
  <c r="AK9" i="1"/>
  <c r="AK13" i="1" s="1"/>
  <c r="L10" i="1"/>
  <c r="O19" i="1"/>
  <c r="L19" i="1"/>
  <c r="O20" i="1"/>
  <c r="AS20" i="1"/>
  <c r="O18" i="1"/>
  <c r="S18" i="1"/>
  <c r="AT51" i="1"/>
  <c r="AT23" i="1" s="1"/>
  <c r="Q22" i="1"/>
  <c r="Y9" i="1"/>
  <c r="Y13" i="1" s="1"/>
  <c r="AS51" i="1"/>
  <c r="AS17" i="1" s="1"/>
  <c r="L9" i="1"/>
  <c r="L13" i="1" s="1"/>
  <c r="L22" i="1"/>
  <c r="AA21" i="1"/>
  <c r="V18" i="1"/>
  <c r="AA9" i="1"/>
  <c r="AA13" i="1" s="1"/>
  <c r="AT10" i="1"/>
  <c r="F22" i="1"/>
  <c r="N21" i="1"/>
  <c r="AA18" i="1"/>
  <c r="O22" i="1"/>
  <c r="AI19" i="1"/>
  <c r="AP10" i="1"/>
  <c r="AB19" i="1"/>
  <c r="K22" i="1"/>
  <c r="P22" i="1"/>
  <c r="AM9" i="1"/>
  <c r="AM13" i="1" s="1"/>
  <c r="AT19" i="1"/>
  <c r="T22" i="1"/>
  <c r="AO51" i="1"/>
  <c r="AO23" i="1" s="1"/>
  <c r="AI20" i="1"/>
  <c r="AP51" i="1"/>
  <c r="AP17" i="1" s="1"/>
  <c r="AS10" i="1"/>
  <c r="AB51" i="1"/>
  <c r="AB17" i="1" s="1"/>
  <c r="AN9" i="1"/>
  <c r="AN13" i="1" s="1"/>
  <c r="P20" i="1"/>
  <c r="AP22" i="1"/>
  <c r="E10" i="1"/>
  <c r="AB21" i="1"/>
  <c r="AN10" i="1"/>
  <c r="AP9" i="1"/>
  <c r="AP13" i="1" s="1"/>
  <c r="P18" i="1"/>
  <c r="AP19" i="1"/>
  <c r="AB22" i="1"/>
  <c r="E20" i="1"/>
  <c r="F9" i="1"/>
  <c r="F13" i="1" s="1"/>
  <c r="N9" i="1"/>
  <c r="N13" i="1" s="1"/>
  <c r="AB20" i="1"/>
  <c r="AB10" i="1"/>
  <c r="F21" i="1"/>
  <c r="P21" i="1"/>
  <c r="E21" i="1"/>
  <c r="E9" i="1"/>
  <c r="E13" i="1" s="1"/>
  <c r="P10" i="1"/>
  <c r="F51" i="1"/>
  <c r="F11" i="1" s="1"/>
  <c r="AX10" i="1"/>
  <c r="AP18" i="1"/>
  <c r="N19" i="1"/>
  <c r="AN18" i="1"/>
  <c r="E22" i="1"/>
  <c r="AN51" i="1"/>
  <c r="AN17" i="1" s="1"/>
  <c r="H51" i="1"/>
  <c r="H14" i="1" s="1"/>
  <c r="AN19" i="1"/>
  <c r="N20" i="1"/>
  <c r="AN20" i="1"/>
  <c r="AV20" i="1"/>
  <c r="F19" i="1"/>
  <c r="P9" i="1"/>
  <c r="P13" i="1" s="1"/>
  <c r="F18" i="1"/>
  <c r="AP20" i="1"/>
  <c r="N18" i="1"/>
  <c r="N10" i="1"/>
  <c r="AN22" i="1"/>
  <c r="AB9" i="1"/>
  <c r="AB13" i="1" s="1"/>
  <c r="T10" i="1"/>
  <c r="K10" i="1"/>
  <c r="AE9" i="1"/>
  <c r="AE13" i="1" s="1"/>
  <c r="K20" i="1"/>
  <c r="Q18" i="1"/>
  <c r="H9" i="1"/>
  <c r="H13" i="1" s="1"/>
  <c r="Y19" i="1"/>
  <c r="AQ20" i="1"/>
  <c r="AC10" i="1"/>
  <c r="AM51" i="1"/>
  <c r="AM14" i="1" s="1"/>
  <c r="AX9" i="1"/>
  <c r="AX13" i="1" s="1"/>
  <c r="H18" i="1"/>
  <c r="AS9" i="1"/>
  <c r="AS13" i="1" s="1"/>
  <c r="AS18" i="1"/>
  <c r="M19" i="1"/>
  <c r="W20" i="1"/>
  <c r="R22" i="1"/>
  <c r="X10" i="1"/>
  <c r="Z21" i="1"/>
  <c r="H19" i="1"/>
  <c r="AF51" i="1"/>
  <c r="AF14" i="1" s="1"/>
  <c r="L19" i="5"/>
  <c r="AT22" i="1"/>
  <c r="AV19" i="1"/>
  <c r="K19" i="1"/>
  <c r="AO21" i="1"/>
  <c r="I19" i="5"/>
  <c r="AF9" i="1"/>
  <c r="AF13" i="1" s="1"/>
  <c r="H22" i="1"/>
  <c r="H20" i="1"/>
  <c r="AF21" i="1"/>
  <c r="AX51" i="1"/>
  <c r="AX17" i="1" s="1"/>
  <c r="H21" i="1"/>
  <c r="AO20" i="1"/>
  <c r="X20" i="1"/>
  <c r="AE21" i="1"/>
  <c r="J51" i="1"/>
  <c r="J23" i="1" s="1"/>
  <c r="AF20" i="1"/>
  <c r="AT21" i="1"/>
  <c r="M18" i="1"/>
  <c r="D19" i="5"/>
  <c r="AF22" i="1"/>
  <c r="AW51" i="1"/>
  <c r="AW17" i="1" s="1"/>
  <c r="AV22" i="1"/>
  <c r="AX21" i="1"/>
  <c r="X18" i="1"/>
  <c r="AO18" i="1"/>
  <c r="J19" i="1"/>
  <c r="AF19" i="1"/>
  <c r="AW22" i="1"/>
  <c r="AX18" i="1"/>
  <c r="AW19" i="1"/>
  <c r="AC51" i="1"/>
  <c r="AC11" i="1" s="1"/>
  <c r="W10" i="1"/>
  <c r="E19" i="5"/>
  <c r="AT20" i="1"/>
  <c r="J20" i="1"/>
  <c r="AE18" i="1"/>
  <c r="X21" i="1"/>
  <c r="AM19" i="1"/>
  <c r="AR22" i="1"/>
  <c r="Y18" i="1"/>
  <c r="C19" i="5"/>
  <c r="Z20" i="1"/>
  <c r="Y20" i="1"/>
  <c r="J19" i="5"/>
  <c r="AG19" i="1"/>
  <c r="AQ19" i="1"/>
  <c r="AG20" i="1"/>
  <c r="T21" i="1"/>
  <c r="AM20" i="1"/>
  <c r="Q21" i="1"/>
  <c r="O19" i="5"/>
  <c r="AQ51" i="1"/>
  <c r="AQ17" i="1" s="1"/>
  <c r="AQ10" i="1"/>
  <c r="R18" i="1"/>
  <c r="Z19" i="1"/>
  <c r="J22" i="1"/>
  <c r="Y10" i="1"/>
  <c r="N19" i="5"/>
  <c r="Z10" i="1"/>
  <c r="AR10" i="1"/>
  <c r="AI10" i="1"/>
  <c r="R9" i="1"/>
  <c r="R13" i="1" s="1"/>
  <c r="R19" i="1"/>
  <c r="AR9" i="1"/>
  <c r="AR13" i="1" s="1"/>
  <c r="AS21" i="1"/>
  <c r="R19" i="5"/>
  <c r="AG51" i="1"/>
  <c r="AG14" i="1" s="1"/>
  <c r="T19" i="1"/>
  <c r="U18" i="1"/>
  <c r="AG18" i="1"/>
  <c r="G19" i="5"/>
  <c r="AR19" i="1"/>
  <c r="AQ22" i="1"/>
  <c r="T20" i="1"/>
  <c r="AS19" i="1"/>
  <c r="Y21" i="1"/>
  <c r="Z22" i="1"/>
  <c r="M10" i="1"/>
  <c r="AR51" i="1"/>
  <c r="AR17" i="1" s="1"/>
  <c r="I20" i="1"/>
  <c r="AG9" i="1"/>
  <c r="AG13" i="1" s="1"/>
  <c r="AM21" i="1"/>
  <c r="AU14" i="1"/>
  <c r="AU17" i="1"/>
  <c r="AV10" i="1"/>
  <c r="AX20" i="1"/>
  <c r="S19" i="5"/>
  <c r="AG21" i="1"/>
  <c r="AT18" i="1"/>
  <c r="K9" i="1"/>
  <c r="K13" i="1" s="1"/>
  <c r="AW21" i="1"/>
  <c r="U22" i="1"/>
  <c r="U9" i="1"/>
  <c r="U13" i="1" s="1"/>
  <c r="AO22" i="1"/>
  <c r="AE10" i="1"/>
  <c r="X19" i="1"/>
  <c r="AO19" i="1"/>
  <c r="AE20" i="1"/>
  <c r="W21" i="1"/>
  <c r="R21" i="1"/>
  <c r="S22" i="1"/>
  <c r="S10" i="1"/>
  <c r="AO9" i="1"/>
  <c r="AO13" i="1" s="1"/>
  <c r="AW18" i="1"/>
  <c r="W19" i="1"/>
  <c r="AE19" i="1"/>
  <c r="AI21" i="1"/>
  <c r="AI18" i="1"/>
  <c r="AI51" i="1"/>
  <c r="I9" i="1"/>
  <c r="I13" i="1" s="1"/>
  <c r="J21" i="1"/>
  <c r="J9" i="1"/>
  <c r="J13" i="1" s="1"/>
  <c r="I10" i="1"/>
  <c r="AV21" i="1"/>
  <c r="T19" i="5"/>
  <c r="AX19" i="1"/>
  <c r="M20" i="1"/>
  <c r="Q19" i="5"/>
  <c r="AW10" i="1"/>
  <c r="AG10" i="1"/>
  <c r="M22" i="1"/>
  <c r="AM22" i="1"/>
  <c r="Q19" i="1"/>
  <c r="G21" i="1"/>
  <c r="AQ9" i="1"/>
  <c r="AQ13" i="1" s="1"/>
  <c r="G10" i="1"/>
  <c r="AQ18" i="1"/>
  <c r="G51" i="1"/>
  <c r="G23" i="1" s="1"/>
  <c r="G19" i="1"/>
  <c r="V10" i="1"/>
  <c r="V22" i="1"/>
  <c r="H19" i="5"/>
  <c r="M21" i="1"/>
  <c r="J18" i="1"/>
  <c r="AV9" i="1"/>
  <c r="AV13" i="1" s="1"/>
  <c r="M19" i="5"/>
  <c r="AV51" i="1"/>
  <c r="AV17" i="1" s="1"/>
  <c r="K21" i="1"/>
  <c r="AR21" i="1"/>
  <c r="I18" i="1"/>
  <c r="AW20" i="1"/>
  <c r="AI9" i="1"/>
  <c r="AI13" i="1" s="1"/>
  <c r="AM18" i="1"/>
  <c r="U21" i="1"/>
  <c r="Q20" i="1"/>
  <c r="T18" i="1"/>
  <c r="G22" i="1"/>
  <c r="AR18" i="1"/>
  <c r="X9" i="1"/>
  <c r="X13" i="1" s="1"/>
  <c r="AE51" i="1"/>
  <c r="AE17" i="1" s="1"/>
  <c r="Q9" i="1"/>
  <c r="Q13" i="1" s="1"/>
  <c r="W18" i="1"/>
  <c r="R10" i="1"/>
  <c r="AA22" i="1"/>
  <c r="E18" i="1"/>
  <c r="E19" i="1"/>
  <c r="AC22" i="1"/>
  <c r="AC21" i="1"/>
  <c r="AC20" i="1"/>
  <c r="G9" i="1"/>
  <c r="G13" i="1" s="1"/>
  <c r="G18" i="1"/>
  <c r="U10" i="1"/>
  <c r="Z18" i="1"/>
  <c r="I19" i="1"/>
  <c r="U20" i="1"/>
  <c r="I22" i="1"/>
  <c r="W22" i="1"/>
  <c r="I51" i="1"/>
  <c r="I14" i="1" s="1"/>
  <c r="AC19" i="1"/>
  <c r="AC9" i="1"/>
  <c r="AC13" i="1" s="1"/>
  <c r="E17" i="1"/>
  <c r="E23" i="1"/>
  <c r="E11" i="1"/>
  <c r="AD23" i="1"/>
  <c r="AH17" i="1"/>
  <c r="AH23" i="1"/>
  <c r="AD14" i="1"/>
  <c r="AI65" i="1"/>
  <c r="W65" i="1"/>
  <c r="O65" i="1"/>
  <c r="E24" i="5" s="1"/>
  <c r="B46" i="5" s="1"/>
  <c r="K51" i="1"/>
  <c r="AY11" i="1" l="1"/>
  <c r="AY14" i="1"/>
  <c r="AY23" i="1"/>
  <c r="AY24" i="1" s="1"/>
  <c r="AD17" i="1"/>
  <c r="AD24" i="1" s="1"/>
  <c r="AH14" i="1"/>
  <c r="AH15" i="1" s="1"/>
  <c r="AO14" i="1"/>
  <c r="AK23" i="1"/>
  <c r="AJ14" i="1"/>
  <c r="AL17" i="1"/>
  <c r="AU12" i="1"/>
  <c r="AU15" i="1" s="1"/>
  <c r="AU43" i="1" s="1"/>
  <c r="AJ11" i="1"/>
  <c r="AJ12" i="1" s="1"/>
  <c r="AK11" i="1"/>
  <c r="AK12" i="1" s="1"/>
  <c r="AK15" i="1" s="1"/>
  <c r="AK43" i="1" s="1"/>
  <c r="D24" i="1"/>
  <c r="D26" i="1" s="1"/>
  <c r="AJ17" i="1"/>
  <c r="AJ24" i="1" s="1"/>
  <c r="AK17" i="1"/>
  <c r="AY12" i="1"/>
  <c r="AL23" i="1"/>
  <c r="AL11" i="1"/>
  <c r="AL12" i="1" s="1"/>
  <c r="AL15" i="1" s="1"/>
  <c r="AL43" i="1" s="1"/>
  <c r="AU24" i="1"/>
  <c r="AT14" i="1"/>
  <c r="AT17" i="1"/>
  <c r="AT24" i="1" s="1"/>
  <c r="AP23" i="1"/>
  <c r="AP24" i="1" s="1"/>
  <c r="AD12" i="1"/>
  <c r="AD15" i="1" s="1"/>
  <c r="AD43" i="1" s="1"/>
  <c r="AD44" i="1" s="1"/>
  <c r="AT11" i="1"/>
  <c r="AT12" i="1" s="1"/>
  <c r="AM11" i="1"/>
  <c r="AM12" i="1" s="1"/>
  <c r="AM15" i="1" s="1"/>
  <c r="AM43" i="1" s="1"/>
  <c r="AM17" i="1"/>
  <c r="AS11" i="1"/>
  <c r="AS12" i="1" s="1"/>
  <c r="AS23" i="1"/>
  <c r="AS24" i="1" s="1"/>
  <c r="AS14" i="1"/>
  <c r="AC17" i="1"/>
  <c r="G14" i="1"/>
  <c r="J14" i="1"/>
  <c r="H23" i="1"/>
  <c r="J11" i="1"/>
  <c r="J12" i="1" s="1"/>
  <c r="F17" i="1"/>
  <c r="AW11" i="1"/>
  <c r="AW12" i="1" s="1"/>
  <c r="AC14" i="1"/>
  <c r="F14" i="1"/>
  <c r="AN11" i="1"/>
  <c r="AN12" i="1" s="1"/>
  <c r="AC23" i="1"/>
  <c r="AF11" i="1"/>
  <c r="AF12" i="1" s="1"/>
  <c r="AF15" i="1" s="1"/>
  <c r="AF43" i="1" s="1"/>
  <c r="AF44" i="1" s="1"/>
  <c r="F23" i="1"/>
  <c r="AF23" i="1"/>
  <c r="J17" i="1"/>
  <c r="J24" i="1" s="1"/>
  <c r="AN23" i="1"/>
  <c r="AN24" i="1" s="1"/>
  <c r="AF17" i="1"/>
  <c r="AN14" i="1"/>
  <c r="AW14" i="1"/>
  <c r="AO11" i="1"/>
  <c r="AO12" i="1" s="1"/>
  <c r="AQ14" i="1"/>
  <c r="AG23" i="1"/>
  <c r="AP14" i="1"/>
  <c r="AG17" i="1"/>
  <c r="AO17" i="1"/>
  <c r="AO24" i="1" s="1"/>
  <c r="AB14" i="1"/>
  <c r="AB11" i="1"/>
  <c r="AB12" i="1" s="1"/>
  <c r="AP11" i="1"/>
  <c r="AP12" i="1" s="1"/>
  <c r="H11" i="1"/>
  <c r="H12" i="1" s="1"/>
  <c r="H15" i="1" s="1"/>
  <c r="H43" i="1" s="1"/>
  <c r="H44" i="1" s="1"/>
  <c r="AB23" i="1"/>
  <c r="AB24" i="1" s="1"/>
  <c r="AW23" i="1"/>
  <c r="AW24" i="1" s="1"/>
  <c r="F12" i="1"/>
  <c r="AG11" i="1"/>
  <c r="AG12" i="1" s="1"/>
  <c r="AG15" i="1" s="1"/>
  <c r="AG43" i="1" s="1"/>
  <c r="AG44" i="1" s="1"/>
  <c r="AQ23" i="1"/>
  <c r="AQ24" i="1" s="1"/>
  <c r="E12" i="1"/>
  <c r="E15" i="1" s="1"/>
  <c r="E43" i="1" s="1"/>
  <c r="E44" i="1" s="1"/>
  <c r="H17" i="1"/>
  <c r="AE14" i="1"/>
  <c r="AX11" i="1"/>
  <c r="AX12" i="1" s="1"/>
  <c r="AM23" i="1"/>
  <c r="AR11" i="1"/>
  <c r="AR12" i="1" s="1"/>
  <c r="AX23" i="1"/>
  <c r="AX24" i="1" s="1"/>
  <c r="AX14" i="1"/>
  <c r="D41" i="5"/>
  <c r="E41" i="5"/>
  <c r="B41" i="5"/>
  <c r="AR14" i="1"/>
  <c r="C41" i="5"/>
  <c r="AR23" i="1"/>
  <c r="AR24" i="1" s="1"/>
  <c r="AC12" i="1"/>
  <c r="G11" i="1"/>
  <c r="G12" i="1" s="1"/>
  <c r="AQ11" i="1"/>
  <c r="AQ12" i="1" s="1"/>
  <c r="I23" i="1"/>
  <c r="G17" i="1"/>
  <c r="G24" i="1" s="1"/>
  <c r="AV23" i="1"/>
  <c r="AV24" i="1" s="1"/>
  <c r="E24" i="1"/>
  <c r="AV14" i="1"/>
  <c r="AV11" i="1"/>
  <c r="AV12" i="1" s="1"/>
  <c r="I11" i="1"/>
  <c r="I12" i="1" s="1"/>
  <c r="I15" i="1" s="1"/>
  <c r="I43" i="1" s="1"/>
  <c r="I44" i="1" s="1"/>
  <c r="AE11" i="1"/>
  <c r="AE12" i="1" s="1"/>
  <c r="I17" i="1"/>
  <c r="AE23" i="1"/>
  <c r="AE24" i="1" s="1"/>
  <c r="AI23" i="1"/>
  <c r="AI11" i="1"/>
  <c r="AI12" i="1" s="1"/>
  <c r="AI17" i="1"/>
  <c r="AI14" i="1"/>
  <c r="AH24" i="1"/>
  <c r="AJ65" i="1"/>
  <c r="N24" i="5" s="1"/>
  <c r="D43" i="1"/>
  <c r="D44" i="1" s="1"/>
  <c r="K11" i="1"/>
  <c r="K12" i="1" s="1"/>
  <c r="K14" i="1"/>
  <c r="K17" i="1"/>
  <c r="K23" i="1"/>
  <c r="AK65" i="1"/>
  <c r="X65" i="1"/>
  <c r="I24" i="5" s="1"/>
  <c r="L51" i="1"/>
  <c r="AO15" i="1" l="1"/>
  <c r="AY15" i="1"/>
  <c r="AY43" i="1" s="1"/>
  <c r="AK24" i="1"/>
  <c r="AK26" i="1" s="1"/>
  <c r="AK27" i="1" s="1"/>
  <c r="M43" i="2" s="1"/>
  <c r="N43" i="2" s="1"/>
  <c r="N5" i="5"/>
  <c r="AL24" i="1"/>
  <c r="AL26" i="1" s="1"/>
  <c r="AL27" i="1" s="1"/>
  <c r="M44" i="2" s="1"/>
  <c r="AJ15" i="1"/>
  <c r="AJ43" i="1" s="1"/>
  <c r="AJ44" i="1" s="1"/>
  <c r="AU26" i="1"/>
  <c r="AU27" i="1" s="1"/>
  <c r="M53" i="2" s="1"/>
  <c r="N53" i="2" s="1"/>
  <c r="AY26" i="1"/>
  <c r="AY27" i="1" s="1"/>
  <c r="M57" i="2" s="1"/>
  <c r="N57" i="2" s="1"/>
  <c r="D27" i="1"/>
  <c r="M10" i="2" s="1"/>
  <c r="N10" i="2" s="1"/>
  <c r="T5" i="5"/>
  <c r="AB15" i="1"/>
  <c r="AB26" i="1" s="1"/>
  <c r="AB27" i="1" s="1"/>
  <c r="AW15" i="1"/>
  <c r="AW43" i="1" s="1"/>
  <c r="AT15" i="1"/>
  <c r="AT26" i="1" s="1"/>
  <c r="AR15" i="1"/>
  <c r="AR43" i="1" s="1"/>
  <c r="AM24" i="1"/>
  <c r="AM26" i="1" s="1"/>
  <c r="AM27" i="1" s="1"/>
  <c r="H24" i="1"/>
  <c r="H26" i="1" s="1"/>
  <c r="F24" i="1"/>
  <c r="B7" i="5" s="1"/>
  <c r="E26" i="1"/>
  <c r="E27" i="1" s="1"/>
  <c r="AS15" i="1"/>
  <c r="AS43" i="1" s="1"/>
  <c r="AP15" i="1"/>
  <c r="AP43" i="1" s="1"/>
  <c r="AF24" i="1"/>
  <c r="AF26" i="1" s="1"/>
  <c r="AF27" i="1" s="1"/>
  <c r="G15" i="1"/>
  <c r="G43" i="1" s="1"/>
  <c r="G44" i="1" s="1"/>
  <c r="C14" i="5" s="1"/>
  <c r="C13" i="5" s="1"/>
  <c r="B5" i="5"/>
  <c r="O6" i="5"/>
  <c r="J15" i="1"/>
  <c r="J26" i="1" s="1"/>
  <c r="AC24" i="1"/>
  <c r="L7" i="5" s="1"/>
  <c r="AE15" i="1"/>
  <c r="AE26" i="1" s="1"/>
  <c r="AV15" i="1"/>
  <c r="AV26" i="1" s="1"/>
  <c r="O5" i="5"/>
  <c r="Q7" i="5"/>
  <c r="AN15" i="1"/>
  <c r="AN43" i="1" s="1"/>
  <c r="AC15" i="1"/>
  <c r="AC43" i="1" s="1"/>
  <c r="AC44" i="1" s="1"/>
  <c r="F15" i="1"/>
  <c r="F43" i="1" s="1"/>
  <c r="F44" i="1" s="1"/>
  <c r="B14" i="5" s="1"/>
  <c r="B13" i="5" s="1"/>
  <c r="AG24" i="1"/>
  <c r="AG26" i="1" s="1"/>
  <c r="AG27" i="1" s="1"/>
  <c r="S7" i="5"/>
  <c r="L5" i="5"/>
  <c r="R5" i="5"/>
  <c r="T7" i="5"/>
  <c r="AO26" i="1"/>
  <c r="AO27" i="1" s="1"/>
  <c r="S5" i="5"/>
  <c r="R7" i="5"/>
  <c r="AX15" i="1"/>
  <c r="AX43" i="1" s="1"/>
  <c r="AQ15" i="1"/>
  <c r="AQ43" i="1" s="1"/>
  <c r="AI24" i="1"/>
  <c r="N7" i="5" s="1"/>
  <c r="Q5" i="5"/>
  <c r="M5" i="5"/>
  <c r="I24" i="1"/>
  <c r="I26" i="1" s="1"/>
  <c r="AI15" i="1"/>
  <c r="C5" i="5"/>
  <c r="AO43" i="1"/>
  <c r="AD26" i="1"/>
  <c r="AH43" i="1"/>
  <c r="AH44" i="1" s="1"/>
  <c r="AH26" i="1"/>
  <c r="D46" i="1"/>
  <c r="D47" i="1" s="1"/>
  <c r="K24" i="1"/>
  <c r="K15" i="1"/>
  <c r="K43" i="1" s="1"/>
  <c r="K44" i="1" s="1"/>
  <c r="L11" i="1"/>
  <c r="L12" i="1" s="1"/>
  <c r="D5" i="5" s="1"/>
  <c r="L14" i="1"/>
  <c r="L23" i="1"/>
  <c r="L17" i="1"/>
  <c r="M51" i="1"/>
  <c r="Y65" i="1"/>
  <c r="AJ26" i="1" l="1"/>
  <c r="N6" i="5"/>
  <c r="N8" i="5" s="1"/>
  <c r="N9" i="5" s="1"/>
  <c r="AP26" i="1"/>
  <c r="AP27" i="1" s="1"/>
  <c r="M48" i="2" s="1"/>
  <c r="N48" i="2" s="1"/>
  <c r="AW26" i="1"/>
  <c r="AW27" i="1" s="1"/>
  <c r="M55" i="2" s="1"/>
  <c r="N55" i="2" s="1"/>
  <c r="AB43" i="1"/>
  <c r="AB44" i="1" s="1"/>
  <c r="AT43" i="1"/>
  <c r="I27" i="1"/>
  <c r="M15" i="2" s="1"/>
  <c r="N15" i="2" s="1"/>
  <c r="H46" i="1"/>
  <c r="H47" i="1" s="1"/>
  <c r="H27" i="1"/>
  <c r="M14" i="2" s="1"/>
  <c r="AD27" i="1"/>
  <c r="M36" i="2" s="1"/>
  <c r="N36" i="2" s="1"/>
  <c r="AV27" i="1"/>
  <c r="M54" i="2" s="1"/>
  <c r="N54" i="2" s="1"/>
  <c r="AE27" i="1"/>
  <c r="M37" i="2" s="1"/>
  <c r="N37" i="2" s="1"/>
  <c r="AT27" i="1"/>
  <c r="M52" i="2" s="1"/>
  <c r="N52" i="2" s="1"/>
  <c r="AH27" i="1"/>
  <c r="M40" i="2" s="1"/>
  <c r="N40" i="2" s="1"/>
  <c r="AJ27" i="1"/>
  <c r="M42" i="2" s="1"/>
  <c r="N42" i="2" s="1"/>
  <c r="J27" i="1"/>
  <c r="M16" i="2" s="1"/>
  <c r="N16" i="2" s="1"/>
  <c r="M38" i="2"/>
  <c r="N38" i="2" s="1"/>
  <c r="M39" i="2"/>
  <c r="N39" i="2" s="1"/>
  <c r="M47" i="2"/>
  <c r="N47" i="2" s="1"/>
  <c r="M34" i="2"/>
  <c r="N34" i="2" s="1"/>
  <c r="M11" i="2"/>
  <c r="N11" i="2" s="1"/>
  <c r="E46" i="1"/>
  <c r="E47" i="1" s="1"/>
  <c r="AE43" i="1"/>
  <c r="AE44" i="1" s="1"/>
  <c r="M14" i="5" s="1"/>
  <c r="M13" i="5" s="1"/>
  <c r="M45" i="2"/>
  <c r="N45" i="2" s="1"/>
  <c r="AV43" i="1"/>
  <c r="S6" i="5"/>
  <c r="S8" i="5" s="1"/>
  <c r="S9" i="5" s="1"/>
  <c r="AS26" i="1"/>
  <c r="AS27" i="1" s="1"/>
  <c r="J43" i="1"/>
  <c r="J44" i="1" s="1"/>
  <c r="J46" i="1" s="1"/>
  <c r="J47" i="1" s="1"/>
  <c r="AQ26" i="1"/>
  <c r="AQ27" i="1" s="1"/>
  <c r="Q6" i="5"/>
  <c r="T6" i="5"/>
  <c r="T8" i="5" s="1"/>
  <c r="T9" i="5" s="1"/>
  <c r="AX26" i="1"/>
  <c r="O7" i="5"/>
  <c r="O8" i="5" s="1"/>
  <c r="O9" i="5" s="1"/>
  <c r="G26" i="1"/>
  <c r="G27" i="1" s="1"/>
  <c r="AR26" i="1"/>
  <c r="C6" i="5"/>
  <c r="R6" i="5"/>
  <c r="R8" i="5" s="1"/>
  <c r="R9" i="5" s="1"/>
  <c r="L6" i="5"/>
  <c r="L8" i="5" s="1"/>
  <c r="L9" i="5" s="1"/>
  <c r="AC26" i="1"/>
  <c r="AC27" i="1" s="1"/>
  <c r="L14" i="5"/>
  <c r="L13" i="5" s="1"/>
  <c r="M6" i="5"/>
  <c r="I46" i="1"/>
  <c r="I47" i="1" s="1"/>
  <c r="AN26" i="1"/>
  <c r="AN27" i="1" s="1"/>
  <c r="M7" i="5"/>
  <c r="E29" i="5"/>
  <c r="B6" i="5"/>
  <c r="B8" i="5" s="1"/>
  <c r="F26" i="1"/>
  <c r="F27" i="1" s="1"/>
  <c r="AF46" i="1"/>
  <c r="AF47" i="1" s="1"/>
  <c r="D27" i="5"/>
  <c r="E27" i="5"/>
  <c r="AG46" i="1"/>
  <c r="AG47" i="1" s="1"/>
  <c r="C7" i="5"/>
  <c r="N44" i="2"/>
  <c r="AB46" i="1"/>
  <c r="AB47" i="1" s="1"/>
  <c r="AI43" i="1"/>
  <c r="AI44" i="1" s="1"/>
  <c r="N14" i="5" s="1"/>
  <c r="N13" i="5" s="1"/>
  <c r="AI26" i="1"/>
  <c r="AI27" i="1" s="1"/>
  <c r="AD46" i="1"/>
  <c r="AD47" i="1" s="1"/>
  <c r="AH46" i="1"/>
  <c r="AH47" i="1" s="1"/>
  <c r="AJ46" i="1"/>
  <c r="AJ47" i="1" s="1"/>
  <c r="AK44" i="1"/>
  <c r="AL65" i="1"/>
  <c r="K26" i="1"/>
  <c r="L24" i="1"/>
  <c r="D7" i="5" s="1"/>
  <c r="L15" i="1"/>
  <c r="L43" i="1" s="1"/>
  <c r="L44" i="1" s="1"/>
  <c r="M14" i="1"/>
  <c r="M11" i="1"/>
  <c r="M12" i="1" s="1"/>
  <c r="M23" i="1"/>
  <c r="M17" i="1"/>
  <c r="Z65" i="1"/>
  <c r="AN65" i="1"/>
  <c r="N51" i="1"/>
  <c r="D14" i="5" l="1"/>
  <c r="D13" i="5" s="1"/>
  <c r="M8" i="5"/>
  <c r="AX27" i="1"/>
  <c r="M56" i="2" s="1"/>
  <c r="N56" i="2" s="1"/>
  <c r="K27" i="1"/>
  <c r="M17" i="2" s="1"/>
  <c r="N17" i="2" s="1"/>
  <c r="AC46" i="1"/>
  <c r="AC47" i="1" s="1"/>
  <c r="E28" i="5"/>
  <c r="E30" i="5" s="1"/>
  <c r="AE46" i="1"/>
  <c r="AE47" i="1" s="1"/>
  <c r="AR27" i="1"/>
  <c r="M50" i="2" s="1"/>
  <c r="N50" i="2" s="1"/>
  <c r="Q8" i="5"/>
  <c r="Q9" i="5" s="1"/>
  <c r="M12" i="2"/>
  <c r="N12" i="2" s="1"/>
  <c r="M35" i="2"/>
  <c r="N35" i="2" s="1"/>
  <c r="M13" i="2"/>
  <c r="N13" i="2" s="1"/>
  <c r="M49" i="2"/>
  <c r="N49" i="2" s="1"/>
  <c r="M46" i="2"/>
  <c r="N46" i="2" s="1"/>
  <c r="M51" i="2"/>
  <c r="N51" i="2" s="1"/>
  <c r="D28" i="5"/>
  <c r="G46" i="1"/>
  <c r="G47" i="1" s="1"/>
  <c r="D29" i="5"/>
  <c r="C8" i="5"/>
  <c r="C9" i="5" s="1"/>
  <c r="L16" i="5"/>
  <c r="L17" i="5" s="1"/>
  <c r="F46" i="1"/>
  <c r="F47" i="1" s="1"/>
  <c r="B9" i="5"/>
  <c r="B16" i="5"/>
  <c r="B17" i="5" s="1"/>
  <c r="M9" i="5"/>
  <c r="N14" i="2"/>
  <c r="M41" i="2"/>
  <c r="AI46" i="1"/>
  <c r="AI47" i="1" s="1"/>
  <c r="N16" i="5"/>
  <c r="N17" i="5" s="1"/>
  <c r="AK46" i="1"/>
  <c r="AK47" i="1" s="1"/>
  <c r="D6" i="5"/>
  <c r="K46" i="1"/>
  <c r="K47" i="1" s="1"/>
  <c r="AM65" i="1"/>
  <c r="O24" i="5" s="1"/>
  <c r="D46" i="5" s="1"/>
  <c r="L26" i="1"/>
  <c r="M15" i="1"/>
  <c r="M24" i="1"/>
  <c r="N11" i="1"/>
  <c r="N12" i="1" s="1"/>
  <c r="N14" i="1"/>
  <c r="N23" i="1"/>
  <c r="N17" i="1"/>
  <c r="AO65" i="1"/>
  <c r="AL44" i="1"/>
  <c r="AL46" i="1" s="1"/>
  <c r="AL47" i="1" s="1"/>
  <c r="AA65" i="1"/>
  <c r="J24" i="5" s="1"/>
  <c r="C46" i="5" s="1"/>
  <c r="O51" i="1"/>
  <c r="D30" i="5" l="1"/>
  <c r="D31" i="5" s="1"/>
  <c r="M16" i="5"/>
  <c r="M17" i="5" s="1"/>
  <c r="L27" i="1"/>
  <c r="M18" i="2" s="1"/>
  <c r="N18" i="2" s="1"/>
  <c r="E31" i="5"/>
  <c r="C16" i="5"/>
  <c r="C17" i="5" s="1"/>
  <c r="N41" i="2"/>
  <c r="D8" i="5"/>
  <c r="D9" i="5" s="1"/>
  <c r="M43" i="1"/>
  <c r="M44" i="1" s="1"/>
  <c r="AM44" i="1"/>
  <c r="AM46" i="1" s="1"/>
  <c r="AM47" i="1" s="1"/>
  <c r="L46" i="1"/>
  <c r="L47" i="1" s="1"/>
  <c r="N24" i="1"/>
  <c r="M26" i="1"/>
  <c r="M27" i="1" s="1"/>
  <c r="O14" i="1"/>
  <c r="O11" i="1"/>
  <c r="O12" i="1" s="1"/>
  <c r="E5" i="5" s="1"/>
  <c r="B27" i="5" s="1"/>
  <c r="O23" i="1"/>
  <c r="O17" i="1"/>
  <c r="N15" i="1"/>
  <c r="N43" i="1" s="1"/>
  <c r="N44" i="1" s="1"/>
  <c r="AN44" i="1"/>
  <c r="AP65" i="1"/>
  <c r="Q24" i="5" s="1"/>
  <c r="P51" i="1"/>
  <c r="D16" i="5" l="1"/>
  <c r="D17" i="5" s="1"/>
  <c r="M46" i="1"/>
  <c r="M47" i="1" s="1"/>
  <c r="AN46" i="1"/>
  <c r="AN47" i="1" s="1"/>
  <c r="O14" i="5"/>
  <c r="M19" i="2"/>
  <c r="N26" i="1"/>
  <c r="O15" i="1"/>
  <c r="O43" i="1" s="1"/>
  <c r="O44" i="1" s="1"/>
  <c r="E14" i="5" s="1"/>
  <c r="O24" i="1"/>
  <c r="E7" i="5" s="1"/>
  <c r="B29" i="5" s="1"/>
  <c r="P11" i="1"/>
  <c r="P12" i="1" s="1"/>
  <c r="P14" i="1"/>
  <c r="P23" i="1"/>
  <c r="P17" i="1"/>
  <c r="AO44" i="1"/>
  <c r="AO46" i="1" s="1"/>
  <c r="AO47" i="1" s="1"/>
  <c r="AQ65" i="1"/>
  <c r="Q51" i="1"/>
  <c r="N27" i="1" l="1"/>
  <c r="M20" i="2" s="1"/>
  <c r="N20" i="2" s="1"/>
  <c r="E13" i="5"/>
  <c r="B35" i="5" s="1"/>
  <c r="B36" i="5" s="1"/>
  <c r="N19" i="2"/>
  <c r="O13" i="5"/>
  <c r="D35" i="5" s="1"/>
  <c r="D36" i="5" s="1"/>
  <c r="D38" i="5" s="1"/>
  <c r="O16" i="5"/>
  <c r="E6" i="5"/>
  <c r="N46" i="1"/>
  <c r="N47" i="1" s="1"/>
  <c r="O26" i="1"/>
  <c r="Q11" i="1"/>
  <c r="Q12" i="1" s="1"/>
  <c r="Q14" i="1"/>
  <c r="Q23" i="1"/>
  <c r="Q17" i="1"/>
  <c r="P24" i="1"/>
  <c r="P15" i="1"/>
  <c r="AP44" i="1"/>
  <c r="AP46" i="1" s="1"/>
  <c r="AP47" i="1" s="1"/>
  <c r="AR65" i="1"/>
  <c r="R51" i="1"/>
  <c r="O27" i="1" l="1"/>
  <c r="M21" i="2" s="1"/>
  <c r="N21" i="2" s="1"/>
  <c r="E8" i="5"/>
  <c r="B28" i="5"/>
  <c r="B30" i="5" s="1"/>
  <c r="B38" i="5" s="1"/>
  <c r="O17" i="5"/>
  <c r="D39" i="5"/>
  <c r="P43" i="1"/>
  <c r="P44" i="1" s="1"/>
  <c r="Q14" i="5"/>
  <c r="O46" i="1"/>
  <c r="O47" i="1" s="1"/>
  <c r="AQ44" i="1"/>
  <c r="P26" i="1"/>
  <c r="P27" i="1" s="1"/>
  <c r="Q24" i="1"/>
  <c r="R11" i="1"/>
  <c r="R12" i="1" s="1"/>
  <c r="G5" i="5" s="1"/>
  <c r="R14" i="1"/>
  <c r="R23" i="1"/>
  <c r="R17" i="1"/>
  <c r="Q15" i="1"/>
  <c r="Q43" i="1" s="1"/>
  <c r="Q44" i="1" s="1"/>
  <c r="AS65" i="1"/>
  <c r="R24" i="5" s="1"/>
  <c r="S51" i="1"/>
  <c r="E16" i="5" l="1"/>
  <c r="B39" i="5" s="1"/>
  <c r="E9" i="5"/>
  <c r="B31" i="5"/>
  <c r="P46" i="1"/>
  <c r="P47" i="1" s="1"/>
  <c r="Q13" i="5"/>
  <c r="Q16" i="5"/>
  <c r="AQ46" i="1"/>
  <c r="AQ47" i="1" s="1"/>
  <c r="R24" i="1"/>
  <c r="G7" i="5" s="1"/>
  <c r="Q26" i="1"/>
  <c r="R15" i="1"/>
  <c r="R43" i="1" s="1"/>
  <c r="R44" i="1" s="1"/>
  <c r="G14" i="5" s="1"/>
  <c r="S11" i="1"/>
  <c r="S12" i="1" s="1"/>
  <c r="S14" i="1"/>
  <c r="S23" i="1"/>
  <c r="S17" i="1"/>
  <c r="M22" i="2"/>
  <c r="AR44" i="1"/>
  <c r="AR46" i="1" s="1"/>
  <c r="AR47" i="1" s="1"/>
  <c r="AT65" i="1"/>
  <c r="T51" i="1"/>
  <c r="Q27" i="1" l="1"/>
  <c r="M23" i="2" s="1"/>
  <c r="N23" i="2" s="1"/>
  <c r="N22" i="2"/>
  <c r="E17" i="5"/>
  <c r="G13" i="5"/>
  <c r="Q17" i="5"/>
  <c r="G6" i="5"/>
  <c r="Q46" i="1"/>
  <c r="Q47" i="1" s="1"/>
  <c r="R26" i="1"/>
  <c r="S15" i="1"/>
  <c r="T11" i="1"/>
  <c r="T12" i="1" s="1"/>
  <c r="T14" i="1"/>
  <c r="T17" i="1"/>
  <c r="T23" i="1"/>
  <c r="S24" i="1"/>
  <c r="AS44" i="1"/>
  <c r="AS46" i="1" s="1"/>
  <c r="AS47" i="1" s="1"/>
  <c r="AU65" i="1"/>
  <c r="U51" i="1"/>
  <c r="R27" i="1" l="1"/>
  <c r="M24" i="2" s="1"/>
  <c r="N24" i="2" s="1"/>
  <c r="G8" i="5"/>
  <c r="G9" i="5" s="1"/>
  <c r="R14" i="5"/>
  <c r="S43" i="1"/>
  <c r="S44" i="1" s="1"/>
  <c r="R46" i="1"/>
  <c r="R47" i="1" s="1"/>
  <c r="S26" i="1"/>
  <c r="S27" i="1" s="1"/>
  <c r="T24" i="1"/>
  <c r="T15" i="1"/>
  <c r="T43" i="1" s="1"/>
  <c r="T44" i="1" s="1"/>
  <c r="U14" i="1"/>
  <c r="U11" i="1"/>
  <c r="U12" i="1" s="1"/>
  <c r="H5" i="5" s="1"/>
  <c r="U23" i="1"/>
  <c r="U17" i="1"/>
  <c r="AT44" i="1"/>
  <c r="AV65" i="1"/>
  <c r="S24" i="5" s="1"/>
  <c r="V51" i="1"/>
  <c r="G16" i="5" l="1"/>
  <c r="G17" i="5" s="1"/>
  <c r="R13" i="5"/>
  <c r="R16" i="5"/>
  <c r="AT46" i="1"/>
  <c r="AT47" i="1" s="1"/>
  <c r="S46" i="1"/>
  <c r="S47" i="1" s="1"/>
  <c r="M25" i="2"/>
  <c r="T26" i="1"/>
  <c r="U24" i="1"/>
  <c r="H7" i="5" s="1"/>
  <c r="U15" i="1"/>
  <c r="V11" i="1"/>
  <c r="V12" i="1" s="1"/>
  <c r="V14" i="1"/>
  <c r="V23" i="1"/>
  <c r="V17" i="1"/>
  <c r="AU44" i="1"/>
  <c r="AU46" i="1" s="1"/>
  <c r="AU47" i="1" s="1"/>
  <c r="AW65" i="1"/>
  <c r="W51" i="1"/>
  <c r="T27" i="1" l="1"/>
  <c r="M26" i="2" s="1"/>
  <c r="N26" i="2" s="1"/>
  <c r="N25" i="2"/>
  <c r="R17" i="5"/>
  <c r="U43" i="1"/>
  <c r="U44" i="1" s="1"/>
  <c r="H14" i="5" s="1"/>
  <c r="H6" i="5"/>
  <c r="AV44" i="1"/>
  <c r="AV46" i="1" s="1"/>
  <c r="AV47" i="1" s="1"/>
  <c r="T46" i="1"/>
  <c r="T47" i="1" s="1"/>
  <c r="U26" i="1"/>
  <c r="V15" i="1"/>
  <c r="V24" i="1"/>
  <c r="W14" i="1"/>
  <c r="W11" i="1"/>
  <c r="W12" i="1" s="1"/>
  <c r="W23" i="1"/>
  <c r="W17" i="1"/>
  <c r="AX65" i="1"/>
  <c r="X51" i="1"/>
  <c r="U27" i="1" l="1"/>
  <c r="M27" i="2" s="1"/>
  <c r="N27" i="2" s="1"/>
  <c r="H8" i="5"/>
  <c r="H16" i="5" s="1"/>
  <c r="H13" i="5"/>
  <c r="V43" i="1"/>
  <c r="V44" i="1" s="1"/>
  <c r="S14" i="5"/>
  <c r="U46" i="1"/>
  <c r="U47" i="1" s="1"/>
  <c r="AW44" i="1"/>
  <c r="W15" i="1"/>
  <c r="W43" i="1" s="1"/>
  <c r="W44" i="1" s="1"/>
  <c r="V26" i="1"/>
  <c r="V27" i="1" s="1"/>
  <c r="W24" i="1"/>
  <c r="X11" i="1"/>
  <c r="X12" i="1" s="1"/>
  <c r="I5" i="5" s="1"/>
  <c r="X14" i="1"/>
  <c r="X23" i="1"/>
  <c r="X17" i="1"/>
  <c r="AY65" i="1"/>
  <c r="T24" i="5" s="1"/>
  <c r="E46" i="5" s="1"/>
  <c r="Y51" i="1"/>
  <c r="H9" i="5" l="1"/>
  <c r="H17" i="5"/>
  <c r="S13" i="5"/>
  <c r="S16" i="5"/>
  <c r="AW46" i="1"/>
  <c r="AW47" i="1" s="1"/>
  <c r="M28" i="2"/>
  <c r="V46" i="1"/>
  <c r="V47" i="1" s="1"/>
  <c r="W26" i="1"/>
  <c r="X24" i="1"/>
  <c r="I7" i="5" s="1"/>
  <c r="X15" i="1"/>
  <c r="Y11" i="1"/>
  <c r="Y12" i="1" s="1"/>
  <c r="Y14" i="1"/>
  <c r="Y23" i="1"/>
  <c r="Y17" i="1"/>
  <c r="AX44" i="1"/>
  <c r="AX46" i="1" s="1"/>
  <c r="AX47" i="1" s="1"/>
  <c r="AA51" i="1"/>
  <c r="Z51" i="1"/>
  <c r="W27" i="1" l="1"/>
  <c r="M29" i="2" s="1"/>
  <c r="N29" i="2" s="1"/>
  <c r="N28" i="2"/>
  <c r="S17" i="5"/>
  <c r="X43" i="1"/>
  <c r="X44" i="1" s="1"/>
  <c r="I14" i="5" s="1"/>
  <c r="I6" i="5"/>
  <c r="W46" i="1"/>
  <c r="W47" i="1" s="1"/>
  <c r="X26" i="1"/>
  <c r="X27" i="1" s="1"/>
  <c r="Y24" i="1"/>
  <c r="Z11" i="1"/>
  <c r="Z12" i="1" s="1"/>
  <c r="Z14" i="1"/>
  <c r="Z23" i="1"/>
  <c r="Z17" i="1"/>
  <c r="AA11" i="1"/>
  <c r="AA12" i="1" s="1"/>
  <c r="AA14" i="1"/>
  <c r="AA23" i="1"/>
  <c r="AA17" i="1"/>
  <c r="Y15" i="1"/>
  <c r="AY44" i="1"/>
  <c r="AY46" i="1" s="1"/>
  <c r="AY47" i="1" s="1"/>
  <c r="I13" i="5" l="1"/>
  <c r="I8" i="5"/>
  <c r="I9" i="5" s="1"/>
  <c r="J5" i="5"/>
  <c r="C27" i="5" s="1"/>
  <c r="X46" i="1"/>
  <c r="X47" i="1" s="1"/>
  <c r="Y43" i="1"/>
  <c r="Y44" i="1" s="1"/>
  <c r="T14" i="5"/>
  <c r="Y26" i="1"/>
  <c r="Y27" i="1" s="1"/>
  <c r="M30" i="2"/>
  <c r="AA15" i="1"/>
  <c r="AA43" i="1" s="1"/>
  <c r="AA44" i="1" s="1"/>
  <c r="Z24" i="1"/>
  <c r="Z15" i="1"/>
  <c r="Z43" i="1" s="1"/>
  <c r="Z44" i="1" s="1"/>
  <c r="AA24" i="1"/>
  <c r="N30" i="2" l="1"/>
  <c r="I16" i="5"/>
  <c r="J7" i="5"/>
  <c r="C29" i="5" s="1"/>
  <c r="J14" i="5"/>
  <c r="T13" i="5"/>
  <c r="E35" i="5" s="1"/>
  <c r="E36" i="5" s="1"/>
  <c r="E38" i="5" s="1"/>
  <c r="T16" i="5"/>
  <c r="J6" i="5"/>
  <c r="C28" i="5" s="1"/>
  <c r="M31" i="2"/>
  <c r="Y46" i="1"/>
  <c r="Y47" i="1" s="1"/>
  <c r="Z26" i="1"/>
  <c r="AA26" i="1"/>
  <c r="C30" i="5" l="1"/>
  <c r="AA46" i="1"/>
  <c r="AA47" i="1" s="1"/>
  <c r="AA27" i="1"/>
  <c r="M33" i="2" s="1"/>
  <c r="Z27" i="1"/>
  <c r="M32" i="2" s="1"/>
  <c r="N32" i="2" s="1"/>
  <c r="N31" i="2"/>
  <c r="I17" i="5"/>
  <c r="T17" i="5"/>
  <c r="E39" i="5"/>
  <c r="J13" i="5"/>
  <c r="C35" i="5" s="1"/>
  <c r="C36" i="5" s="1"/>
  <c r="C38" i="5" s="1"/>
  <c r="J8" i="5"/>
  <c r="Z46" i="1"/>
  <c r="Z47" i="1" s="1"/>
  <c r="J9" i="5" l="1"/>
  <c r="C31" i="5"/>
  <c r="N33" i="2"/>
  <c r="D56" i="1" s="1" a="1"/>
  <c r="D55" i="1" a="1"/>
  <c r="J16" i="5"/>
  <c r="J17" i="5" l="1"/>
  <c r="C39" i="5"/>
  <c r="D55" i="1"/>
  <c r="B22" i="5" s="1"/>
  <c r="AH55" i="1"/>
  <c r="AI55" i="1"/>
  <c r="J55" i="1"/>
  <c r="AP55" i="1"/>
  <c r="Q22" i="5" s="1"/>
  <c r="AA55" i="1"/>
  <c r="J22" i="5" s="1"/>
  <c r="C44" i="5" s="1"/>
  <c r="K55" i="1"/>
  <c r="AQ55" i="1"/>
  <c r="Z55" i="1"/>
  <c r="R55" i="1"/>
  <c r="G22" i="5" s="1"/>
  <c r="AX55" i="1"/>
  <c r="S55" i="1"/>
  <c r="AY55" i="1"/>
  <c r="T22" i="5" s="1"/>
  <c r="E44" i="5" s="1"/>
  <c r="AG55" i="1"/>
  <c r="M22" i="5" s="1"/>
  <c r="AU55" i="1"/>
  <c r="AL55" i="1"/>
  <c r="AC55" i="1"/>
  <c r="T55" i="1"/>
  <c r="AV55" i="1"/>
  <c r="S22" i="5" s="1"/>
  <c r="AM55" i="1"/>
  <c r="O22" i="5" s="1"/>
  <c r="D44" i="5" s="1"/>
  <c r="AD55" i="1"/>
  <c r="L22" i="5" s="1"/>
  <c r="U55" i="1"/>
  <c r="H22" i="5" s="1"/>
  <c r="L55" i="1"/>
  <c r="D22" i="5" s="1"/>
  <c r="AS55" i="1"/>
  <c r="R22" i="5" s="1"/>
  <c r="AK55" i="1"/>
  <c r="AN55" i="1"/>
  <c r="AE55" i="1"/>
  <c r="V55" i="1"/>
  <c r="M55" i="1"/>
  <c r="AB55" i="1"/>
  <c r="AF55" i="1"/>
  <c r="W55" i="1"/>
  <c r="N55" i="1"/>
  <c r="E55" i="1"/>
  <c r="AJ55" i="1"/>
  <c r="N22" i="5" s="1"/>
  <c r="Q55" i="1"/>
  <c r="X55" i="1"/>
  <c r="I22" i="5" s="1"/>
  <c r="O55" i="1"/>
  <c r="E22" i="5" s="1"/>
  <c r="B44" i="5" s="1"/>
  <c r="F55" i="1"/>
  <c r="AW55" i="1"/>
  <c r="H55" i="1"/>
  <c r="Y55" i="1"/>
  <c r="I55" i="1"/>
  <c r="C22" i="5" s="1"/>
  <c r="AT55" i="1"/>
  <c r="P55" i="1"/>
  <c r="G55" i="1"/>
  <c r="AO55" i="1"/>
  <c r="AR55" i="1"/>
  <c r="D56" i="1"/>
  <c r="B23" i="5" s="1"/>
  <c r="AQ56" i="1"/>
  <c r="P56" i="1"/>
  <c r="AE56" i="1"/>
  <c r="AL56" i="1"/>
  <c r="AO56" i="1"/>
  <c r="Z56" i="1"/>
  <c r="Y56" i="1"/>
  <c r="AT56" i="1"/>
  <c r="AP56" i="1"/>
  <c r="Q23" i="5" s="1"/>
  <c r="H56" i="1"/>
  <c r="W56" i="1"/>
  <c r="AD56" i="1"/>
  <c r="L23" i="5" s="1"/>
  <c r="AS56" i="1"/>
  <c r="R23" i="5" s="1"/>
  <c r="Q56" i="1"/>
  <c r="AX56" i="1"/>
  <c r="X56" i="1"/>
  <c r="I23" i="5" s="1"/>
  <c r="AW56" i="1"/>
  <c r="AY56" i="1"/>
  <c r="T23" i="5" s="1"/>
  <c r="E45" i="5" s="1"/>
  <c r="O56" i="1"/>
  <c r="E23" i="5" s="1"/>
  <c r="B45" i="5" s="1"/>
  <c r="V56" i="1"/>
  <c r="AK56" i="1"/>
  <c r="AR56" i="1"/>
  <c r="AU56" i="1"/>
  <c r="AH56" i="1"/>
  <c r="I56" i="1"/>
  <c r="C23" i="5" s="1"/>
  <c r="AI56" i="1"/>
  <c r="G56" i="1"/>
  <c r="N56" i="1"/>
  <c r="AC56" i="1"/>
  <c r="AJ56" i="1"/>
  <c r="N23" i="5" s="1"/>
  <c r="E56" i="1"/>
  <c r="AM56" i="1"/>
  <c r="O23" i="5" s="1"/>
  <c r="D45" i="5" s="1"/>
  <c r="AV56" i="1"/>
  <c r="S23" i="5" s="1"/>
  <c r="J56" i="1"/>
  <c r="AA56" i="1"/>
  <c r="J23" i="5" s="1"/>
  <c r="C45" i="5" s="1"/>
  <c r="F56" i="1"/>
  <c r="U56" i="1"/>
  <c r="H23" i="5" s="1"/>
  <c r="AB56" i="1"/>
  <c r="AF56" i="1"/>
  <c r="L56" i="1"/>
  <c r="D23" i="5" s="1"/>
  <c r="AN56" i="1"/>
  <c r="AG56" i="1"/>
  <c r="M23" i="5" s="1"/>
  <c r="R56" i="1"/>
  <c r="G23" i="5" s="1"/>
  <c r="K56" i="1"/>
  <c r="M56" i="1"/>
  <c r="T56" i="1"/>
  <c r="S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2A397D10-4EF5-9346-B2DB-DC5B5EE1A8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Unit cost x sales offest by net unit cost recovery x returns</t>
        </r>
      </text>
    </comment>
    <comment ref="C38" authorId="0" shapeId="0" xr:uid="{1297C5C9-EE3D-4D4C-B886-05C1AC8AD35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Warehouse and CS FTE costs in COGS</t>
        </r>
      </text>
    </comment>
    <comment ref="C80" authorId="0" shapeId="0" xr:uid="{5E6DB07E-420B-754A-96D4-87C3071D99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Offset against product cost
</t>
        </r>
      </text>
    </comment>
    <comment ref="C94" authorId="0" shapeId="0" xr:uid="{64AF0C38-7538-D944-9B61-FE177E7D42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Offset against product cost, restocking, damage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Natalie Luu</author>
    <author>Microsoft Office User</author>
  </authors>
  <commentList>
    <comment ref="C8" authorId="0" shapeId="0" xr:uid="{DC45A46B-51FE-43E6-AEF4-3BC398A67797}">
      <text>
        <r>
          <rPr>
            <b/>
            <sz val="9"/>
            <color indexed="81"/>
            <rFont val="Tahoma"/>
            <family val="2"/>
          </rPr>
          <t>Natalie Luu:</t>
        </r>
        <r>
          <rPr>
            <sz val="9"/>
            <color indexed="81"/>
            <rFont val="Tahoma"/>
            <family val="2"/>
          </rPr>
          <t xml:space="preserve">
&gt;0% for Retention Improvement </t>
        </r>
      </text>
    </comment>
    <comment ref="I8" authorId="0" shapeId="0" xr:uid="{854FD314-291D-4620-A1AC-89CD7D6E3C28}">
      <text>
        <r>
          <rPr>
            <b/>
            <sz val="9"/>
            <color indexed="81"/>
            <rFont val="Tahoma"/>
            <family val="2"/>
          </rPr>
          <t>Natalie Luu:</t>
        </r>
        <r>
          <rPr>
            <sz val="9"/>
            <color indexed="81"/>
            <rFont val="Tahoma"/>
            <family val="2"/>
          </rPr>
          <t xml:space="preserve">
Assumes New Buyers make 1 transaction in first month</t>
        </r>
      </text>
    </comment>
    <comment ref="M8" authorId="0" shapeId="0" xr:uid="{142CA393-1CA1-46F0-8E48-2CE6999F7694}">
      <text>
        <r>
          <rPr>
            <b/>
            <sz val="9"/>
            <color indexed="81"/>
            <rFont val="Tahoma"/>
            <family val="2"/>
          </rPr>
          <t>Natalie Luu:</t>
        </r>
        <r>
          <rPr>
            <sz val="9"/>
            <color indexed="81"/>
            <rFont val="Tahoma"/>
            <family val="2"/>
          </rPr>
          <t xml:space="preserve">
= AOV * Gross Margin in the month * Lifetime Transactions / First Month Transactions</t>
        </r>
      </text>
    </comment>
    <comment ref="A9" authorId="1" shapeId="0" xr:uid="{A3338BA9-EAF7-2B43-84A4-3C6245EEFF2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Prior cohorts use diffrent cohort assumptiona
</t>
        </r>
      </text>
    </comment>
  </commentList>
</comments>
</file>

<file path=xl/sharedStrings.xml><?xml version="1.0" encoding="utf-8"?>
<sst xmlns="http://schemas.openxmlformats.org/spreadsheetml/2006/main" count="206" uniqueCount="148">
  <si>
    <t>Shipping</t>
  </si>
  <si>
    <t>Merchant Fees</t>
  </si>
  <si>
    <t>Operating Income</t>
  </si>
  <si>
    <t>Packaging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</si>
  <si>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</si>
  <si>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</si>
  <si>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</si>
  <si>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</si>
  <si>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</si>
  <si>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</si>
  <si>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</si>
  <si>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</si>
  <si>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</si>
  <si>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</si>
  <si>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</si>
  <si>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</si>
  <si>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</si>
  <si>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</si>
  <si>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</si>
  <si>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</si>
  <si>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</si>
  <si>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</si>
  <si>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</si>
  <si>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</si>
  <si>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</si>
  <si>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</si>
  <si>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</si>
  <si>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</si>
  <si>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Unit COGS Assumptions</t>
  </si>
  <si>
    <t>Total COGS</t>
  </si>
  <si>
    <t>Gross Margin</t>
  </si>
  <si>
    <t>Operating Expenses</t>
  </si>
  <si>
    <t>Merchandising</t>
  </si>
  <si>
    <t>Product Mgmt</t>
  </si>
  <si>
    <t>Product Creative</t>
  </si>
  <si>
    <t>Technology</t>
  </si>
  <si>
    <t>Total Operating Expenses</t>
  </si>
  <si>
    <t>Salary</t>
  </si>
  <si>
    <t>Honest Biz Model</t>
  </si>
  <si>
    <t>Revenue &amp; COGS</t>
  </si>
  <si>
    <t>Tech Expense (hardware, software, bandwidth, etc)</t>
  </si>
  <si>
    <t xml:space="preserve"> 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</si>
  <si>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</si>
  <si>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</si>
  <si>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</si>
  <si>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</si>
  <si>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</si>
  <si>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</si>
  <si>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</si>
  <si>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</si>
  <si>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</si>
  <si>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</si>
  <si>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</si>
  <si>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</si>
  <si>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Total Unit COGS</t>
  </si>
  <si>
    <t>Q1</t>
  </si>
  <si>
    <t>Q2</t>
  </si>
  <si>
    <t>Q3</t>
  </si>
  <si>
    <t>Q4</t>
  </si>
  <si>
    <t>Marketing / Sales</t>
  </si>
  <si>
    <t>Paid New Buyers</t>
  </si>
  <si>
    <t>Org New Buyers</t>
  </si>
  <si>
    <t>Total New Buyers</t>
  </si>
  <si>
    <t>M0 (new buyers)</t>
  </si>
  <si>
    <t>AOV</t>
  </si>
  <si>
    <t>Gross Revenue</t>
  </si>
  <si>
    <t>Net Revenue</t>
  </si>
  <si>
    <t>Per Order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</si>
  <si>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</si>
  <si>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</si>
  <si>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</si>
  <si>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</si>
  <si>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</si>
  <si>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</si>
  <si>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</si>
  <si>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</si>
  <si>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</si>
  <si>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</si>
  <si>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</si>
  <si>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</si>
  <si>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Prior to Jan 2018</t>
  </si>
  <si>
    <t>Gross Product Revenue</t>
  </si>
  <si>
    <t>Forward Shipping</t>
  </si>
  <si>
    <t>Unit Packaging</t>
  </si>
  <si>
    <t>Per Return</t>
  </si>
  <si>
    <t>Processing</t>
  </si>
  <si>
    <t>Returns Shipping and Processing</t>
  </si>
  <si>
    <t>Ad Spend</t>
  </si>
  <si>
    <t>Other Marketing Overhead (PR, Agency Fixed Fees etc)</t>
  </si>
  <si>
    <t>Other Fixed GA Expense</t>
  </si>
  <si>
    <t>Other Variable GA Expense</t>
  </si>
  <si>
    <t>Total Personnel Costs</t>
  </si>
  <si>
    <t>Personnel oncosts</t>
  </si>
  <si>
    <t>Exec and other</t>
  </si>
  <si>
    <t>Personnel</t>
  </si>
  <si>
    <t>Other Overhead</t>
  </si>
  <si>
    <t xml:space="preserve">   Total Operating Expenses</t>
  </si>
  <si>
    <t>Total  Transactions</t>
  </si>
  <si>
    <t>Total Transactions</t>
  </si>
  <si>
    <t>Number of Returns</t>
  </si>
  <si>
    <t>LTV</t>
  </si>
  <si>
    <t>LTV/CAC</t>
  </si>
  <si>
    <t>AOV (end of period)</t>
  </si>
  <si>
    <t>FTE (end of period)</t>
  </si>
  <si>
    <t>LTV (end of period)</t>
  </si>
  <si>
    <t>LTV/CAC (end of period)</t>
  </si>
  <si>
    <t>CAC (end of period)</t>
  </si>
  <si>
    <t>Paid CAC</t>
  </si>
  <si>
    <t>Weighted Average CAC</t>
  </si>
  <si>
    <t>3 year LTV</t>
  </si>
  <si>
    <t>Cohort</t>
  </si>
  <si>
    <t>Post Jan 2018 Cohort Retention</t>
  </si>
  <si>
    <t>Pre Jan 2018 Cohort Retention</t>
  </si>
  <si>
    <t>After Month:</t>
  </si>
  <si>
    <t>Initial Buyers</t>
  </si>
  <si>
    <t>Organic: Paid ratio</t>
  </si>
  <si>
    <t>Weighed Avg CAC</t>
  </si>
  <si>
    <t>Repeat Rate</t>
  </si>
  <si>
    <t>Transactions by Cohort --&gt;</t>
  </si>
  <si>
    <t>Retention change (% over baseline)</t>
  </si>
  <si>
    <t>Gross Profit</t>
  </si>
  <si>
    <t>Monthly</t>
  </si>
  <si>
    <t>Operating Margin</t>
  </si>
  <si>
    <t>INCOME STATEMENT</t>
  </si>
  <si>
    <t>Lifetime Txns (3 Yr)</t>
  </si>
  <si>
    <t>Forward Shipping Revenue</t>
  </si>
  <si>
    <t>Returns Shipping Revenue</t>
  </si>
  <si>
    <t>(-) Discounts and Markdowns</t>
  </si>
  <si>
    <t xml:space="preserve">(-) Returns </t>
  </si>
  <si>
    <t>Products Sold (excl. Returns)</t>
  </si>
  <si>
    <t>Return Rate</t>
  </si>
  <si>
    <t>Total Headcount</t>
  </si>
  <si>
    <t>Key Operating Metrics</t>
  </si>
  <si>
    <t>Unit Product Cost</t>
  </si>
  <si>
    <t>% of AOV</t>
  </si>
  <si>
    <t>% of AOV (cost for net product unit recovery)</t>
  </si>
  <si>
    <t>QUARTERLY SUMMARY</t>
  </si>
  <si>
    <t>(-) COGS</t>
  </si>
  <si>
    <t xml:space="preserve">   Operating Margin</t>
  </si>
  <si>
    <t>ANNUAL SUMMARY</t>
  </si>
  <si>
    <t>Customer Service (fully loaded)</t>
  </si>
  <si>
    <t>Fulfillment Expense (fully loaded)</t>
  </si>
  <si>
    <t>Net Product Unit Cost Recovery</t>
  </si>
  <si>
    <t>Headcount (FTE)</t>
  </si>
  <si>
    <t>Monthly Cohort Analysis</t>
  </si>
  <si>
    <t>Assumptions</t>
  </si>
  <si>
    <t>Monthly Income Statement</t>
  </si>
  <si>
    <t>Quarterly and Annual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</si>
</sst>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#.#\X"/>
    <numFmt numFmtId="168" formatCode="#.#0\x"/>
    <numFmt numFmtId="169" formatCode="0.0%_);\(0.0%\)"/>
    <numFmt numFmtId="170" formatCode="0%_);\(0%\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u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3" borderId="1" applyNumberFormat="0" applyFont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0">
    <xf numFmtId="0" fontId="0" fillId="0" borderId="0" xfId="0"/>
    <xf numFmtId="0" fontId="4" fillId="5" borderId="0" xfId="0" applyFont="1" applyFill="1"/>
    <xf numFmtId="9" fontId="7" fillId="5" borderId="0" xfId="2" applyFont="1" applyFill="1" applyAlignment="1">
      <alignment horizontal="center"/>
    </xf>
    <xf numFmtId="0" fontId="4" fillId="0" borderId="5" xfId="0" applyFont="1" applyBorder="1" applyAlignment="1">
      <alignment horizontal="left" indent="1"/>
    </xf>
    <xf numFmtId="0" fontId="0" fillId="0" borderId="0" xfId="0" applyFont="1" applyFill="1" applyBorder="1" applyAlignment="1">
      <alignment horizontal="left" indent="1"/>
    </xf>
    <xf numFmtId="166" fontId="0" fillId="0" borderId="0" xfId="9" applyNumberFormat="1" applyFont="1" applyBorder="1"/>
    <xf numFmtId="0" fontId="1" fillId="5" borderId="0" xfId="9" applyNumberFormat="1" applyFont="1" applyFill="1"/>
    <xf numFmtId="164" fontId="13" fillId="0" borderId="0" xfId="1" applyNumberFormat="1" applyFont="1" applyFill="1"/>
    <xf numFmtId="166" fontId="0" fillId="0" borderId="0" xfId="9" applyNumberFormat="1" applyFont="1" applyFill="1"/>
    <xf numFmtId="0" fontId="0" fillId="0" borderId="5" xfId="0" applyFont="1" applyBorder="1" applyAlignment="1">
      <alignment horizontal="left" indent="1"/>
    </xf>
    <xf numFmtId="166" fontId="15" fillId="5" borderId="0" xfId="9" applyNumberFormat="1" applyFont="1" applyFill="1" applyBorder="1"/>
    <xf numFmtId="166" fontId="1" fillId="5" borderId="0" xfId="9" applyNumberFormat="1" applyFont="1" applyFill="1" applyBorder="1"/>
    <xf numFmtId="0" fontId="4" fillId="4" borderId="0" xfId="0" applyFont="1" applyFill="1"/>
    <xf numFmtId="164" fontId="0" fillId="0" borderId="0" xfId="1" applyNumberFormat="1" applyFont="1" applyFill="1"/>
    <xf numFmtId="164" fontId="0" fillId="0" borderId="0" xfId="1" applyNumberFormat="1" applyFont="1" applyFill="1" applyBorder="1"/>
    <xf numFmtId="164" fontId="14" fillId="0" borderId="0" xfId="1" applyNumberFormat="1" applyFont="1" applyFill="1" applyBorder="1"/>
    <xf numFmtId="44" fontId="4" fillId="5" borderId="0" xfId="1" applyFont="1" applyFill="1" applyAlignment="1">
      <alignment horizontal="center" wrapText="1"/>
    </xf>
    <xf numFmtId="164" fontId="13" fillId="0" borderId="0" xfId="1" applyNumberFormat="1" applyFont="1" applyFill="1" applyAlignment="1">
      <alignment horizontal="center"/>
    </xf>
    <xf numFmtId="9" fontId="4" fillId="5" borderId="0" xfId="2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164" fontId="0" fillId="0" borderId="0" xfId="1" applyNumberFormat="1" applyFont="1"/>
    <xf numFmtId="164" fontId="4" fillId="0" borderId="0" xfId="0" applyNumberFormat="1" applyFont="1" applyFill="1" applyBorder="1"/>
    <xf numFmtId="166" fontId="0" fillId="0" borderId="0" xfId="9" applyNumberFormat="1" applyFont="1" applyFill="1" applyBorder="1"/>
    <xf numFmtId="9" fontId="0" fillId="0" borderId="0" xfId="2" applyFont="1" applyFill="1" applyBorder="1"/>
    <xf numFmtId="44" fontId="1" fillId="0" borderId="0" xfId="1" applyFont="1" applyFill="1" applyAlignment="1">
      <alignment horizontal="center"/>
    </xf>
    <xf numFmtId="44" fontId="4" fillId="0" borderId="0" xfId="0" applyNumberFormat="1" applyFont="1" applyFill="1" applyBorder="1"/>
    <xf numFmtId="44" fontId="4" fillId="0" borderId="0" xfId="0" applyNumberFormat="1" applyFont="1" applyFill="1"/>
    <xf numFmtId="165" fontId="0" fillId="0" borderId="0" xfId="2" applyNumberFormat="1" applyFont="1" applyFill="1"/>
    <xf numFmtId="44" fontId="1" fillId="5" borderId="0" xfId="1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166" fontId="1" fillId="5" borderId="0" xfId="0" applyNumberFormat="1" applyFont="1" applyFill="1"/>
    <xf numFmtId="166" fontId="1" fillId="0" borderId="0" xfId="9" applyNumberFormat="1" applyFont="1" applyFill="1"/>
    <xf numFmtId="166" fontId="1" fillId="0" borderId="0" xfId="9" applyNumberFormat="1" applyFont="1" applyFill="1" applyAlignment="1">
      <alignment horizontal="center"/>
    </xf>
    <xf numFmtId="9" fontId="1" fillId="5" borderId="0" xfId="2" applyFont="1" applyFill="1"/>
    <xf numFmtId="166" fontId="1" fillId="5" borderId="5" xfId="9" applyNumberFormat="1" applyFont="1" applyFill="1" applyBorder="1"/>
    <xf numFmtId="166" fontId="1" fillId="5" borderId="0" xfId="9" applyNumberFormat="1" applyFont="1" applyFill="1"/>
    <xf numFmtId="43" fontId="1" fillId="5" borderId="0" xfId="0" applyNumberFormat="1" applyFont="1" applyFill="1"/>
    <xf numFmtId="43" fontId="1" fillId="5" borderId="0" xfId="9" applyNumberFormat="1" applyFont="1" applyFill="1"/>
    <xf numFmtId="17" fontId="6" fillId="0" borderId="0" xfId="0" applyNumberFormat="1" applyFont="1" applyFill="1" applyAlignment="1">
      <alignment horizontal="left"/>
    </xf>
    <xf numFmtId="166" fontId="21" fillId="0" borderId="0" xfId="9" applyNumberFormat="1" applyFont="1" applyFill="1"/>
    <xf numFmtId="0" fontId="8" fillId="5" borderId="0" xfId="0" applyFont="1" applyFill="1" applyAlignment="1">
      <alignment horizontal="center"/>
    </xf>
    <xf numFmtId="0" fontId="4" fillId="5" borderId="6" xfId="0" applyFont="1" applyFill="1" applyBorder="1" applyAlignment="1">
      <alignment horizontal="right"/>
    </xf>
    <xf numFmtId="0" fontId="22" fillId="5" borderId="6" xfId="0" applyFont="1" applyFill="1" applyBorder="1" applyAlignment="1">
      <alignment horizontal="right"/>
    </xf>
    <xf numFmtId="9" fontId="23" fillId="6" borderId="8" xfId="2" applyFont="1" applyFill="1" applyBorder="1" applyAlignment="1">
      <alignment horizontal="center"/>
    </xf>
    <xf numFmtId="9" fontId="23" fillId="6" borderId="9" xfId="2" applyFont="1" applyFill="1" applyBorder="1" applyAlignment="1">
      <alignment horizontal="center"/>
    </xf>
    <xf numFmtId="9" fontId="23" fillId="6" borderId="10" xfId="2" applyFont="1" applyFill="1" applyBorder="1" applyAlignment="1">
      <alignment horizontal="center"/>
    </xf>
    <xf numFmtId="9" fontId="23" fillId="6" borderId="3" xfId="2" applyFont="1" applyFill="1" applyBorder="1" applyAlignment="1">
      <alignment horizontal="center"/>
    </xf>
    <xf numFmtId="9" fontId="23" fillId="6" borderId="4" xfId="2" applyFont="1" applyFill="1" applyBorder="1" applyAlignment="1">
      <alignment horizontal="center"/>
    </xf>
    <xf numFmtId="9" fontId="23" fillId="6" borderId="11" xfId="2" applyFont="1" applyFill="1" applyBorder="1" applyAlignment="1">
      <alignment horizontal="center"/>
    </xf>
    <xf numFmtId="0" fontId="0" fillId="5" borderId="0" xfId="0" applyFont="1" applyFill="1" applyAlignment="1">
      <alignment horizontal="right"/>
    </xf>
    <xf numFmtId="166" fontId="24" fillId="6" borderId="7" xfId="9" applyNumberFormat="1" applyFont="1" applyFill="1" applyBorder="1"/>
    <xf numFmtId="166" fontId="25" fillId="5" borderId="5" xfId="9" applyNumberFormat="1" applyFont="1" applyFill="1" applyBorder="1"/>
    <xf numFmtId="164" fontId="21" fillId="6" borderId="0" xfId="1" applyNumberFormat="1" applyFont="1" applyFill="1"/>
    <xf numFmtId="9" fontId="21" fillId="6" borderId="0" xfId="2" applyFont="1" applyFill="1" applyAlignment="1">
      <alignment horizontal="center"/>
    </xf>
    <xf numFmtId="164" fontId="26" fillId="0" borderId="0" xfId="1" applyNumberFormat="1" applyFont="1" applyFill="1" applyAlignment="1">
      <alignment horizontal="center"/>
    </xf>
    <xf numFmtId="168" fontId="1" fillId="0" borderId="0" xfId="9" applyNumberFormat="1" applyFont="1" applyFill="1"/>
    <xf numFmtId="0" fontId="4" fillId="5" borderId="0" xfId="0" applyFont="1" applyFill="1" applyBorder="1" applyAlignment="1">
      <alignment horizontal="right"/>
    </xf>
    <xf numFmtId="44" fontId="1" fillId="0" borderId="0" xfId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9" fontId="23" fillId="0" borderId="0" xfId="2" applyFont="1" applyFill="1" applyBorder="1" applyAlignment="1">
      <alignment horizontal="center"/>
    </xf>
    <xf numFmtId="9" fontId="27" fillId="7" borderId="0" xfId="2" applyFont="1" applyFill="1" applyBorder="1" applyAlignment="1">
      <alignment horizontal="center"/>
    </xf>
    <xf numFmtId="17" fontId="28" fillId="7" borderId="0" xfId="0" applyNumberFormat="1" applyFont="1" applyFill="1" applyAlignment="1">
      <alignment horizontal="center" wrapText="1"/>
    </xf>
    <xf numFmtId="17" fontId="28" fillId="7" borderId="0" xfId="0" applyNumberFormat="1" applyFont="1" applyFill="1" applyAlignment="1">
      <alignment horizontal="center"/>
    </xf>
    <xf numFmtId="0" fontId="18" fillId="7" borderId="0" xfId="0" applyFont="1" applyFill="1" applyBorder="1" applyAlignment="1">
      <alignment horizontal="left"/>
    </xf>
    <xf numFmtId="166" fontId="14" fillId="0" borderId="0" xfId="9" applyNumberFormat="1" applyFont="1" applyFill="1"/>
    <xf numFmtId="164" fontId="14" fillId="0" borderId="0" xfId="1" applyNumberFormat="1" applyFont="1" applyFill="1"/>
    <xf numFmtId="44" fontId="6" fillId="0" borderId="0" xfId="1" applyFont="1" applyFill="1"/>
    <xf numFmtId="0" fontId="8" fillId="5" borderId="0" xfId="0" applyFont="1" applyFill="1" applyAlignment="1">
      <alignment horizontal="right"/>
    </xf>
    <xf numFmtId="0" fontId="0" fillId="4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indent="2"/>
    </xf>
    <xf numFmtId="0" fontId="30" fillId="0" borderId="0" xfId="0" applyFont="1" applyFill="1"/>
    <xf numFmtId="0" fontId="6" fillId="0" borderId="0" xfId="0" applyFont="1" applyFill="1" applyAlignment="1">
      <alignment horizontal="right"/>
    </xf>
    <xf numFmtId="44" fontId="7" fillId="0" borderId="0" xfId="1" applyFont="1" applyFill="1" applyBorder="1"/>
    <xf numFmtId="0" fontId="0" fillId="0" borderId="0" xfId="0" applyFont="1" applyFill="1" applyBorder="1"/>
    <xf numFmtId="0" fontId="9" fillId="0" borderId="0" xfId="0" applyFont="1" applyFill="1"/>
    <xf numFmtId="0" fontId="0" fillId="4" borderId="0" xfId="0" applyFont="1" applyFill="1" applyBorder="1"/>
    <xf numFmtId="0" fontId="4" fillId="0" borderId="0" xfId="0" applyFont="1" applyFill="1" applyAlignment="1">
      <alignment horizontal="left" indent="2"/>
    </xf>
    <xf numFmtId="0" fontId="24" fillId="0" borderId="0" xfId="0" applyFont="1" applyFill="1"/>
    <xf numFmtId="165" fontId="24" fillId="0" borderId="0" xfId="2" applyNumberFormat="1" applyFont="1" applyFill="1" applyBorder="1"/>
    <xf numFmtId="0" fontId="24" fillId="0" borderId="0" xfId="0" applyFont="1" applyFill="1" applyBorder="1"/>
    <xf numFmtId="0" fontId="32" fillId="0" borderId="0" xfId="0" applyFont="1" applyFill="1"/>
    <xf numFmtId="0" fontId="33" fillId="0" borderId="0" xfId="0" applyFont="1" applyFill="1"/>
    <xf numFmtId="37" fontId="0" fillId="0" borderId="0" xfId="0" applyNumberFormat="1" applyFont="1" applyFill="1" applyBorder="1"/>
    <xf numFmtId="37" fontId="0" fillId="0" borderId="4" xfId="0" applyNumberFormat="1" applyFont="1" applyFill="1" applyBorder="1"/>
    <xf numFmtId="37" fontId="0" fillId="0" borderId="0" xfId="1" applyNumberFormat="1" applyFont="1" applyFill="1" applyBorder="1"/>
    <xf numFmtId="5" fontId="4" fillId="0" borderId="0" xfId="0" applyNumberFormat="1" applyFont="1" applyFill="1" applyBorder="1"/>
    <xf numFmtId="37" fontId="6" fillId="0" borderId="0" xfId="1" applyNumberFormat="1" applyFont="1" applyFill="1" applyAlignment="1"/>
    <xf numFmtId="5" fontId="6" fillId="0" borderId="0" xfId="1" applyNumberFormat="1" applyFont="1" applyFill="1" applyAlignment="1"/>
    <xf numFmtId="37" fontId="0" fillId="0" borderId="0" xfId="1" applyNumberFormat="1" applyFont="1" applyFill="1" applyAlignment="1">
      <alignment horizontal="right"/>
    </xf>
    <xf numFmtId="37" fontId="0" fillId="0" borderId="0" xfId="1" applyNumberFormat="1" applyFont="1" applyFill="1" applyBorder="1" applyAlignment="1">
      <alignment horizontal="right"/>
    </xf>
    <xf numFmtId="37" fontId="0" fillId="0" borderId="0" xfId="0" applyNumberFormat="1" applyFont="1" applyFill="1" applyAlignment="1">
      <alignment horizontal="right"/>
    </xf>
    <xf numFmtId="5" fontId="0" fillId="0" borderId="0" xfId="1" applyNumberFormat="1" applyFont="1" applyFill="1" applyAlignment="1">
      <alignment horizontal="right"/>
    </xf>
    <xf numFmtId="0" fontId="31" fillId="0" borderId="0" xfId="0" applyFont="1" applyFill="1"/>
    <xf numFmtId="37" fontId="26" fillId="0" borderId="0" xfId="9" applyNumberFormat="1" applyFont="1" applyFill="1" applyAlignment="1">
      <alignment horizontal="right"/>
    </xf>
    <xf numFmtId="37" fontId="6" fillId="0" borderId="0" xfId="1" applyNumberFormat="1" applyFont="1" applyFill="1" applyAlignment="1">
      <alignment horizontal="right"/>
    </xf>
    <xf numFmtId="0" fontId="9" fillId="4" borderId="0" xfId="0" applyFont="1" applyFill="1"/>
    <xf numFmtId="169" fontId="33" fillId="0" borderId="0" xfId="2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left" indent="2"/>
    </xf>
    <xf numFmtId="166" fontId="25" fillId="0" borderId="0" xfId="9" applyNumberFormat="1" applyFont="1" applyFill="1"/>
    <xf numFmtId="164" fontId="4" fillId="5" borderId="0" xfId="1" applyNumberFormat="1" applyFont="1" applyFill="1" applyAlignment="1">
      <alignment horizontal="center" wrapText="1"/>
    </xf>
    <xf numFmtId="166" fontId="0" fillId="5" borderId="0" xfId="2" applyNumberFormat="1" applyFont="1" applyFill="1"/>
    <xf numFmtId="0" fontId="1" fillId="5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17" fontId="34" fillId="8" borderId="0" xfId="0" applyNumberFormat="1" applyFont="1" applyFill="1" applyAlignment="1">
      <alignment horizontal="right"/>
    </xf>
    <xf numFmtId="0" fontId="18" fillId="8" borderId="4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4" xfId="0" applyFont="1" applyFill="1" applyBorder="1" applyAlignment="1">
      <alignment horizontal="left" indent="1"/>
    </xf>
    <xf numFmtId="0" fontId="6" fillId="0" borderId="0" xfId="0" applyFont="1" applyFill="1" applyAlignment="1">
      <alignment horizontal="left" indent="1"/>
    </xf>
    <xf numFmtId="0" fontId="4" fillId="0" borderId="12" xfId="0" applyFont="1" applyFill="1" applyBorder="1"/>
    <xf numFmtId="5" fontId="4" fillId="0" borderId="12" xfId="0" applyNumberFormat="1" applyFont="1" applyFill="1" applyBorder="1"/>
    <xf numFmtId="0" fontId="6" fillId="0" borderId="0" xfId="0" applyFont="1" applyFill="1" applyBorder="1" applyAlignment="1">
      <alignment horizontal="left" indent="1"/>
    </xf>
    <xf numFmtId="37" fontId="6" fillId="0" borderId="0" xfId="1" applyNumberFormat="1" applyFont="1" applyFill="1" applyBorder="1" applyAlignment="1"/>
    <xf numFmtId="0" fontId="4" fillId="0" borderId="9" xfId="0" applyFont="1" applyFill="1" applyBorder="1"/>
    <xf numFmtId="5" fontId="4" fillId="0" borderId="9" xfId="0" applyNumberFormat="1" applyFont="1" applyFill="1" applyBorder="1" applyAlignment="1"/>
    <xf numFmtId="5" fontId="0" fillId="0" borderId="0" xfId="0" applyNumberFormat="1" applyFont="1" applyFill="1" applyBorder="1" applyAlignment="1"/>
    <xf numFmtId="5" fontId="0" fillId="0" borderId="0" xfId="1" applyNumberFormat="1" applyFont="1" applyFill="1" applyBorder="1"/>
    <xf numFmtId="0" fontId="4" fillId="4" borderId="0" xfId="0" applyFont="1" applyFill="1" applyBorder="1"/>
    <xf numFmtId="165" fontId="24" fillId="0" borderId="0" xfId="0" applyNumberFormat="1" applyFont="1" applyFill="1"/>
    <xf numFmtId="0" fontId="23" fillId="0" borderId="0" xfId="0" applyFont="1" applyFill="1"/>
    <xf numFmtId="164" fontId="24" fillId="0" borderId="0" xfId="1" applyNumberFormat="1" applyFont="1" applyFill="1"/>
    <xf numFmtId="0" fontId="33" fillId="0" borderId="0" xfId="0" applyFont="1" applyFill="1" applyAlignment="1">
      <alignment horizontal="left" indent="1"/>
    </xf>
    <xf numFmtId="37" fontId="1" fillId="0" borderId="0" xfId="1" applyNumberFormat="1" applyFont="1" applyFill="1" applyAlignment="1">
      <alignment horizontal="right"/>
    </xf>
    <xf numFmtId="5" fontId="4" fillId="0" borderId="9" xfId="1" applyNumberFormat="1" applyFont="1" applyFill="1" applyBorder="1" applyAlignment="1">
      <alignment horizontal="right"/>
    </xf>
    <xf numFmtId="5" fontId="4" fillId="0" borderId="9" xfId="0" applyNumberFormat="1" applyFont="1" applyFill="1" applyBorder="1" applyAlignment="1">
      <alignment horizontal="right"/>
    </xf>
    <xf numFmtId="0" fontId="0" fillId="0" borderId="0" xfId="0" applyFont="1" applyFill="1" applyAlignment="1"/>
    <xf numFmtId="9" fontId="8" fillId="0" borderId="0" xfId="2" applyFont="1" applyFill="1"/>
    <xf numFmtId="44" fontId="14" fillId="0" borderId="0" xfId="1" applyNumberFormat="1" applyFont="1" applyFill="1"/>
    <xf numFmtId="168" fontId="14" fillId="0" borderId="0" xfId="1" applyNumberFormat="1" applyFont="1" applyFill="1"/>
    <xf numFmtId="0" fontId="4" fillId="0" borderId="12" xfId="0" applyFont="1" applyFill="1" applyBorder="1" applyAlignment="1">
      <alignment horizontal="left"/>
    </xf>
    <xf numFmtId="166" fontId="4" fillId="0" borderId="12" xfId="0" applyNumberFormat="1" applyFont="1" applyFill="1" applyBorder="1"/>
    <xf numFmtId="166" fontId="0" fillId="4" borderId="0" xfId="0" applyNumberFormat="1" applyFont="1" applyFill="1" applyAlignment="1">
      <alignment horizontal="right"/>
    </xf>
    <xf numFmtId="0" fontId="35" fillId="0" borderId="0" xfId="0" applyFont="1" applyFill="1" applyAlignment="1"/>
    <xf numFmtId="44" fontId="6" fillId="0" borderId="0" xfId="1" applyFont="1" applyFill="1" applyBorder="1"/>
    <xf numFmtId="0" fontId="4" fillId="0" borderId="9" xfId="0" applyFont="1" applyFill="1" applyBorder="1" applyAlignment="1"/>
    <xf numFmtId="44" fontId="4" fillId="0" borderId="9" xfId="0" applyNumberFormat="1" applyFont="1" applyFill="1" applyBorder="1"/>
    <xf numFmtId="0" fontId="36" fillId="0" borderId="0" xfId="0" applyFont="1" applyFill="1" applyAlignment="1"/>
    <xf numFmtId="165" fontId="24" fillId="6" borderId="0" xfId="2" applyNumberFormat="1" applyFont="1" applyFill="1" applyBorder="1"/>
    <xf numFmtId="41" fontId="21" fillId="6" borderId="0" xfId="0" applyNumberFormat="1" applyFont="1" applyFill="1" applyAlignment="1">
      <alignment horizontal="right"/>
    </xf>
    <xf numFmtId="9" fontId="24" fillId="6" borderId="2" xfId="2" applyFont="1" applyFill="1" applyBorder="1"/>
    <xf numFmtId="164" fontId="24" fillId="6" borderId="2" xfId="1" applyNumberFormat="1" applyFont="1" applyFill="1" applyBorder="1"/>
    <xf numFmtId="9" fontId="24" fillId="6" borderId="7" xfId="0" applyNumberFormat="1" applyFont="1" applyFill="1" applyBorder="1"/>
    <xf numFmtId="8" fontId="24" fillId="6" borderId="7" xfId="0" applyNumberFormat="1" applyFont="1" applyFill="1" applyBorder="1"/>
    <xf numFmtId="8" fontId="24" fillId="0" borderId="0" xfId="0" applyNumberFormat="1" applyFont="1" applyFill="1" applyBorder="1"/>
    <xf numFmtId="9" fontId="24" fillId="0" borderId="0" xfId="0" applyNumberFormat="1" applyFont="1" applyFill="1" applyBorder="1"/>
    <xf numFmtId="164" fontId="24" fillId="0" borderId="0" xfId="1" applyNumberFormat="1" applyFont="1" applyFill="1" applyBorder="1"/>
    <xf numFmtId="9" fontId="24" fillId="0" borderId="0" xfId="2" applyFont="1" applyFill="1" applyBorder="1"/>
    <xf numFmtId="165" fontId="24" fillId="0" borderId="0" xfId="0" applyNumberFormat="1" applyFont="1" applyFill="1" applyBorder="1"/>
    <xf numFmtId="0" fontId="33" fillId="0" borderId="0" xfId="0" applyFont="1" applyFill="1" applyBorder="1"/>
    <xf numFmtId="0" fontId="9" fillId="0" borderId="0" xfId="0" applyFont="1" applyFill="1" applyBorder="1"/>
    <xf numFmtId="0" fontId="23" fillId="0" borderId="0" xfId="0" applyFont="1" applyFill="1" applyBorder="1"/>
    <xf numFmtId="165" fontId="4" fillId="0" borderId="9" xfId="2" applyNumberFormat="1" applyFont="1" applyFill="1" applyBorder="1" applyAlignment="1"/>
    <xf numFmtId="165" fontId="4" fillId="0" borderId="9" xfId="2" applyNumberFormat="1" applyFont="1" applyFill="1" applyBorder="1"/>
    <xf numFmtId="0" fontId="0" fillId="0" borderId="0" xfId="0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/>
    <xf numFmtId="167" fontId="0" fillId="0" borderId="0" xfId="0" applyNumberFormat="1" applyFont="1" applyFill="1" applyBorder="1"/>
    <xf numFmtId="0" fontId="18" fillId="8" borderId="0" xfId="0" applyFont="1" applyFill="1"/>
    <xf numFmtId="37" fontId="0" fillId="0" borderId="0" xfId="0" applyNumberFormat="1" applyFont="1" applyBorder="1"/>
    <xf numFmtId="37" fontId="0" fillId="0" borderId="0" xfId="0" applyNumberFormat="1" applyFont="1"/>
    <xf numFmtId="0" fontId="18" fillId="8" borderId="14" xfId="0" applyFont="1" applyFill="1" applyBorder="1" applyAlignment="1">
      <alignment horizontal="center"/>
    </xf>
    <xf numFmtId="0" fontId="18" fillId="8" borderId="0" xfId="0" applyFont="1" applyFill="1" applyBorder="1"/>
    <xf numFmtId="0" fontId="18" fillId="8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indent="2"/>
    </xf>
    <xf numFmtId="0" fontId="8" fillId="0" borderId="0" xfId="0" applyFont="1" applyFill="1" applyBorder="1"/>
    <xf numFmtId="0" fontId="4" fillId="0" borderId="15" xfId="0" applyFont="1" applyBorder="1" applyAlignment="1">
      <alignment horizontal="left" indent="1"/>
    </xf>
    <xf numFmtId="0" fontId="0" fillId="0" borderId="0" xfId="0" applyFont="1" applyBorder="1"/>
    <xf numFmtId="0" fontId="4" fillId="0" borderId="0" xfId="0" applyFont="1" applyBorder="1"/>
    <xf numFmtId="0" fontId="4" fillId="0" borderId="16" xfId="0" applyFont="1" applyFill="1" applyBorder="1" applyAlignment="1">
      <alignment horizontal="left" indent="1"/>
    </xf>
    <xf numFmtId="0" fontId="8" fillId="0" borderId="17" xfId="0" applyFont="1" applyFill="1" applyBorder="1" applyAlignment="1">
      <alignment horizontal="left" indent="1"/>
    </xf>
    <xf numFmtId="170" fontId="8" fillId="0" borderId="0" xfId="2" applyNumberFormat="1" applyFont="1" applyFill="1" applyBorder="1"/>
    <xf numFmtId="170" fontId="8" fillId="0" borderId="18" xfId="2" applyNumberFormat="1" applyFont="1" applyFill="1" applyBorder="1"/>
    <xf numFmtId="5" fontId="4" fillId="0" borderId="0" xfId="0" applyNumberFormat="1" applyFont="1" applyBorder="1"/>
    <xf numFmtId="5" fontId="4" fillId="0" borderId="9" xfId="9" applyNumberFormat="1" applyFont="1" applyBorder="1"/>
    <xf numFmtId="5" fontId="4" fillId="0" borderId="0" xfId="9" applyNumberFormat="1" applyFont="1" applyFill="1" applyBorder="1"/>
    <xf numFmtId="5" fontId="0" fillId="0" borderId="0" xfId="0" applyNumberFormat="1" applyFont="1" applyBorder="1"/>
    <xf numFmtId="5" fontId="0" fillId="0" borderId="0" xfId="0" applyNumberFormat="1" applyFont="1" applyFill="1" applyBorder="1"/>
    <xf numFmtId="5" fontId="4" fillId="0" borderId="16" xfId="0" applyNumberFormat="1" applyFont="1" applyBorder="1"/>
    <xf numFmtId="0" fontId="4" fillId="0" borderId="16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2"/>
    </xf>
    <xf numFmtId="44" fontId="0" fillId="0" borderId="0" xfId="1" applyNumberFormat="1" applyFont="1"/>
    <xf numFmtId="44" fontId="0" fillId="0" borderId="0" xfId="1" applyNumberFormat="1" applyFont="1" applyFill="1" applyBorder="1"/>
    <xf numFmtId="168" fontId="0" fillId="0" borderId="0" xfId="0" applyNumberFormat="1" applyFont="1"/>
    <xf numFmtId="168" fontId="0" fillId="0" borderId="0" xfId="0" applyNumberFormat="1" applyFont="1" applyFill="1" applyBorder="1"/>
    <xf numFmtId="0" fontId="0" fillId="0" borderId="0" xfId="0" applyFont="1" applyFill="1" applyAlignment="1">
      <alignment horizontal="left" indent="1"/>
    </xf>
    <xf numFmtId="44" fontId="1" fillId="5" borderId="4" xfId="1" applyFont="1" applyFill="1" applyBorder="1"/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/>
    <xf numFmtId="164" fontId="8" fillId="5" borderId="0" xfId="1" applyNumberFormat="1" applyFont="1" applyFill="1" applyAlignment="1">
      <alignment horizontal="left" indent="1"/>
    </xf>
    <xf numFmtId="164" fontId="10" fillId="5" borderId="4" xfId="1" applyNumberFormat="1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164" fontId="1" fillId="5" borderId="0" xfId="1" applyNumberFormat="1" applyFont="1" applyFill="1" applyAlignment="1">
      <alignment horizontal="left"/>
    </xf>
    <xf numFmtId="164" fontId="1" fillId="0" borderId="0" xfId="1" applyNumberFormat="1" applyFont="1" applyFill="1" applyAlignment="1">
      <alignment horizontal="left"/>
    </xf>
    <xf numFmtId="17" fontId="6" fillId="0" borderId="0" xfId="0" applyNumberFormat="1" applyFont="1" applyFill="1" applyAlignment="1"/>
    <xf numFmtId="0" fontId="4" fillId="5" borderId="0" xfId="1" applyNumberFormat="1" applyFont="1" applyFill="1" applyAlignment="1"/>
    <xf numFmtId="44" fontId="33" fillId="4" borderId="0" xfId="1" applyFont="1" applyFill="1"/>
    <xf numFmtId="164" fontId="37" fillId="4" borderId="0" xfId="1" applyNumberFormat="1" applyFont="1" applyFill="1" applyAlignment="1">
      <alignment horizontal="left"/>
    </xf>
    <xf numFmtId="0" fontId="0" fillId="0" borderId="0" xfId="0" applyFont="1" applyAlignment="1">
      <alignment horizontal="left" indent="1"/>
    </xf>
    <xf numFmtId="17" fontId="28" fillId="7" borderId="0" xfId="0" applyNumberFormat="1" applyFont="1" applyFill="1" applyBorder="1" applyAlignment="1">
      <alignment horizontal="center"/>
    </xf>
    <xf numFmtId="17" fontId="19" fillId="5" borderId="0" xfId="0" applyNumberFormat="1" applyFont="1" applyFill="1" applyBorder="1" applyAlignment="1">
      <alignment horizontal="center"/>
    </xf>
    <xf numFmtId="166" fontId="0" fillId="5" borderId="0" xfId="9" applyNumberFormat="1" applyFont="1" applyFill="1" applyBorder="1"/>
    <xf numFmtId="0" fontId="18" fillId="8" borderId="13" xfId="0" applyFont="1" applyFill="1" applyBorder="1" applyAlignment="1">
      <alignment horizontal="center"/>
    </xf>
    <xf numFmtId="0" fontId="18" fillId="8" borderId="4" xfId="0" applyFont="1" applyFill="1" applyBorder="1" applyAlignment="1">
      <alignment horizontal="center"/>
    </xf>
  </cellXfs>
  <cellStyles count="28">
    <cellStyle name="20% - Accent1 2" xfId="4" xr:uid="{00000000-0005-0000-0000-000000000000}"/>
    <cellStyle name="Comma" xfId="9" builtinId="3"/>
    <cellStyle name="Comma 2" xfId="5" xr:uid="{00000000-0005-0000-0000-000002000000}"/>
    <cellStyle name="Currency" xfId="1" builtinId="4"/>
    <cellStyle name="Currency 2" xfId="6" xr:uid="{00000000-0005-0000-0000-000004000000}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3" xr:uid="{00000000-0005-0000-0000-000018000000}"/>
    <cellStyle name="Note 2" xfId="7" xr:uid="{00000000-0005-0000-0000-000019000000}"/>
    <cellStyle name="Percent" xfId="2" builtinId="5"/>
    <cellStyle name="Percent 2" xfId="8" xr:uid="{00000000-0005-0000-0000-00001B000000}"/>
  </cellStyles>
  <dxfs count="0"/>
  <tableStyles count="0" defaultTableStyle="TableStyleMedium2" defaultPivotStyle="PivotStyleLight16"/>
  <colors>
    <mruColors>
      <color rgb="FFFFFFCC"/>
      <color rgb="FF0000FF"/>
      <color rgb="FF008000"/>
      <color rgb="FFD67DF5"/>
      <color rgb="FF9D4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6"/>
  <sheetViews>
    <sheetView showGridLines="0" zoomScale="90" zoomScaleNormal="90" workbookViewId="0"/>
  </sheetViews>
  <sheetFormatPr baseColWidth="10" defaultColWidth="11.5" defaultRowHeight="15" x14ac:dyDescent="0.2"/>
  <cols>
    <col min="1" max="1" width="30.83203125" style="160" customWidth="1"/>
    <col min="2" max="5" width="13.5" style="160" customWidth="1"/>
    <col min="6" max="6" width="2.83203125" style="79" customWidth="1"/>
    <col min="7" max="10" width="13.5" style="160" customWidth="1"/>
    <col min="11" max="11" width="2.83203125" style="79" customWidth="1"/>
    <col min="12" max="15" width="13.5" style="160" customWidth="1"/>
    <col min="16" max="16" width="2.83203125" style="79" customWidth="1"/>
    <col min="17" max="20" width="13.5" style="160" customWidth="1"/>
    <col min="21" max="16384" width="11.5" style="173"/>
  </cols>
  <sheetData>
    <row r="1" spans="1:20" s="194" customFormat="1" ht="19" x14ac:dyDescent="0.25">
      <c r="A1" s="196" t="s">
        <v>147</v>
      </c>
      <c r="B1" s="192"/>
      <c r="C1" s="193"/>
      <c r="D1" s="192"/>
    </row>
    <row r="3" spans="1:20" s="174" customFormat="1" ht="14.5" customHeight="1" x14ac:dyDescent="0.2">
      <c r="A3" s="164" t="s">
        <v>136</v>
      </c>
      <c r="B3" s="208">
        <v>2018</v>
      </c>
      <c r="C3" s="208"/>
      <c r="D3" s="208"/>
      <c r="E3" s="208"/>
      <c r="F3" s="161"/>
      <c r="G3" s="208">
        <v>2019</v>
      </c>
      <c r="H3" s="208"/>
      <c r="I3" s="208"/>
      <c r="J3" s="208"/>
      <c r="K3" s="161"/>
      <c r="L3" s="208">
        <v>2020</v>
      </c>
      <c r="M3" s="208"/>
      <c r="N3" s="208"/>
      <c r="O3" s="208"/>
      <c r="P3" s="161"/>
      <c r="Q3" s="208">
        <v>2021</v>
      </c>
      <c r="R3" s="208"/>
      <c r="S3" s="208"/>
      <c r="T3" s="208"/>
    </row>
    <row r="4" spans="1:20" s="174" customFormat="1" x14ac:dyDescent="0.2">
      <c r="A4" s="164"/>
      <c r="B4" s="167" t="s">
        <v>55</v>
      </c>
      <c r="C4" s="167" t="s">
        <v>56</v>
      </c>
      <c r="D4" s="167" t="s">
        <v>57</v>
      </c>
      <c r="E4" s="167" t="s">
        <v>58</v>
      </c>
      <c r="F4" s="161"/>
      <c r="G4" s="167" t="s">
        <v>55</v>
      </c>
      <c r="H4" s="167" t="s">
        <v>56</v>
      </c>
      <c r="I4" s="167" t="s">
        <v>57</v>
      </c>
      <c r="J4" s="167" t="s">
        <v>58</v>
      </c>
      <c r="K4" s="161"/>
      <c r="L4" s="167" t="s">
        <v>55</v>
      </c>
      <c r="M4" s="167" t="s">
        <v>56</v>
      </c>
      <c r="N4" s="167" t="s">
        <v>57</v>
      </c>
      <c r="O4" s="167" t="s">
        <v>58</v>
      </c>
      <c r="P4" s="161"/>
      <c r="Q4" s="167" t="s">
        <v>55</v>
      </c>
      <c r="R4" s="167" t="s">
        <v>56</v>
      </c>
      <c r="S4" s="167" t="s">
        <v>57</v>
      </c>
      <c r="T4" s="167" t="s">
        <v>58</v>
      </c>
    </row>
    <row r="5" spans="1:20" x14ac:dyDescent="0.2">
      <c r="A5" s="9" t="s">
        <v>65</v>
      </c>
      <c r="B5" s="165">
        <f>SUM('Monthly Model'!D12:F12)</f>
        <v>1243714.2000000002</v>
      </c>
      <c r="C5" s="165">
        <f>SUM('Monthly Model'!G12:I12)</f>
        <v>1536241.5</v>
      </c>
      <c r="D5" s="165">
        <f>SUM('Monthly Model'!J12:L12)</f>
        <v>1995221.25</v>
      </c>
      <c r="E5" s="165">
        <f>SUM('Monthly Model'!M12:O12)</f>
        <v>2272396.65</v>
      </c>
      <c r="F5" s="88"/>
      <c r="G5" s="165">
        <f>SUM('Monthly Model'!P12:R12)</f>
        <v>3027984.4</v>
      </c>
      <c r="H5" s="165">
        <f>SUM('Monthly Model'!S12:U12)</f>
        <v>3389094.8</v>
      </c>
      <c r="I5" s="165">
        <f>SUM('Monthly Model'!V12:X12)</f>
        <v>4251683.4499999993</v>
      </c>
      <c r="J5" s="165">
        <f>SUM('Monthly Model'!Y12:AA12)</f>
        <v>4766864.55</v>
      </c>
      <c r="K5" s="88"/>
      <c r="L5" s="165">
        <f>SUM('Monthly Model'!AB12:AD12)</f>
        <v>6253870.6500000004</v>
      </c>
      <c r="M5" s="165">
        <f>SUM('Monthly Model'!AE12:AG12)</f>
        <v>7229039.4499999993</v>
      </c>
      <c r="N5" s="165">
        <f>SUM('Monthly Model'!AH12:AJ12)</f>
        <v>8201580.0999999996</v>
      </c>
      <c r="O5" s="165">
        <f>SUM('Monthly Model'!AK12:AM12)</f>
        <v>9118929.5999999996</v>
      </c>
      <c r="P5" s="88"/>
      <c r="Q5" s="165">
        <f>SUM('Monthly Model'!AN12:AP12)</f>
        <v>10871736.300000001</v>
      </c>
      <c r="R5" s="165">
        <f>SUM('Monthly Model'!AQ12:AS12)</f>
        <v>12235129.5</v>
      </c>
      <c r="S5" s="165">
        <f>SUM('Monthly Model'!AT12:AV12)</f>
        <v>13166177.85</v>
      </c>
      <c r="T5" s="165">
        <f>SUM('Monthly Model'!AW12:AY12)</f>
        <v>15003001.500000002</v>
      </c>
    </row>
    <row r="6" spans="1:20" s="174" customFormat="1" x14ac:dyDescent="0.2">
      <c r="A6" s="3" t="s">
        <v>66</v>
      </c>
      <c r="B6" s="179">
        <f>SUM('Monthly Model'!D15:F15)</f>
        <v>1089950.2000000002</v>
      </c>
      <c r="C6" s="179">
        <f>SUM('Monthly Model'!G15:I15)</f>
        <v>1346311.5</v>
      </c>
      <c r="D6" s="179">
        <f>SUM('Monthly Model'!J15:L15)</f>
        <v>1748546.25</v>
      </c>
      <c r="E6" s="179">
        <f>SUM('Monthly Model'!M15:O15)</f>
        <v>1991453.65</v>
      </c>
      <c r="F6" s="91"/>
      <c r="G6" s="179">
        <f>SUM('Monthly Model'!P15:R15)</f>
        <v>2651951.5999999996</v>
      </c>
      <c r="H6" s="179">
        <f>SUM('Monthly Model'!S15:U15)</f>
        <v>2968217.1999999997</v>
      </c>
      <c r="I6" s="179">
        <f>SUM('Monthly Model'!V15:X15)</f>
        <v>3723684.55</v>
      </c>
      <c r="J6" s="179">
        <f>SUM('Monthly Model'!Y15:AA15)</f>
        <v>4174887.45</v>
      </c>
      <c r="K6" s="91"/>
      <c r="L6" s="179">
        <f>SUM('Monthly Model'!AB15:AD15)</f>
        <v>5474323.0499999998</v>
      </c>
      <c r="M6" s="179">
        <f>SUM('Monthly Model'!AE15:AG15)</f>
        <v>6327936.6500000004</v>
      </c>
      <c r="N6" s="179">
        <f>SUM('Monthly Model'!AH15:AJ15)</f>
        <v>7179249.6999999993</v>
      </c>
      <c r="O6" s="179">
        <f>SUM('Monthly Model'!AK15:AM15)</f>
        <v>7982251.2000000002</v>
      </c>
      <c r="P6" s="91"/>
      <c r="Q6" s="179">
        <f>SUM('Monthly Model'!AN15:AP15)</f>
        <v>9512266.5</v>
      </c>
      <c r="R6" s="179">
        <f>SUM('Monthly Model'!AQ15:AS15)</f>
        <v>10705172.5</v>
      </c>
      <c r="S6" s="179">
        <f>SUM('Monthly Model'!AT15:AV15)</f>
        <v>11519796.75</v>
      </c>
      <c r="T6" s="179">
        <f>SUM('Monthly Model'!AW15:AY15)</f>
        <v>13126932.5</v>
      </c>
    </row>
    <row r="7" spans="1:20" x14ac:dyDescent="0.2">
      <c r="A7" s="9" t="s">
        <v>137</v>
      </c>
      <c r="B7" s="165">
        <f>SUM('Monthly Model'!D24:F24)</f>
        <v>784787.79999999993</v>
      </c>
      <c r="C7" s="165">
        <f>SUM('Monthly Model'!G24:I24)</f>
        <v>954544.34999999986</v>
      </c>
      <c r="D7" s="165">
        <f>SUM('Monthly Model'!J24:L24)</f>
        <v>1220472</v>
      </c>
      <c r="E7" s="165">
        <f>SUM('Monthly Model'!M24:O24)</f>
        <v>1314056.855</v>
      </c>
      <c r="F7" s="88"/>
      <c r="G7" s="165">
        <f>SUM('Monthly Model'!P24:R24)</f>
        <v>1587003.0440000002</v>
      </c>
      <c r="H7" s="165">
        <f>SUM('Monthly Model'!S24:U24)</f>
        <v>1743404.5200000003</v>
      </c>
      <c r="I7" s="165">
        <f>SUM('Monthly Model'!V24:X24)</f>
        <v>2065288.0049999999</v>
      </c>
      <c r="J7" s="165">
        <f>SUM('Monthly Model'!Y24:AA24)</f>
        <v>2292772.8450000002</v>
      </c>
      <c r="K7" s="88"/>
      <c r="L7" s="165">
        <f>SUM('Monthly Model'!AB24:AD24)</f>
        <v>2693936.6100000003</v>
      </c>
      <c r="M7" s="165">
        <f>SUM('Monthly Model'!AE24:AG24)</f>
        <v>3114003.33</v>
      </c>
      <c r="N7" s="165">
        <f>SUM('Monthly Model'!AH24:AJ24)</f>
        <v>3532937.9400000004</v>
      </c>
      <c r="O7" s="165">
        <f>SUM('Monthly Model'!AK24:AM24)</f>
        <v>3928098.2399999998</v>
      </c>
      <c r="P7" s="88"/>
      <c r="Q7" s="165">
        <f>SUM('Monthly Model'!AN24:AP24)</f>
        <v>4698013.9050000003</v>
      </c>
      <c r="R7" s="165">
        <f>SUM('Monthly Model'!AQ24:AS24)</f>
        <v>5287178.3250000002</v>
      </c>
      <c r="S7" s="165">
        <f>SUM('Monthly Model'!AT24:AV24)</f>
        <v>5689513.1475</v>
      </c>
      <c r="T7" s="165">
        <f>SUM('Monthly Model'!AW24:AY24)</f>
        <v>6483261.5250000004</v>
      </c>
    </row>
    <row r="8" spans="1:20" s="174" customFormat="1" x14ac:dyDescent="0.2">
      <c r="A8" s="172" t="s">
        <v>120</v>
      </c>
      <c r="B8" s="180">
        <f>B6-B7</f>
        <v>305162.40000000026</v>
      </c>
      <c r="C8" s="180">
        <f t="shared" ref="C8:T8" si="0">C6-C7</f>
        <v>391767.15000000014</v>
      </c>
      <c r="D8" s="180">
        <f t="shared" si="0"/>
        <v>528074.25</v>
      </c>
      <c r="E8" s="180">
        <f t="shared" si="0"/>
        <v>677396.79499999993</v>
      </c>
      <c r="F8" s="181"/>
      <c r="G8" s="180">
        <f t="shared" si="0"/>
        <v>1064948.5559999994</v>
      </c>
      <c r="H8" s="180">
        <f t="shared" si="0"/>
        <v>1224812.6799999995</v>
      </c>
      <c r="I8" s="180">
        <f t="shared" si="0"/>
        <v>1658396.5449999999</v>
      </c>
      <c r="J8" s="180">
        <f t="shared" si="0"/>
        <v>1882114.605</v>
      </c>
      <c r="K8" s="181"/>
      <c r="L8" s="180">
        <f t="shared" si="0"/>
        <v>2780386.4399999995</v>
      </c>
      <c r="M8" s="180">
        <f t="shared" si="0"/>
        <v>3213933.3200000003</v>
      </c>
      <c r="N8" s="180">
        <f t="shared" si="0"/>
        <v>3646311.7599999988</v>
      </c>
      <c r="O8" s="180">
        <f t="shared" si="0"/>
        <v>4054152.9600000004</v>
      </c>
      <c r="P8" s="181"/>
      <c r="Q8" s="180">
        <f t="shared" si="0"/>
        <v>4814252.5949999997</v>
      </c>
      <c r="R8" s="180">
        <f t="shared" si="0"/>
        <v>5417994.1749999998</v>
      </c>
      <c r="S8" s="180">
        <f t="shared" si="0"/>
        <v>5830283.6025</v>
      </c>
      <c r="T8" s="180">
        <f t="shared" si="0"/>
        <v>6643670.9749999996</v>
      </c>
    </row>
    <row r="9" spans="1:20" s="171" customFormat="1" x14ac:dyDescent="0.2">
      <c r="A9" s="170" t="s">
        <v>30</v>
      </c>
      <c r="B9" s="177">
        <f>B8/B6</f>
        <v>0.27997829625610438</v>
      </c>
      <c r="C9" s="177">
        <f t="shared" ref="C9:T9" si="1">C8/C6</f>
        <v>0.29099294628323397</v>
      </c>
      <c r="D9" s="177">
        <f t="shared" si="1"/>
        <v>0.30200759631036356</v>
      </c>
      <c r="E9" s="177">
        <f t="shared" si="1"/>
        <v>0.34015192620727075</v>
      </c>
      <c r="F9" s="177"/>
      <c r="G9" s="177">
        <f t="shared" si="1"/>
        <v>0.4015716410510658</v>
      </c>
      <c r="H9" s="177">
        <f t="shared" si="1"/>
        <v>0.41264253842340093</v>
      </c>
      <c r="I9" s="177">
        <f t="shared" si="1"/>
        <v>0.44536440257808629</v>
      </c>
      <c r="J9" s="177">
        <f t="shared" si="1"/>
        <v>0.4508180466038671</v>
      </c>
      <c r="K9" s="177"/>
      <c r="L9" s="177">
        <f t="shared" si="1"/>
        <v>0.50789593792788679</v>
      </c>
      <c r="M9" s="177">
        <f t="shared" si="1"/>
        <v>0.50789593792788679</v>
      </c>
      <c r="N9" s="177">
        <f t="shared" si="1"/>
        <v>0.50789593792788668</v>
      </c>
      <c r="O9" s="177">
        <f t="shared" si="1"/>
        <v>0.5078959379278869</v>
      </c>
      <c r="P9" s="177"/>
      <c r="Q9" s="177">
        <f t="shared" si="1"/>
        <v>0.50610993657505288</v>
      </c>
      <c r="R9" s="177">
        <f t="shared" si="1"/>
        <v>0.50610993657505288</v>
      </c>
      <c r="S9" s="177">
        <f t="shared" si="1"/>
        <v>0.50610993657505288</v>
      </c>
      <c r="T9" s="177">
        <f t="shared" si="1"/>
        <v>0.50610993657505288</v>
      </c>
    </row>
    <row r="11" spans="1:20" x14ac:dyDescent="0.2">
      <c r="A11" s="186" t="s">
        <v>94</v>
      </c>
      <c r="B11" s="182">
        <f>SUM('Monthly Model'!D38:F38)</f>
        <v>243750</v>
      </c>
      <c r="C11" s="182">
        <f>SUM('Monthly Model'!G38:I38)</f>
        <v>303750</v>
      </c>
      <c r="D11" s="182">
        <f>SUM('Monthly Model'!J38:L38)</f>
        <v>461250</v>
      </c>
      <c r="E11" s="182">
        <f>SUM('Monthly Model'!M38:O38)</f>
        <v>545625</v>
      </c>
      <c r="F11" s="183"/>
      <c r="G11" s="182">
        <f>SUM('Monthly Model'!P38:R38)</f>
        <v>601875</v>
      </c>
      <c r="H11" s="182">
        <f>SUM('Monthly Model'!S38:U38)</f>
        <v>723750</v>
      </c>
      <c r="I11" s="182">
        <f>SUM('Monthly Model'!V38:X38)</f>
        <v>817500</v>
      </c>
      <c r="J11" s="182">
        <f>SUM('Monthly Model'!Y38:AA38)</f>
        <v>817500</v>
      </c>
      <c r="K11" s="183"/>
      <c r="L11" s="182">
        <f>SUM('Monthly Model'!AB38:AD38)</f>
        <v>960000</v>
      </c>
      <c r="M11" s="182">
        <f>SUM('Monthly Model'!AE38:AG38)</f>
        <v>1081875</v>
      </c>
      <c r="N11" s="182">
        <f>SUM('Monthly Model'!AH38:AJ38)</f>
        <v>1175625</v>
      </c>
      <c r="O11" s="182">
        <f>SUM('Monthly Model'!AK38:AM38)</f>
        <v>1175625</v>
      </c>
      <c r="P11" s="183"/>
      <c r="Q11" s="182">
        <f>SUM('Monthly Model'!AN38:AP38)</f>
        <v>1241250</v>
      </c>
      <c r="R11" s="182">
        <f>SUM('Monthly Model'!AQ38:AS38)</f>
        <v>1297500</v>
      </c>
      <c r="S11" s="182">
        <f>SUM('Monthly Model'!AT38:AV38)</f>
        <v>1335000</v>
      </c>
      <c r="T11" s="182">
        <f>SUM('Monthly Model'!AW38:AY38)</f>
        <v>1335000</v>
      </c>
    </row>
    <row r="12" spans="1:20" x14ac:dyDescent="0.2">
      <c r="A12" s="186" t="s">
        <v>87</v>
      </c>
      <c r="B12" s="165">
        <f>SUM('Monthly Model'!D39:F39)</f>
        <v>300000</v>
      </c>
      <c r="C12" s="165">
        <f>SUM('Monthly Model'!G39:I39)</f>
        <v>300000</v>
      </c>
      <c r="D12" s="165">
        <f>SUM('Monthly Model'!J39:L39)</f>
        <v>375000</v>
      </c>
      <c r="E12" s="165">
        <f>SUM('Monthly Model'!M39:O39)</f>
        <v>375000</v>
      </c>
      <c r="F12" s="88"/>
      <c r="G12" s="165">
        <f>SUM('Monthly Model'!P39:R39)</f>
        <v>450000</v>
      </c>
      <c r="H12" s="165">
        <f>SUM('Monthly Model'!S39:U39)</f>
        <v>450000</v>
      </c>
      <c r="I12" s="165">
        <f>SUM('Monthly Model'!V39:X39)</f>
        <v>600000</v>
      </c>
      <c r="J12" s="165">
        <f>SUM('Monthly Model'!Y39:AA39)</f>
        <v>600000</v>
      </c>
      <c r="K12" s="88"/>
      <c r="L12" s="165">
        <f>SUM('Monthly Model'!AB39:AD39)</f>
        <v>750000</v>
      </c>
      <c r="M12" s="165">
        <f>SUM('Monthly Model'!AE39:AG39)</f>
        <v>825000</v>
      </c>
      <c r="N12" s="165">
        <f>SUM('Monthly Model'!AH39:AJ39)</f>
        <v>900000</v>
      </c>
      <c r="O12" s="165">
        <f>SUM('Monthly Model'!AK39:AM39)</f>
        <v>1050000</v>
      </c>
      <c r="P12" s="88"/>
      <c r="Q12" s="165">
        <f>SUM('Monthly Model'!AN39:AP39)</f>
        <v>1200000</v>
      </c>
      <c r="R12" s="165">
        <f>SUM('Monthly Model'!AQ39:AS39)</f>
        <v>1350000</v>
      </c>
      <c r="S12" s="165">
        <f>SUM('Monthly Model'!AT39:AV39)</f>
        <v>1500000</v>
      </c>
      <c r="T12" s="165">
        <f>SUM('Monthly Model'!AW39:AY39)</f>
        <v>1800000</v>
      </c>
    </row>
    <row r="13" spans="1:20" x14ac:dyDescent="0.2">
      <c r="A13" s="186" t="s">
        <v>95</v>
      </c>
      <c r="B13" s="165">
        <f>B14-B11-B12</f>
        <v>290397.0120000001</v>
      </c>
      <c r="C13" s="165">
        <f t="shared" ref="C13:T13" si="2">C14-C11-C12</f>
        <v>305778.68999999994</v>
      </c>
      <c r="D13" s="165">
        <f t="shared" si="2"/>
        <v>329912.77499999991</v>
      </c>
      <c r="E13" s="165">
        <f t="shared" si="2"/>
        <v>344487.21900000004</v>
      </c>
      <c r="F13" s="88"/>
      <c r="G13" s="165">
        <f t="shared" si="2"/>
        <v>384117.0959999999</v>
      </c>
      <c r="H13" s="165">
        <f t="shared" si="2"/>
        <v>403093.03200000012</v>
      </c>
      <c r="I13" s="165">
        <f t="shared" si="2"/>
        <v>448421.07299999986</v>
      </c>
      <c r="J13" s="165">
        <f t="shared" si="2"/>
        <v>475493.24699999997</v>
      </c>
      <c r="K13" s="88"/>
      <c r="L13" s="165">
        <f t="shared" si="2"/>
        <v>553459.38299999991</v>
      </c>
      <c r="M13" s="165">
        <f t="shared" si="2"/>
        <v>604676.19900000002</v>
      </c>
      <c r="N13" s="165">
        <f t="shared" si="2"/>
        <v>655754.98199999984</v>
      </c>
      <c r="O13" s="165">
        <f t="shared" si="2"/>
        <v>703935.07199999969</v>
      </c>
      <c r="P13" s="88"/>
      <c r="Q13" s="165">
        <f t="shared" si="2"/>
        <v>795735.99000000022</v>
      </c>
      <c r="R13" s="165">
        <f t="shared" si="2"/>
        <v>867310.34999999963</v>
      </c>
      <c r="S13" s="165">
        <f t="shared" si="2"/>
        <v>916187.8049999997</v>
      </c>
      <c r="T13" s="165">
        <f t="shared" si="2"/>
        <v>1012615.9500000002</v>
      </c>
    </row>
    <row r="14" spans="1:20" s="174" customFormat="1" x14ac:dyDescent="0.2">
      <c r="A14" s="185" t="s">
        <v>96</v>
      </c>
      <c r="B14" s="184">
        <f>SUM('Monthly Model'!D44:F44)</f>
        <v>834147.0120000001</v>
      </c>
      <c r="C14" s="184">
        <f>SUM('Monthly Model'!G44:I44)</f>
        <v>909528.69</v>
      </c>
      <c r="D14" s="184">
        <f>SUM('Monthly Model'!J44:L44)</f>
        <v>1166162.7749999999</v>
      </c>
      <c r="E14" s="184">
        <f>SUM('Monthly Model'!M44:O44)</f>
        <v>1265112.219</v>
      </c>
      <c r="F14" s="91"/>
      <c r="G14" s="184">
        <f>SUM('Monthly Model'!P44:R44)</f>
        <v>1435992.0959999999</v>
      </c>
      <c r="H14" s="184">
        <f>SUM('Monthly Model'!S44:U44)</f>
        <v>1576843.0320000001</v>
      </c>
      <c r="I14" s="184">
        <f>SUM('Monthly Model'!V44:X44)</f>
        <v>1865921.0729999999</v>
      </c>
      <c r="J14" s="184">
        <f>SUM('Monthly Model'!Y44:AA44)</f>
        <v>1892993.247</v>
      </c>
      <c r="K14" s="91"/>
      <c r="L14" s="184">
        <f>SUM('Monthly Model'!AB44:AD44)</f>
        <v>2263459.3829999999</v>
      </c>
      <c r="M14" s="184">
        <f>SUM('Monthly Model'!AE44:AG44)</f>
        <v>2511551.199</v>
      </c>
      <c r="N14" s="184">
        <f>SUM('Monthly Model'!AH44:AJ44)</f>
        <v>2731379.9819999998</v>
      </c>
      <c r="O14" s="184">
        <f>SUM('Monthly Model'!AK44:AM44)</f>
        <v>2929560.0719999997</v>
      </c>
      <c r="P14" s="91"/>
      <c r="Q14" s="184">
        <f>SUM('Monthly Model'!AN44:AP44)</f>
        <v>3236985.99</v>
      </c>
      <c r="R14" s="184">
        <f>SUM('Monthly Model'!AQ44:AS44)</f>
        <v>3514810.3499999996</v>
      </c>
      <c r="S14" s="184">
        <f>SUM('Monthly Model'!AT44:AV44)</f>
        <v>3751187.8049999997</v>
      </c>
      <c r="T14" s="184">
        <f>SUM('Monthly Model'!AW44:AY44)</f>
        <v>4147615.95</v>
      </c>
    </row>
    <row r="15" spans="1:20" x14ac:dyDescent="0.2">
      <c r="B15" s="166"/>
      <c r="C15" s="166"/>
      <c r="D15" s="166"/>
      <c r="E15" s="166"/>
      <c r="F15" s="88"/>
      <c r="G15" s="166"/>
      <c r="H15" s="166"/>
      <c r="I15" s="166"/>
      <c r="J15" s="166"/>
      <c r="K15" s="88"/>
      <c r="L15" s="166"/>
      <c r="M15" s="166"/>
      <c r="N15" s="166"/>
      <c r="O15" s="166"/>
      <c r="P15" s="88"/>
      <c r="Q15" s="166"/>
      <c r="R15" s="166"/>
      <c r="S15" s="166"/>
      <c r="T15" s="166"/>
    </row>
    <row r="16" spans="1:20" s="174" customFormat="1" x14ac:dyDescent="0.2">
      <c r="A16" s="175" t="s">
        <v>2</v>
      </c>
      <c r="B16" s="184">
        <f>B8-B14</f>
        <v>-528984.61199999985</v>
      </c>
      <c r="C16" s="184">
        <f t="shared" ref="C16:T16" si="3">C8-C14</f>
        <v>-517761.5399999998</v>
      </c>
      <c r="D16" s="184">
        <f t="shared" si="3"/>
        <v>-638088.52499999991</v>
      </c>
      <c r="E16" s="184">
        <f t="shared" si="3"/>
        <v>-587715.42400000012</v>
      </c>
      <c r="F16" s="91"/>
      <c r="G16" s="184">
        <f t="shared" si="3"/>
        <v>-371043.5400000005</v>
      </c>
      <c r="H16" s="184">
        <f t="shared" si="3"/>
        <v>-352030.35200000065</v>
      </c>
      <c r="I16" s="184">
        <f t="shared" si="3"/>
        <v>-207524.52799999993</v>
      </c>
      <c r="J16" s="184">
        <f t="shared" si="3"/>
        <v>-10878.641999999993</v>
      </c>
      <c r="K16" s="91"/>
      <c r="L16" s="184">
        <f t="shared" si="3"/>
        <v>516927.05699999956</v>
      </c>
      <c r="M16" s="184">
        <f t="shared" si="3"/>
        <v>702382.12100000028</v>
      </c>
      <c r="N16" s="184">
        <f t="shared" si="3"/>
        <v>914931.777999999</v>
      </c>
      <c r="O16" s="184">
        <f t="shared" si="3"/>
        <v>1124592.8880000007</v>
      </c>
      <c r="P16" s="91"/>
      <c r="Q16" s="184">
        <f t="shared" si="3"/>
        <v>1577266.6049999995</v>
      </c>
      <c r="R16" s="184">
        <f t="shared" si="3"/>
        <v>1903183.8250000002</v>
      </c>
      <c r="S16" s="184">
        <f t="shared" si="3"/>
        <v>2079095.7975000003</v>
      </c>
      <c r="T16" s="184">
        <f t="shared" si="3"/>
        <v>2496055.0249999994</v>
      </c>
    </row>
    <row r="17" spans="1:20" s="171" customFormat="1" ht="16" thickBot="1" x14ac:dyDescent="0.25">
      <c r="A17" s="176" t="s">
        <v>138</v>
      </c>
      <c r="B17" s="178">
        <f>B16/B6</f>
        <v>-0.48532915724039477</v>
      </c>
      <c r="C17" s="178">
        <f t="shared" ref="C17:T17" si="4">C16/C6</f>
        <v>-0.38457781872917213</v>
      </c>
      <c r="D17" s="178">
        <f t="shared" si="4"/>
        <v>-0.36492516283169513</v>
      </c>
      <c r="E17" s="178">
        <f t="shared" si="4"/>
        <v>-0.29511880630513299</v>
      </c>
      <c r="F17" s="177"/>
      <c r="G17" s="178">
        <f t="shared" si="4"/>
        <v>-0.1399133905762083</v>
      </c>
      <c r="H17" s="178">
        <f t="shared" si="4"/>
        <v>-0.11859992995121808</v>
      </c>
      <c r="I17" s="178">
        <f t="shared" si="4"/>
        <v>-5.5730963569403304E-2</v>
      </c>
      <c r="J17" s="178">
        <f t="shared" si="4"/>
        <v>-2.6057330000596765E-3</v>
      </c>
      <c r="K17" s="177"/>
      <c r="L17" s="178">
        <f t="shared" si="4"/>
        <v>9.4427576209628258E-2</v>
      </c>
      <c r="M17" s="178">
        <f t="shared" si="4"/>
        <v>0.11099702159628924</v>
      </c>
      <c r="N17" s="178">
        <f t="shared" si="4"/>
        <v>0.12744114165579157</v>
      </c>
      <c r="O17" s="178">
        <f t="shared" si="4"/>
        <v>0.14088668219311373</v>
      </c>
      <c r="P17" s="177"/>
      <c r="Q17" s="178">
        <f t="shared" si="4"/>
        <v>0.16581396294983949</v>
      </c>
      <c r="R17" s="178">
        <f t="shared" si="4"/>
        <v>0.17778170552599692</v>
      </c>
      <c r="S17" s="178">
        <f t="shared" si="4"/>
        <v>0.18048025000961934</v>
      </c>
      <c r="T17" s="178">
        <f t="shared" si="4"/>
        <v>0.19014762397841228</v>
      </c>
    </row>
    <row r="18" spans="1:20" ht="16" thickTop="1" x14ac:dyDescent="0.2"/>
    <row r="19" spans="1:20" x14ac:dyDescent="0.2">
      <c r="A19" s="204" t="s">
        <v>98</v>
      </c>
      <c r="B19" s="5">
        <f>SUM('Monthly Model'!D50:F50)</f>
        <v>11828</v>
      </c>
      <c r="C19" s="5">
        <f>SUM('Monthly Model'!G50:I50)</f>
        <v>14610</v>
      </c>
      <c r="D19" s="5">
        <f>SUM('Monthly Model'!J50:L50)</f>
        <v>18975</v>
      </c>
      <c r="E19" s="5">
        <f>SUM('Monthly Model'!M50:O50)</f>
        <v>21611</v>
      </c>
      <c r="F19" s="22"/>
      <c r="G19" s="5">
        <f>SUM('Monthly Model'!P50:R50)</f>
        <v>26296</v>
      </c>
      <c r="H19" s="5">
        <f>SUM('Monthly Model'!S50:U50)</f>
        <v>29432</v>
      </c>
      <c r="I19" s="5">
        <f>SUM('Monthly Model'!V50:X50)</f>
        <v>36923</v>
      </c>
      <c r="J19" s="5">
        <f>SUM('Monthly Model'!Y50:AA50)</f>
        <v>41397</v>
      </c>
      <c r="K19" s="22"/>
      <c r="L19" s="5">
        <f>SUM('Monthly Model'!AB50:AD50)</f>
        <v>49971</v>
      </c>
      <c r="M19" s="5">
        <f>SUM('Monthly Model'!AE50:AG50)</f>
        <v>57763</v>
      </c>
      <c r="N19" s="5">
        <f>SUM('Monthly Model'!AH50:AJ50)</f>
        <v>65534</v>
      </c>
      <c r="O19" s="5">
        <f>SUM('Monthly Model'!AK50:AM50)</f>
        <v>72864</v>
      </c>
      <c r="P19" s="22"/>
      <c r="Q19" s="5">
        <f>SUM('Monthly Model'!AN50:AP50)</f>
        <v>80442</v>
      </c>
      <c r="R19" s="5">
        <f>SUM('Monthly Model'!AQ50:AS50)</f>
        <v>90530</v>
      </c>
      <c r="S19" s="5">
        <f>SUM('Monthly Model'!AT50:AV50)</f>
        <v>97419</v>
      </c>
      <c r="T19" s="5">
        <f>SUM('Monthly Model'!AW50:AY50)</f>
        <v>111010</v>
      </c>
    </row>
    <row r="20" spans="1:20" x14ac:dyDescent="0.2">
      <c r="A20" s="204" t="s">
        <v>102</v>
      </c>
      <c r="B20" s="187">
        <f>'Monthly Model'!D53</f>
        <v>100</v>
      </c>
      <c r="C20" s="187">
        <f>'Monthly Model'!I53</f>
        <v>100</v>
      </c>
      <c r="D20" s="187">
        <f>'Monthly Model'!L53</f>
        <v>100</v>
      </c>
      <c r="E20" s="187">
        <f>'Monthly Model'!O53</f>
        <v>100</v>
      </c>
      <c r="F20" s="188"/>
      <c r="G20" s="187">
        <f>'Monthly Model'!R53</f>
        <v>110</v>
      </c>
      <c r="H20" s="187">
        <f>'Monthly Model'!U53</f>
        <v>110</v>
      </c>
      <c r="I20" s="187">
        <f>'Monthly Model'!X53</f>
        <v>110</v>
      </c>
      <c r="J20" s="187">
        <f>'Monthly Model'!AA53</f>
        <v>110</v>
      </c>
      <c r="K20" s="188"/>
      <c r="L20" s="187">
        <f>'Monthly Model'!AD53</f>
        <v>120</v>
      </c>
      <c r="M20" s="187">
        <f>'Monthly Model'!AG53</f>
        <v>120</v>
      </c>
      <c r="N20" s="187">
        <f>'Monthly Model'!AJ53</f>
        <v>120</v>
      </c>
      <c r="O20" s="187">
        <f>'Monthly Model'!AM53</f>
        <v>120</v>
      </c>
      <c r="P20" s="188"/>
      <c r="Q20" s="187">
        <f>'Monthly Model'!AP53</f>
        <v>130</v>
      </c>
      <c r="R20" s="187">
        <f>'Monthly Model'!AS53</f>
        <v>130</v>
      </c>
      <c r="S20" s="187">
        <f>'Monthly Model'!AV53</f>
        <v>130</v>
      </c>
      <c r="T20" s="187">
        <f>'Monthly Model'!AY53</f>
        <v>130</v>
      </c>
    </row>
    <row r="21" spans="1:20" x14ac:dyDescent="0.2">
      <c r="A21" s="204" t="s">
        <v>106</v>
      </c>
      <c r="B21" s="187">
        <f>'Monthly Model'!D54</f>
        <v>39.984006397441021</v>
      </c>
      <c r="C21" s="187">
        <f>'Monthly Model'!I54</f>
        <v>39.984006397441021</v>
      </c>
      <c r="D21" s="187">
        <f>'Monthly Model'!L54</f>
        <v>40</v>
      </c>
      <c r="E21" s="187">
        <f>'Monthly Model'!O54</f>
        <v>40</v>
      </c>
      <c r="F21" s="188"/>
      <c r="G21" s="187">
        <f>'Monthly Model'!R54</f>
        <v>40</v>
      </c>
      <c r="H21" s="187">
        <f>'Monthly Model'!U54</f>
        <v>40</v>
      </c>
      <c r="I21" s="187">
        <f>'Monthly Model'!X54</f>
        <v>40</v>
      </c>
      <c r="J21" s="187">
        <f>'Monthly Model'!AA54</f>
        <v>40</v>
      </c>
      <c r="K21" s="188"/>
      <c r="L21" s="187">
        <f>'Monthly Model'!AD54</f>
        <v>39.993601023836185</v>
      </c>
      <c r="M21" s="187">
        <f>'Monthly Model'!AG54</f>
        <v>40</v>
      </c>
      <c r="N21" s="187">
        <f>'Monthly Model'!AJ54</f>
        <v>40.816326530612244</v>
      </c>
      <c r="O21" s="187">
        <f>'Monthly Model'!AM54</f>
        <v>48.611111111111114</v>
      </c>
      <c r="P21" s="188"/>
      <c r="Q21" s="187">
        <f>'Monthly Model'!AP54</f>
        <v>49.646270323941913</v>
      </c>
      <c r="R21" s="187">
        <f>'Monthly Model'!AS54</f>
        <v>49.994445061659817</v>
      </c>
      <c r="S21" s="187">
        <f>'Monthly Model'!AV54</f>
        <v>57.142857142857146</v>
      </c>
      <c r="T21" s="187">
        <f>'Monthly Model'!AY54</f>
        <v>57.142857142857146</v>
      </c>
    </row>
    <row r="22" spans="1:20" x14ac:dyDescent="0.2">
      <c r="A22" s="204" t="s">
        <v>104</v>
      </c>
      <c r="B22" s="20">
        <f>'Monthly Model'!D55</f>
        <v>115.8758634365028</v>
      </c>
      <c r="C22" s="20">
        <f>'Monthly Model'!I55</f>
        <v>121.36535076690971</v>
      </c>
      <c r="D22" s="20">
        <f>'Monthly Model'!L55</f>
        <v>126.93983288117197</v>
      </c>
      <c r="E22" s="20">
        <f>'Monthly Model'!O55</f>
        <v>142.97265762344006</v>
      </c>
      <c r="F22" s="14"/>
      <c r="G22" s="20">
        <f>'Monthly Model'!R55</f>
        <v>187.04564525532967</v>
      </c>
      <c r="H22" s="20">
        <f>'Monthly Model'!U55</f>
        <v>193.61848130887452</v>
      </c>
      <c r="I22" s="20">
        <f>'Monthly Model'!X55</f>
        <v>210.52998820029757</v>
      </c>
      <c r="J22" s="20">
        <f>'Monthly Model'!AA55</f>
        <v>213.10800208230043</v>
      </c>
      <c r="K22" s="14"/>
      <c r="L22" s="20">
        <f>'Monthly Model'!AD55</f>
        <v>263.78738635045227</v>
      </c>
      <c r="M22" s="20">
        <f>'Monthly Model'!AG55</f>
        <v>265.84640092942209</v>
      </c>
      <c r="N22" s="20">
        <f>'Monthly Model'!AJ55</f>
        <v>267.63006361832726</v>
      </c>
      <c r="O22" s="20">
        <f>'Monthly Model'!AM55</f>
        <v>267.61036969420354</v>
      </c>
      <c r="P22" s="14"/>
      <c r="Q22" s="20">
        <f>'Monthly Model'!AP55</f>
        <v>291.08074092072837</v>
      </c>
      <c r="R22" s="20">
        <f>'Monthly Model'!AS55</f>
        <v>293.02252789389382</v>
      </c>
      <c r="S22" s="20">
        <f>'Monthly Model'!AV55</f>
        <v>295.11183639987922</v>
      </c>
      <c r="T22" s="20">
        <f>'Monthly Model'!AY55</f>
        <v>297.21474728682165</v>
      </c>
    </row>
    <row r="23" spans="1:20" x14ac:dyDescent="0.2">
      <c r="A23" s="204" t="s">
        <v>105</v>
      </c>
      <c r="B23" s="189">
        <f>'Monthly Model'!D56</f>
        <v>2.8980553445469353</v>
      </c>
      <c r="C23" s="189">
        <f>'Monthly Model'!I56</f>
        <v>3.0353474226804122</v>
      </c>
      <c r="D23" s="189">
        <f>'Monthly Model'!L56</f>
        <v>3.1734958220292993</v>
      </c>
      <c r="E23" s="189">
        <f>'Monthly Model'!O56</f>
        <v>3.5743164405860015</v>
      </c>
      <c r="F23" s="190"/>
      <c r="G23" s="189">
        <f>'Monthly Model'!R56</f>
        <v>4.6761411313832415</v>
      </c>
      <c r="H23" s="189">
        <f>'Monthly Model'!U56</f>
        <v>4.840462032721863</v>
      </c>
      <c r="I23" s="189">
        <f>'Monthly Model'!X56</f>
        <v>5.2632497050074392</v>
      </c>
      <c r="J23" s="189">
        <f>'Monthly Model'!AA56</f>
        <v>5.3277000520575104</v>
      </c>
      <c r="K23" s="190"/>
      <c r="L23" s="189">
        <f>'Monthly Model'!AD56</f>
        <v>6.5957398083067087</v>
      </c>
      <c r="M23" s="189">
        <f>'Monthly Model'!AG56</f>
        <v>6.6461600232355522</v>
      </c>
      <c r="N23" s="189">
        <f>'Monthly Model'!AJ56</f>
        <v>6.556936558649018</v>
      </c>
      <c r="O23" s="189">
        <f>'Monthly Model'!AM56</f>
        <v>5.5051276051379014</v>
      </c>
      <c r="P23" s="190"/>
      <c r="Q23" s="189">
        <f>'Monthly Model'!AP56</f>
        <v>5.8630938239957713</v>
      </c>
      <c r="R23" s="189">
        <f>'Monthly Model'!AS56</f>
        <v>5.861101719050974</v>
      </c>
      <c r="S23" s="189">
        <f>'Monthly Model'!AV56</f>
        <v>5.1644571369978864</v>
      </c>
      <c r="T23" s="189">
        <f>'Monthly Model'!AY56</f>
        <v>5.2012580775193786</v>
      </c>
    </row>
    <row r="24" spans="1:20" x14ac:dyDescent="0.2">
      <c r="A24" s="204" t="s">
        <v>103</v>
      </c>
      <c r="B24" s="160">
        <f>'Monthly Model'!D65</f>
        <v>4</v>
      </c>
      <c r="C24" s="160">
        <f>'Monthly Model'!I65</f>
        <v>8</v>
      </c>
      <c r="D24" s="160">
        <f>'Monthly Model'!L65</f>
        <v>9</v>
      </c>
      <c r="E24" s="160">
        <f>'Monthly Model'!O65</f>
        <v>10</v>
      </c>
      <c r="G24" s="160">
        <f>'Monthly Model'!R65</f>
        <v>11</v>
      </c>
      <c r="H24" s="160">
        <f>'Monthly Model'!U65</f>
        <v>13</v>
      </c>
      <c r="I24" s="160">
        <f>'Monthly Model'!X65</f>
        <v>15</v>
      </c>
      <c r="J24" s="160">
        <f>'Monthly Model'!AA65</f>
        <v>15</v>
      </c>
      <c r="L24" s="160">
        <f>'Monthly Model'!AD65</f>
        <v>18</v>
      </c>
      <c r="M24" s="160">
        <f>'Monthly Model'!AG65</f>
        <v>20</v>
      </c>
      <c r="N24" s="160">
        <f>'Monthly Model'!AJ65</f>
        <v>22</v>
      </c>
      <c r="O24" s="160">
        <f>'Monthly Model'!AM65</f>
        <v>22</v>
      </c>
      <c r="Q24" s="160">
        <f>'Monthly Model'!AP65</f>
        <v>23</v>
      </c>
      <c r="R24" s="160">
        <f>'Monthly Model'!AS65</f>
        <v>24</v>
      </c>
      <c r="S24" s="160">
        <f>'Monthly Model'!AV65</f>
        <v>25</v>
      </c>
      <c r="T24" s="160">
        <f>'Monthly Model'!AY65</f>
        <v>25</v>
      </c>
    </row>
    <row r="26" spans="1:20" x14ac:dyDescent="0.2">
      <c r="A26" s="168" t="s">
        <v>139</v>
      </c>
      <c r="B26" s="169">
        <v>2018</v>
      </c>
      <c r="C26" s="169">
        <v>2019</v>
      </c>
      <c r="D26" s="169">
        <v>2020</v>
      </c>
      <c r="E26" s="169">
        <v>2021</v>
      </c>
    </row>
    <row r="27" spans="1:20" x14ac:dyDescent="0.2">
      <c r="A27" s="9" t="s">
        <v>65</v>
      </c>
      <c r="B27" s="165">
        <f>SUM(B5:E5)</f>
        <v>7047573.5999999996</v>
      </c>
      <c r="C27" s="165">
        <f>SUM(G5:J5)</f>
        <v>15435627.199999999</v>
      </c>
      <c r="D27" s="165">
        <f>SUM(L5:O5)</f>
        <v>30803419.799999997</v>
      </c>
      <c r="E27" s="165">
        <f>SUM(Q5:T5)</f>
        <v>51276045.149999999</v>
      </c>
      <c r="F27" s="162"/>
      <c r="K27" s="162"/>
      <c r="P27" s="162"/>
    </row>
    <row r="28" spans="1:20" x14ac:dyDescent="0.2">
      <c r="A28" s="3" t="s">
        <v>66</v>
      </c>
      <c r="B28" s="179">
        <f t="shared" ref="B28:B29" si="5">SUM(B6:E6)</f>
        <v>6176261.5999999996</v>
      </c>
      <c r="C28" s="179">
        <f>SUM(G6:J6)</f>
        <v>13518740.799999997</v>
      </c>
      <c r="D28" s="179">
        <f t="shared" ref="D28:D29" si="6">SUM(L6:O6)</f>
        <v>26963760.599999998</v>
      </c>
      <c r="E28" s="179">
        <f t="shared" ref="E28:E29" si="7">SUM(Q6:T6)</f>
        <v>44864168.25</v>
      </c>
      <c r="F28" s="21"/>
      <c r="K28" s="21"/>
      <c r="P28" s="21"/>
    </row>
    <row r="29" spans="1:20" x14ac:dyDescent="0.2">
      <c r="A29" s="9" t="s">
        <v>137</v>
      </c>
      <c r="B29" s="165">
        <f t="shared" si="5"/>
        <v>4273861.0049999999</v>
      </c>
      <c r="C29" s="165">
        <f>SUM(G7:J7)</f>
        <v>7688468.4140000008</v>
      </c>
      <c r="D29" s="165">
        <f t="shared" si="6"/>
        <v>13268976.120000001</v>
      </c>
      <c r="E29" s="165">
        <f t="shared" si="7"/>
        <v>22157966.902500004</v>
      </c>
      <c r="F29" s="162"/>
      <c r="K29" s="162"/>
      <c r="P29" s="162"/>
    </row>
    <row r="30" spans="1:20" x14ac:dyDescent="0.2">
      <c r="A30" s="172" t="s">
        <v>120</v>
      </c>
      <c r="B30" s="180">
        <f>B28-B29</f>
        <v>1902400.5949999997</v>
      </c>
      <c r="C30" s="180">
        <f t="shared" ref="C30:E30" si="8">C28-C29</f>
        <v>5830272.3859999962</v>
      </c>
      <c r="D30" s="180">
        <f t="shared" si="8"/>
        <v>13694784.479999997</v>
      </c>
      <c r="E30" s="180">
        <f t="shared" si="8"/>
        <v>22706201.347499996</v>
      </c>
      <c r="F30" s="22"/>
      <c r="K30" s="22"/>
      <c r="P30" s="22"/>
    </row>
    <row r="31" spans="1:20" x14ac:dyDescent="0.2">
      <c r="A31" s="170" t="s">
        <v>30</v>
      </c>
      <c r="B31" s="177">
        <f t="shared" ref="B31:E31" si="9">B30/B28</f>
        <v>0.30801813754132434</v>
      </c>
      <c r="C31" s="177">
        <f t="shared" si="9"/>
        <v>0.43127333175882754</v>
      </c>
      <c r="D31" s="177">
        <f t="shared" si="9"/>
        <v>0.50789593792788668</v>
      </c>
      <c r="E31" s="177">
        <f t="shared" si="9"/>
        <v>0.50610993657505277</v>
      </c>
      <c r="F31" s="23"/>
      <c r="K31" s="23"/>
      <c r="P31" s="23"/>
    </row>
    <row r="33" spans="1:16" x14ac:dyDescent="0.2">
      <c r="A33" s="186" t="s">
        <v>94</v>
      </c>
      <c r="B33" s="182">
        <f t="shared" ref="B33:B35" si="10">SUM(B11:E11)</f>
        <v>1554375</v>
      </c>
      <c r="C33" s="182">
        <f>SUM(G11:J11)</f>
        <v>2960625</v>
      </c>
      <c r="D33" s="182">
        <f t="shared" ref="D33:D35" si="11">SUM(L11:O11)</f>
        <v>4393125</v>
      </c>
      <c r="E33" s="182">
        <f t="shared" ref="E33:E35" si="12">SUM(Q11:T11)</f>
        <v>5208750</v>
      </c>
      <c r="F33" s="162"/>
      <c r="K33" s="162"/>
      <c r="P33" s="162"/>
    </row>
    <row r="34" spans="1:16" x14ac:dyDescent="0.2">
      <c r="A34" s="186" t="s">
        <v>87</v>
      </c>
      <c r="B34" s="165">
        <f t="shared" si="10"/>
        <v>1350000</v>
      </c>
      <c r="C34" s="165">
        <f>SUM(G12:J12)</f>
        <v>2100000</v>
      </c>
      <c r="D34" s="165">
        <f t="shared" si="11"/>
        <v>3525000</v>
      </c>
      <c r="E34" s="165">
        <f t="shared" si="12"/>
        <v>5850000</v>
      </c>
      <c r="F34" s="162"/>
      <c r="K34" s="162"/>
      <c r="P34" s="162"/>
    </row>
    <row r="35" spans="1:16" x14ac:dyDescent="0.2">
      <c r="A35" s="186" t="s">
        <v>95</v>
      </c>
      <c r="B35" s="165">
        <f t="shared" si="10"/>
        <v>1270575.696</v>
      </c>
      <c r="C35" s="165">
        <f>SUM(G13:J13)</f>
        <v>1711124.4479999999</v>
      </c>
      <c r="D35" s="165">
        <f t="shared" si="11"/>
        <v>2517825.6359999995</v>
      </c>
      <c r="E35" s="165">
        <f t="shared" si="12"/>
        <v>3591850.0949999997</v>
      </c>
      <c r="F35" s="162"/>
      <c r="K35" s="162"/>
      <c r="P35" s="162"/>
    </row>
    <row r="36" spans="1:16" x14ac:dyDescent="0.2">
      <c r="A36" s="185" t="s">
        <v>96</v>
      </c>
      <c r="B36" s="184">
        <f>SUM(B33:B35)</f>
        <v>4174950.696</v>
      </c>
      <c r="C36" s="184">
        <f t="shared" ref="C36:E36" si="13">SUM(C33:C35)</f>
        <v>6771749.4479999999</v>
      </c>
      <c r="D36" s="184">
        <f t="shared" si="13"/>
        <v>10435950.636</v>
      </c>
      <c r="E36" s="184">
        <f t="shared" si="13"/>
        <v>14650600.094999999</v>
      </c>
      <c r="F36" s="162"/>
      <c r="K36" s="162"/>
      <c r="P36" s="162"/>
    </row>
    <row r="37" spans="1:16" x14ac:dyDescent="0.2">
      <c r="B37" s="166"/>
      <c r="C37" s="166"/>
      <c r="D37" s="166"/>
      <c r="E37" s="166"/>
    </row>
    <row r="38" spans="1:16" x14ac:dyDescent="0.2">
      <c r="A38" s="175" t="s">
        <v>2</v>
      </c>
      <c r="B38" s="184">
        <f>B30-B36</f>
        <v>-2272550.1010000003</v>
      </c>
      <c r="C38" s="184">
        <f t="shared" ref="C38:E38" si="14">C30-C36</f>
        <v>-941477.06200000364</v>
      </c>
      <c r="D38" s="184">
        <f t="shared" si="14"/>
        <v>3258833.8439999968</v>
      </c>
      <c r="E38" s="184">
        <f t="shared" si="14"/>
        <v>8055601.2524999976</v>
      </c>
      <c r="F38" s="162"/>
      <c r="K38" s="162"/>
      <c r="P38" s="162"/>
    </row>
    <row r="39" spans="1:16" ht="16" thickBot="1" x14ac:dyDescent="0.25">
      <c r="A39" s="176" t="s">
        <v>138</v>
      </c>
      <c r="B39" s="178">
        <f t="shared" ref="B39:E39" si="15">B38/B28</f>
        <v>-0.36794913301599796</v>
      </c>
      <c r="C39" s="178">
        <f t="shared" si="15"/>
        <v>-6.9642363584632369E-2</v>
      </c>
      <c r="D39" s="178">
        <f t="shared" si="15"/>
        <v>0.12085976775806254</v>
      </c>
      <c r="E39" s="178">
        <f t="shared" si="15"/>
        <v>0.17955534598593606</v>
      </c>
      <c r="F39" s="23"/>
      <c r="K39" s="23"/>
      <c r="P39" s="23"/>
    </row>
    <row r="40" spans="1:16" ht="16" thickTop="1" x14ac:dyDescent="0.2"/>
    <row r="41" spans="1:16" x14ac:dyDescent="0.2">
      <c r="A41" s="204" t="s">
        <v>98</v>
      </c>
      <c r="B41" s="5">
        <f t="shared" ref="B41" si="16">SUM(B19:E19)</f>
        <v>67024</v>
      </c>
      <c r="C41" s="5">
        <f>SUM(G19:J19)</f>
        <v>134048</v>
      </c>
      <c r="D41" s="5">
        <f t="shared" ref="D41" si="17">SUM(L19:O19)</f>
        <v>246132</v>
      </c>
      <c r="E41" s="5">
        <f t="shared" ref="E41" si="18">SUM(Q19:T19)</f>
        <v>379401</v>
      </c>
      <c r="F41" s="22"/>
      <c r="K41" s="22"/>
      <c r="P41" s="22"/>
    </row>
    <row r="42" spans="1:16" x14ac:dyDescent="0.2">
      <c r="A42" s="204" t="s">
        <v>102</v>
      </c>
      <c r="B42" s="187">
        <f>E20</f>
        <v>100</v>
      </c>
      <c r="C42" s="187">
        <f>J20</f>
        <v>110</v>
      </c>
      <c r="D42" s="187">
        <f>O20</f>
        <v>120</v>
      </c>
      <c r="E42" s="187">
        <f>T20</f>
        <v>130</v>
      </c>
      <c r="F42" s="14"/>
      <c r="K42" s="14"/>
      <c r="P42" s="14"/>
    </row>
    <row r="43" spans="1:16" x14ac:dyDescent="0.2">
      <c r="A43" s="204" t="s">
        <v>106</v>
      </c>
      <c r="B43" s="187">
        <f t="shared" ref="B43:B46" si="19">E21</f>
        <v>40</v>
      </c>
      <c r="C43" s="187">
        <f t="shared" ref="C43:C46" si="20">J21</f>
        <v>40</v>
      </c>
      <c r="D43" s="187">
        <f t="shared" ref="D43:D46" si="21">O21</f>
        <v>48.611111111111114</v>
      </c>
      <c r="E43" s="187">
        <f t="shared" ref="E43:E46" si="22">T21</f>
        <v>57.142857142857146</v>
      </c>
      <c r="F43" s="14"/>
      <c r="K43" s="14"/>
      <c r="P43" s="14"/>
    </row>
    <row r="44" spans="1:16" x14ac:dyDescent="0.2">
      <c r="A44" s="204" t="s">
        <v>104</v>
      </c>
      <c r="B44" s="20">
        <f t="shared" si="19"/>
        <v>142.97265762344006</v>
      </c>
      <c r="C44" s="20">
        <f t="shared" si="20"/>
        <v>213.10800208230043</v>
      </c>
      <c r="D44" s="20">
        <f t="shared" si="21"/>
        <v>267.61036969420354</v>
      </c>
      <c r="E44" s="20">
        <f t="shared" si="22"/>
        <v>297.21474728682165</v>
      </c>
      <c r="F44" s="14"/>
      <c r="K44" s="14"/>
      <c r="P44" s="14"/>
    </row>
    <row r="45" spans="1:16" x14ac:dyDescent="0.2">
      <c r="A45" s="204" t="s">
        <v>105</v>
      </c>
      <c r="B45" s="189">
        <f t="shared" si="19"/>
        <v>3.5743164405860015</v>
      </c>
      <c r="C45" s="189">
        <f t="shared" si="20"/>
        <v>5.3277000520575104</v>
      </c>
      <c r="D45" s="189">
        <f t="shared" si="21"/>
        <v>5.5051276051379014</v>
      </c>
      <c r="E45" s="189">
        <f t="shared" si="22"/>
        <v>5.2012580775193786</v>
      </c>
      <c r="F45" s="163"/>
      <c r="K45" s="163"/>
      <c r="P45" s="163"/>
    </row>
    <row r="46" spans="1:16" x14ac:dyDescent="0.2">
      <c r="A46" s="204" t="s">
        <v>103</v>
      </c>
      <c r="B46" s="160">
        <f t="shared" si="19"/>
        <v>10</v>
      </c>
      <c r="C46" s="160">
        <f t="shared" si="20"/>
        <v>15</v>
      </c>
      <c r="D46" s="160">
        <f t="shared" si="21"/>
        <v>22</v>
      </c>
      <c r="E46" s="160">
        <f t="shared" si="22"/>
        <v>25</v>
      </c>
    </row>
  </sheetData>
  <mergeCells count="4">
    <mergeCell ref="B3:E3"/>
    <mergeCell ref="G3:J3"/>
    <mergeCell ref="L3:O3"/>
    <mergeCell ref="Q3:T3"/>
  </mergeCells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4"/>
  <sheetViews>
    <sheetView showGridLines="0" tabSelected="1" view="pageBreakPreview" topLeftCell="A4" zoomScale="90" zoomScaleNormal="80" zoomScaleSheetLayoutView="90" zoomScalePageLayoutView="55" workbookViewId="0">
      <pane xSplit="3" ySplit="4" topLeftCell="D11" activePane="bottomRight" state="frozen"/>
      <selection activeCell="A4" sqref="A4"/>
      <selection pane="topRight" activeCell="C4" sqref="C4"/>
      <selection pane="bottomLeft" activeCell="A7" sqref="A7"/>
      <selection pane="bottomRight" activeCell="D50" sqref="D50"/>
    </sheetView>
  </sheetViews>
  <sheetFormatPr baseColWidth="10" defaultColWidth="9.1640625" defaultRowHeight="15" x14ac:dyDescent="0.2"/>
  <cols>
    <col min="1" max="1" width="11.5" style="83" bestFit="1" customWidth="1"/>
    <col min="2" max="2" width="1.83203125" style="85" customWidth="1"/>
    <col min="3" max="3" width="32.83203125" style="74" customWidth="1"/>
    <col min="4" max="51" width="12.83203125" style="74" customWidth="1"/>
    <col min="52" max="16384" width="9.1640625" style="74"/>
  </cols>
  <sheetData>
    <row r="1" spans="1:51" hidden="1" x14ac:dyDescent="0.2">
      <c r="C1" s="61" t="s">
        <v>38</v>
      </c>
    </row>
    <row r="2" spans="1:51" hidden="1" x14ac:dyDescent="0.2"/>
    <row r="3" spans="1:51" hidden="1" x14ac:dyDescent="0.2"/>
    <row r="4" spans="1:51" s="194" customFormat="1" ht="19" x14ac:dyDescent="0.25">
      <c r="A4" s="196" t="s">
        <v>146</v>
      </c>
      <c r="B4" s="192"/>
      <c r="C4" s="193"/>
      <c r="D4" s="192"/>
    </row>
    <row r="5" spans="1:51" s="30" customFormat="1" x14ac:dyDescent="0.2">
      <c r="A5" s="195"/>
      <c r="B5" s="28"/>
      <c r="C5" s="29"/>
      <c r="D5" s="28"/>
    </row>
    <row r="6" spans="1:51" x14ac:dyDescent="0.2">
      <c r="C6" s="112" t="s">
        <v>123</v>
      </c>
      <c r="D6" s="209">
        <v>2018</v>
      </c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>
        <v>2019</v>
      </c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>
        <v>2020</v>
      </c>
      <c r="AC6" s="209"/>
      <c r="AD6" s="209"/>
      <c r="AE6" s="209"/>
      <c r="AF6" s="209"/>
      <c r="AG6" s="209"/>
      <c r="AH6" s="209"/>
      <c r="AI6" s="209"/>
      <c r="AJ6" s="209"/>
      <c r="AK6" s="209"/>
      <c r="AL6" s="209"/>
      <c r="AM6" s="209"/>
      <c r="AN6" s="209">
        <v>2021</v>
      </c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</row>
    <row r="7" spans="1:51" x14ac:dyDescent="0.2">
      <c r="C7" s="111"/>
      <c r="D7" s="111">
        <f t="array" ref="D7:AY7">TRANSPOSE('Cohort Model'!A10:A57)</f>
        <v>43101</v>
      </c>
      <c r="E7" s="111">
        <v>43132</v>
      </c>
      <c r="F7" s="111">
        <v>43160</v>
      </c>
      <c r="G7" s="111">
        <v>43191</v>
      </c>
      <c r="H7" s="111">
        <v>43221</v>
      </c>
      <c r="I7" s="111">
        <v>43252</v>
      </c>
      <c r="J7" s="111">
        <v>43282</v>
      </c>
      <c r="K7" s="111">
        <v>43313</v>
      </c>
      <c r="L7" s="111">
        <v>43344</v>
      </c>
      <c r="M7" s="111">
        <v>43374</v>
      </c>
      <c r="N7" s="111">
        <v>43405</v>
      </c>
      <c r="O7" s="111">
        <v>43435</v>
      </c>
      <c r="P7" s="111">
        <v>43466</v>
      </c>
      <c r="Q7" s="111">
        <v>43497</v>
      </c>
      <c r="R7" s="111">
        <v>43525</v>
      </c>
      <c r="S7" s="111">
        <v>43556</v>
      </c>
      <c r="T7" s="111">
        <v>43586</v>
      </c>
      <c r="U7" s="111">
        <v>43617</v>
      </c>
      <c r="V7" s="111">
        <v>43647</v>
      </c>
      <c r="W7" s="111">
        <v>43678</v>
      </c>
      <c r="X7" s="111">
        <v>43709</v>
      </c>
      <c r="Y7" s="111">
        <v>43739</v>
      </c>
      <c r="Z7" s="111">
        <v>43770</v>
      </c>
      <c r="AA7" s="111">
        <v>43800</v>
      </c>
      <c r="AB7" s="111">
        <v>43831</v>
      </c>
      <c r="AC7" s="111">
        <v>43862</v>
      </c>
      <c r="AD7" s="111">
        <v>43891</v>
      </c>
      <c r="AE7" s="111">
        <v>43922</v>
      </c>
      <c r="AF7" s="111">
        <v>43952</v>
      </c>
      <c r="AG7" s="111">
        <v>43983</v>
      </c>
      <c r="AH7" s="111">
        <v>44013</v>
      </c>
      <c r="AI7" s="111">
        <v>44044</v>
      </c>
      <c r="AJ7" s="111">
        <v>44075</v>
      </c>
      <c r="AK7" s="111">
        <v>44105</v>
      </c>
      <c r="AL7" s="111">
        <v>44136</v>
      </c>
      <c r="AM7" s="111">
        <v>44166</v>
      </c>
      <c r="AN7" s="111">
        <v>44197</v>
      </c>
      <c r="AO7" s="111">
        <v>44228</v>
      </c>
      <c r="AP7" s="111">
        <v>44256</v>
      </c>
      <c r="AQ7" s="111">
        <v>44287</v>
      </c>
      <c r="AR7" s="111">
        <v>44317</v>
      </c>
      <c r="AS7" s="111">
        <v>44348</v>
      </c>
      <c r="AT7" s="111">
        <v>44378</v>
      </c>
      <c r="AU7" s="111">
        <v>44409</v>
      </c>
      <c r="AV7" s="111">
        <v>44440</v>
      </c>
      <c r="AW7" s="111">
        <v>44470</v>
      </c>
      <c r="AX7" s="111">
        <v>44501</v>
      </c>
      <c r="AY7" s="111">
        <v>44531</v>
      </c>
    </row>
    <row r="8" spans="1:51" x14ac:dyDescent="0.2">
      <c r="C8" s="124" t="s">
        <v>39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</row>
    <row r="9" spans="1:51" x14ac:dyDescent="0.2">
      <c r="C9" s="4" t="s">
        <v>81</v>
      </c>
      <c r="D9" s="123">
        <f t="shared" ref="D9:AY9" si="0">D50*D53</f>
        <v>350100</v>
      </c>
      <c r="E9" s="123">
        <f t="shared" si="0"/>
        <v>402600</v>
      </c>
      <c r="F9" s="123">
        <f t="shared" si="0"/>
        <v>430100</v>
      </c>
      <c r="G9" s="123">
        <f t="shared" si="0"/>
        <v>460100</v>
      </c>
      <c r="H9" s="123">
        <f t="shared" si="0"/>
        <v>487600</v>
      </c>
      <c r="I9" s="123">
        <f t="shared" si="0"/>
        <v>513300</v>
      </c>
      <c r="J9" s="123">
        <f t="shared" si="0"/>
        <v>598600</v>
      </c>
      <c r="K9" s="123">
        <f t="shared" si="0"/>
        <v>634600</v>
      </c>
      <c r="L9" s="123">
        <f t="shared" si="0"/>
        <v>664300</v>
      </c>
      <c r="M9" s="123">
        <f t="shared" si="0"/>
        <v>693000</v>
      </c>
      <c r="N9" s="123">
        <f t="shared" si="0"/>
        <v>720600</v>
      </c>
      <c r="O9" s="123">
        <f t="shared" si="0"/>
        <v>747500</v>
      </c>
      <c r="P9" s="123">
        <f t="shared" si="0"/>
        <v>919930</v>
      </c>
      <c r="Q9" s="123">
        <f t="shared" si="0"/>
        <v>966680</v>
      </c>
      <c r="R9" s="123">
        <f t="shared" si="0"/>
        <v>1005950</v>
      </c>
      <c r="S9" s="123">
        <f t="shared" si="0"/>
        <v>1042910</v>
      </c>
      <c r="T9" s="123">
        <f t="shared" si="0"/>
        <v>1079100</v>
      </c>
      <c r="U9" s="123">
        <f t="shared" si="0"/>
        <v>1115510</v>
      </c>
      <c r="V9" s="123">
        <f t="shared" si="0"/>
        <v>1288430</v>
      </c>
      <c r="W9" s="123">
        <f t="shared" si="0"/>
        <v>1358610</v>
      </c>
      <c r="X9" s="123">
        <f t="shared" si="0"/>
        <v>1414490</v>
      </c>
      <c r="Y9" s="123">
        <f t="shared" si="0"/>
        <v>1467510</v>
      </c>
      <c r="Z9" s="123">
        <f t="shared" si="0"/>
        <v>1518440</v>
      </c>
      <c r="AA9" s="123">
        <f t="shared" si="0"/>
        <v>1567720</v>
      </c>
      <c r="AB9" s="123">
        <f t="shared" si="0"/>
        <v>1912560</v>
      </c>
      <c r="AC9" s="123">
        <f t="shared" si="0"/>
        <v>2004360</v>
      </c>
      <c r="AD9" s="123">
        <f t="shared" si="0"/>
        <v>2079600</v>
      </c>
      <c r="AE9" s="123">
        <f t="shared" si="0"/>
        <v>2224680</v>
      </c>
      <c r="AF9" s="123">
        <f t="shared" si="0"/>
        <v>2313000</v>
      </c>
      <c r="AG9" s="123">
        <f t="shared" si="0"/>
        <v>2393880</v>
      </c>
      <c r="AH9" s="123">
        <f t="shared" si="0"/>
        <v>2538840</v>
      </c>
      <c r="AI9" s="123">
        <f t="shared" si="0"/>
        <v>2624640</v>
      </c>
      <c r="AJ9" s="123">
        <f t="shared" si="0"/>
        <v>2700600</v>
      </c>
      <c r="AK9" s="123">
        <f t="shared" si="0"/>
        <v>2920680</v>
      </c>
      <c r="AL9" s="123">
        <f t="shared" si="0"/>
        <v>2884800</v>
      </c>
      <c r="AM9" s="123">
        <f t="shared" si="0"/>
        <v>2938200</v>
      </c>
      <c r="AN9" s="123">
        <f t="shared" si="0"/>
        <v>3383770</v>
      </c>
      <c r="AO9" s="123">
        <f t="shared" si="0"/>
        <v>3491410</v>
      </c>
      <c r="AP9" s="123">
        <f t="shared" si="0"/>
        <v>3582280</v>
      </c>
      <c r="AQ9" s="123">
        <f t="shared" si="0"/>
        <v>3798340</v>
      </c>
      <c r="AR9" s="123">
        <f t="shared" si="0"/>
        <v>3927560</v>
      </c>
      <c r="AS9" s="123">
        <f t="shared" si="0"/>
        <v>4043000</v>
      </c>
      <c r="AT9" s="123">
        <f t="shared" si="0"/>
        <v>4120090</v>
      </c>
      <c r="AU9" s="123">
        <f t="shared" si="0"/>
        <v>4221100</v>
      </c>
      <c r="AV9" s="123">
        <f t="shared" si="0"/>
        <v>4323280</v>
      </c>
      <c r="AW9" s="123">
        <f t="shared" si="0"/>
        <v>4652440</v>
      </c>
      <c r="AX9" s="123">
        <f t="shared" si="0"/>
        <v>4819230</v>
      </c>
      <c r="AY9" s="123">
        <f t="shared" si="0"/>
        <v>4959630</v>
      </c>
    </row>
    <row r="10" spans="1:51" x14ac:dyDescent="0.2">
      <c r="A10" s="149">
        <v>5</v>
      </c>
      <c r="B10" s="150"/>
      <c r="C10" s="4" t="s">
        <v>125</v>
      </c>
      <c r="D10" s="88">
        <f t="shared" ref="D10:AY10" si="1">D50*$A10</f>
        <v>17505</v>
      </c>
      <c r="E10" s="88">
        <f t="shared" si="1"/>
        <v>20130</v>
      </c>
      <c r="F10" s="88">
        <f t="shared" si="1"/>
        <v>21505</v>
      </c>
      <c r="G10" s="88">
        <f t="shared" si="1"/>
        <v>23005</v>
      </c>
      <c r="H10" s="88">
        <f t="shared" si="1"/>
        <v>24380</v>
      </c>
      <c r="I10" s="88">
        <f t="shared" si="1"/>
        <v>25665</v>
      </c>
      <c r="J10" s="88">
        <f t="shared" si="1"/>
        <v>29930</v>
      </c>
      <c r="K10" s="88">
        <f t="shared" si="1"/>
        <v>31730</v>
      </c>
      <c r="L10" s="88">
        <f t="shared" si="1"/>
        <v>33215</v>
      </c>
      <c r="M10" s="88">
        <f t="shared" si="1"/>
        <v>34650</v>
      </c>
      <c r="N10" s="88">
        <f t="shared" si="1"/>
        <v>36030</v>
      </c>
      <c r="O10" s="88">
        <f t="shared" si="1"/>
        <v>37375</v>
      </c>
      <c r="P10" s="88">
        <f t="shared" si="1"/>
        <v>41815</v>
      </c>
      <c r="Q10" s="88">
        <f t="shared" si="1"/>
        <v>43940</v>
      </c>
      <c r="R10" s="88">
        <f t="shared" si="1"/>
        <v>45725</v>
      </c>
      <c r="S10" s="88">
        <f t="shared" si="1"/>
        <v>47405</v>
      </c>
      <c r="T10" s="88">
        <f t="shared" si="1"/>
        <v>49050</v>
      </c>
      <c r="U10" s="88">
        <f t="shared" si="1"/>
        <v>50705</v>
      </c>
      <c r="V10" s="88">
        <f t="shared" si="1"/>
        <v>58565</v>
      </c>
      <c r="W10" s="88">
        <f t="shared" si="1"/>
        <v>61755</v>
      </c>
      <c r="X10" s="88">
        <f t="shared" si="1"/>
        <v>64295</v>
      </c>
      <c r="Y10" s="88">
        <f t="shared" si="1"/>
        <v>66705</v>
      </c>
      <c r="Z10" s="88">
        <f t="shared" si="1"/>
        <v>69020</v>
      </c>
      <c r="AA10" s="88">
        <f t="shared" si="1"/>
        <v>71260</v>
      </c>
      <c r="AB10" s="88">
        <f t="shared" si="1"/>
        <v>79690</v>
      </c>
      <c r="AC10" s="88">
        <f t="shared" si="1"/>
        <v>83515</v>
      </c>
      <c r="AD10" s="88">
        <f t="shared" si="1"/>
        <v>86650</v>
      </c>
      <c r="AE10" s="88">
        <f t="shared" si="1"/>
        <v>92695</v>
      </c>
      <c r="AF10" s="88">
        <f t="shared" si="1"/>
        <v>96375</v>
      </c>
      <c r="AG10" s="88">
        <f t="shared" si="1"/>
        <v>99745</v>
      </c>
      <c r="AH10" s="88">
        <f t="shared" si="1"/>
        <v>105785</v>
      </c>
      <c r="AI10" s="88">
        <f t="shared" si="1"/>
        <v>109360</v>
      </c>
      <c r="AJ10" s="88">
        <f t="shared" si="1"/>
        <v>112525</v>
      </c>
      <c r="AK10" s="88">
        <f t="shared" si="1"/>
        <v>121695</v>
      </c>
      <c r="AL10" s="88">
        <f t="shared" si="1"/>
        <v>120200</v>
      </c>
      <c r="AM10" s="88">
        <f t="shared" si="1"/>
        <v>122425</v>
      </c>
      <c r="AN10" s="88">
        <f t="shared" si="1"/>
        <v>130145</v>
      </c>
      <c r="AO10" s="88">
        <f t="shared" si="1"/>
        <v>134285</v>
      </c>
      <c r="AP10" s="88">
        <f t="shared" si="1"/>
        <v>137780</v>
      </c>
      <c r="AQ10" s="88">
        <f t="shared" si="1"/>
        <v>146090</v>
      </c>
      <c r="AR10" s="88">
        <f t="shared" si="1"/>
        <v>151060</v>
      </c>
      <c r="AS10" s="88">
        <f t="shared" si="1"/>
        <v>155500</v>
      </c>
      <c r="AT10" s="88">
        <f t="shared" si="1"/>
        <v>158465</v>
      </c>
      <c r="AU10" s="88">
        <f t="shared" si="1"/>
        <v>162350</v>
      </c>
      <c r="AV10" s="88">
        <f t="shared" si="1"/>
        <v>166280</v>
      </c>
      <c r="AW10" s="88">
        <f t="shared" si="1"/>
        <v>178940</v>
      </c>
      <c r="AX10" s="88">
        <f t="shared" si="1"/>
        <v>185355</v>
      </c>
      <c r="AY10" s="88">
        <f t="shared" si="1"/>
        <v>190755</v>
      </c>
    </row>
    <row r="11" spans="1:51" x14ac:dyDescent="0.2">
      <c r="A11" s="149">
        <v>5</v>
      </c>
      <c r="B11" s="150"/>
      <c r="C11" s="114" t="s">
        <v>126</v>
      </c>
      <c r="D11" s="89">
        <f t="shared" ref="D11:AY11" si="2">D51*$A11</f>
        <v>525.15</v>
      </c>
      <c r="E11" s="89">
        <f t="shared" si="2"/>
        <v>603.9</v>
      </c>
      <c r="F11" s="89">
        <f t="shared" si="2"/>
        <v>645.15</v>
      </c>
      <c r="G11" s="89">
        <f t="shared" si="2"/>
        <v>690.15</v>
      </c>
      <c r="H11" s="89">
        <f t="shared" si="2"/>
        <v>731.4</v>
      </c>
      <c r="I11" s="89">
        <f t="shared" si="2"/>
        <v>769.94999999999993</v>
      </c>
      <c r="J11" s="89">
        <f t="shared" si="2"/>
        <v>897.89999999999986</v>
      </c>
      <c r="K11" s="89">
        <f t="shared" si="2"/>
        <v>951.9</v>
      </c>
      <c r="L11" s="89">
        <f t="shared" si="2"/>
        <v>996.44999999999993</v>
      </c>
      <c r="M11" s="89">
        <f t="shared" si="2"/>
        <v>1039.5</v>
      </c>
      <c r="N11" s="89">
        <f t="shared" si="2"/>
        <v>1080.8999999999999</v>
      </c>
      <c r="O11" s="89">
        <f t="shared" si="2"/>
        <v>1121.25</v>
      </c>
      <c r="P11" s="89">
        <f t="shared" si="2"/>
        <v>1254.4499999999998</v>
      </c>
      <c r="Q11" s="89">
        <f t="shared" si="2"/>
        <v>1318.1999999999998</v>
      </c>
      <c r="R11" s="89">
        <f t="shared" si="2"/>
        <v>1371.7499999999998</v>
      </c>
      <c r="S11" s="89">
        <f t="shared" si="2"/>
        <v>1422.15</v>
      </c>
      <c r="T11" s="89">
        <f t="shared" si="2"/>
        <v>1471.5</v>
      </c>
      <c r="U11" s="89">
        <f t="shared" si="2"/>
        <v>1521.1499999999999</v>
      </c>
      <c r="V11" s="89">
        <f t="shared" si="2"/>
        <v>1756.9499999999998</v>
      </c>
      <c r="W11" s="89">
        <f t="shared" si="2"/>
        <v>1852.6499999999999</v>
      </c>
      <c r="X11" s="89">
        <f t="shared" si="2"/>
        <v>1928.85</v>
      </c>
      <c r="Y11" s="89">
        <f t="shared" si="2"/>
        <v>2001.1499999999999</v>
      </c>
      <c r="Z11" s="89">
        <f t="shared" si="2"/>
        <v>2070.6</v>
      </c>
      <c r="AA11" s="89">
        <f t="shared" si="2"/>
        <v>2137.8000000000002</v>
      </c>
      <c r="AB11" s="89">
        <f t="shared" si="2"/>
        <v>2390.6999999999998</v>
      </c>
      <c r="AC11" s="89">
        <f t="shared" si="2"/>
        <v>2505.4499999999998</v>
      </c>
      <c r="AD11" s="89">
        <f t="shared" si="2"/>
        <v>2599.5</v>
      </c>
      <c r="AE11" s="89">
        <f t="shared" si="2"/>
        <v>2780.85</v>
      </c>
      <c r="AF11" s="89">
        <f t="shared" si="2"/>
        <v>2891.25</v>
      </c>
      <c r="AG11" s="89">
        <f t="shared" si="2"/>
        <v>2992.3500000000004</v>
      </c>
      <c r="AH11" s="89">
        <f t="shared" si="2"/>
        <v>3173.5499999999997</v>
      </c>
      <c r="AI11" s="89">
        <f t="shared" si="2"/>
        <v>3280.7999999999997</v>
      </c>
      <c r="AJ11" s="89">
        <f t="shared" si="2"/>
        <v>3375.75</v>
      </c>
      <c r="AK11" s="89">
        <f t="shared" si="2"/>
        <v>3650.85</v>
      </c>
      <c r="AL11" s="89">
        <f t="shared" si="2"/>
        <v>3605.9999999999995</v>
      </c>
      <c r="AM11" s="89">
        <f t="shared" si="2"/>
        <v>3672.75</v>
      </c>
      <c r="AN11" s="89">
        <f t="shared" si="2"/>
        <v>3904.35</v>
      </c>
      <c r="AO11" s="89">
        <f t="shared" si="2"/>
        <v>4028.5499999999997</v>
      </c>
      <c r="AP11" s="89">
        <f t="shared" si="2"/>
        <v>4133.3999999999996</v>
      </c>
      <c r="AQ11" s="89">
        <f t="shared" si="2"/>
        <v>4382.7</v>
      </c>
      <c r="AR11" s="89">
        <f t="shared" si="2"/>
        <v>4531.8</v>
      </c>
      <c r="AS11" s="89">
        <f t="shared" si="2"/>
        <v>4665</v>
      </c>
      <c r="AT11" s="89">
        <f t="shared" si="2"/>
        <v>4753.95</v>
      </c>
      <c r="AU11" s="89">
        <f t="shared" si="2"/>
        <v>4870.5</v>
      </c>
      <c r="AV11" s="89">
        <f t="shared" si="2"/>
        <v>4988.3999999999996</v>
      </c>
      <c r="AW11" s="89">
        <f t="shared" si="2"/>
        <v>5368.1999999999989</v>
      </c>
      <c r="AX11" s="89">
        <f t="shared" si="2"/>
        <v>5560.65</v>
      </c>
      <c r="AY11" s="89">
        <f t="shared" si="2"/>
        <v>5722.65</v>
      </c>
    </row>
    <row r="12" spans="1:51" s="61" customFormat="1" x14ac:dyDescent="0.2">
      <c r="A12" s="125"/>
      <c r="B12" s="154"/>
      <c r="C12" s="110" t="s">
        <v>65</v>
      </c>
      <c r="D12" s="91">
        <f>SUM(D9:D11)</f>
        <v>368130.15</v>
      </c>
      <c r="E12" s="91">
        <f t="shared" ref="E12:AY12" si="3">SUM(E9:E11)</f>
        <v>423333.9</v>
      </c>
      <c r="F12" s="91">
        <f t="shared" si="3"/>
        <v>452250.15</v>
      </c>
      <c r="G12" s="91">
        <f t="shared" si="3"/>
        <v>483795.15</v>
      </c>
      <c r="H12" s="91">
        <f t="shared" si="3"/>
        <v>512711.4</v>
      </c>
      <c r="I12" s="91">
        <f t="shared" si="3"/>
        <v>539734.94999999995</v>
      </c>
      <c r="J12" s="91">
        <f t="shared" si="3"/>
        <v>629427.9</v>
      </c>
      <c r="K12" s="91">
        <f t="shared" si="3"/>
        <v>667281.9</v>
      </c>
      <c r="L12" s="91">
        <f t="shared" si="3"/>
        <v>698511.45</v>
      </c>
      <c r="M12" s="91">
        <f t="shared" si="3"/>
        <v>728689.5</v>
      </c>
      <c r="N12" s="91">
        <f t="shared" si="3"/>
        <v>757710.9</v>
      </c>
      <c r="O12" s="91">
        <f t="shared" si="3"/>
        <v>785996.25</v>
      </c>
      <c r="P12" s="91">
        <f t="shared" si="3"/>
        <v>962999.45</v>
      </c>
      <c r="Q12" s="91">
        <f t="shared" si="3"/>
        <v>1011938.2</v>
      </c>
      <c r="R12" s="91">
        <f t="shared" si="3"/>
        <v>1053046.75</v>
      </c>
      <c r="S12" s="91">
        <f t="shared" si="3"/>
        <v>1091737.1499999999</v>
      </c>
      <c r="T12" s="91">
        <f t="shared" si="3"/>
        <v>1129621.5</v>
      </c>
      <c r="U12" s="91">
        <f t="shared" si="3"/>
        <v>1167736.1499999999</v>
      </c>
      <c r="V12" s="91">
        <f t="shared" si="3"/>
        <v>1348751.95</v>
      </c>
      <c r="W12" s="91">
        <f t="shared" si="3"/>
        <v>1422217.65</v>
      </c>
      <c r="X12" s="91">
        <f t="shared" si="3"/>
        <v>1480713.85</v>
      </c>
      <c r="Y12" s="91">
        <f t="shared" si="3"/>
        <v>1536216.15</v>
      </c>
      <c r="Z12" s="91">
        <f t="shared" si="3"/>
        <v>1589530.6</v>
      </c>
      <c r="AA12" s="91">
        <f t="shared" si="3"/>
        <v>1641117.8</v>
      </c>
      <c r="AB12" s="91">
        <f t="shared" si="3"/>
        <v>1994640.7</v>
      </c>
      <c r="AC12" s="91">
        <f t="shared" si="3"/>
        <v>2090380.45</v>
      </c>
      <c r="AD12" s="91">
        <f t="shared" si="3"/>
        <v>2168849.5</v>
      </c>
      <c r="AE12" s="91">
        <f t="shared" si="3"/>
        <v>2320155.85</v>
      </c>
      <c r="AF12" s="91">
        <f t="shared" si="3"/>
        <v>2412266.25</v>
      </c>
      <c r="AG12" s="91">
        <f t="shared" si="3"/>
        <v>2496617.35</v>
      </c>
      <c r="AH12" s="91">
        <f t="shared" si="3"/>
        <v>2647798.5499999998</v>
      </c>
      <c r="AI12" s="91">
        <f t="shared" si="3"/>
        <v>2737280.8</v>
      </c>
      <c r="AJ12" s="91">
        <f t="shared" si="3"/>
        <v>2816500.75</v>
      </c>
      <c r="AK12" s="91">
        <f t="shared" si="3"/>
        <v>3046025.85</v>
      </c>
      <c r="AL12" s="91">
        <f t="shared" si="3"/>
        <v>3008606</v>
      </c>
      <c r="AM12" s="91">
        <f t="shared" si="3"/>
        <v>3064297.75</v>
      </c>
      <c r="AN12" s="91">
        <f t="shared" si="3"/>
        <v>3517819.35</v>
      </c>
      <c r="AO12" s="91">
        <f t="shared" si="3"/>
        <v>3629723.55</v>
      </c>
      <c r="AP12" s="91">
        <f t="shared" si="3"/>
        <v>3724193.4</v>
      </c>
      <c r="AQ12" s="91">
        <f t="shared" si="3"/>
        <v>3948812.7</v>
      </c>
      <c r="AR12" s="91">
        <f t="shared" si="3"/>
        <v>4083151.8</v>
      </c>
      <c r="AS12" s="91">
        <f t="shared" si="3"/>
        <v>4203165</v>
      </c>
      <c r="AT12" s="91">
        <f t="shared" si="3"/>
        <v>4283308.95</v>
      </c>
      <c r="AU12" s="91">
        <f t="shared" si="3"/>
        <v>4388320.5</v>
      </c>
      <c r="AV12" s="91">
        <f t="shared" si="3"/>
        <v>4494548.4000000004</v>
      </c>
      <c r="AW12" s="91">
        <f t="shared" si="3"/>
        <v>4836748.2</v>
      </c>
      <c r="AX12" s="91">
        <f t="shared" si="3"/>
        <v>5010145.6500000004</v>
      </c>
      <c r="AY12" s="91">
        <f t="shared" si="3"/>
        <v>5156107.6500000004</v>
      </c>
    </row>
    <row r="13" spans="1:51" x14ac:dyDescent="0.2">
      <c r="A13" s="148">
        <v>0.1</v>
      </c>
      <c r="B13" s="151"/>
      <c r="C13" s="113" t="s">
        <v>127</v>
      </c>
      <c r="D13" s="90">
        <f>D9*$A$13</f>
        <v>35010</v>
      </c>
      <c r="E13" s="90">
        <f t="shared" ref="E13:AY13" si="4">E9*$A$13</f>
        <v>40260</v>
      </c>
      <c r="F13" s="90">
        <f t="shared" si="4"/>
        <v>43010</v>
      </c>
      <c r="G13" s="90">
        <f t="shared" si="4"/>
        <v>46010</v>
      </c>
      <c r="H13" s="90">
        <f t="shared" si="4"/>
        <v>48760</v>
      </c>
      <c r="I13" s="90">
        <f t="shared" si="4"/>
        <v>51330</v>
      </c>
      <c r="J13" s="90">
        <f t="shared" si="4"/>
        <v>59860</v>
      </c>
      <c r="K13" s="90">
        <f t="shared" si="4"/>
        <v>63460</v>
      </c>
      <c r="L13" s="90">
        <f t="shared" si="4"/>
        <v>66430</v>
      </c>
      <c r="M13" s="90">
        <f t="shared" si="4"/>
        <v>69300</v>
      </c>
      <c r="N13" s="90">
        <f t="shared" si="4"/>
        <v>72060</v>
      </c>
      <c r="O13" s="90">
        <f t="shared" si="4"/>
        <v>74750</v>
      </c>
      <c r="P13" s="90">
        <f t="shared" si="4"/>
        <v>91993</v>
      </c>
      <c r="Q13" s="90">
        <f t="shared" si="4"/>
        <v>96668</v>
      </c>
      <c r="R13" s="90">
        <f t="shared" si="4"/>
        <v>100595</v>
      </c>
      <c r="S13" s="90">
        <f t="shared" si="4"/>
        <v>104291</v>
      </c>
      <c r="T13" s="90">
        <f t="shared" si="4"/>
        <v>107910</v>
      </c>
      <c r="U13" s="90">
        <f t="shared" si="4"/>
        <v>111551</v>
      </c>
      <c r="V13" s="90">
        <f t="shared" si="4"/>
        <v>128843</v>
      </c>
      <c r="W13" s="90">
        <f t="shared" si="4"/>
        <v>135861</v>
      </c>
      <c r="X13" s="90">
        <f t="shared" si="4"/>
        <v>141449</v>
      </c>
      <c r="Y13" s="90">
        <f t="shared" si="4"/>
        <v>146751</v>
      </c>
      <c r="Z13" s="90">
        <f t="shared" si="4"/>
        <v>151844</v>
      </c>
      <c r="AA13" s="90">
        <f t="shared" si="4"/>
        <v>156772</v>
      </c>
      <c r="AB13" s="90">
        <f t="shared" si="4"/>
        <v>191256</v>
      </c>
      <c r="AC13" s="90">
        <f t="shared" si="4"/>
        <v>200436</v>
      </c>
      <c r="AD13" s="90">
        <f t="shared" si="4"/>
        <v>207960</v>
      </c>
      <c r="AE13" s="90">
        <f t="shared" si="4"/>
        <v>222468</v>
      </c>
      <c r="AF13" s="90">
        <f t="shared" si="4"/>
        <v>231300</v>
      </c>
      <c r="AG13" s="90">
        <f t="shared" si="4"/>
        <v>239388</v>
      </c>
      <c r="AH13" s="90">
        <f t="shared" si="4"/>
        <v>253884</v>
      </c>
      <c r="AI13" s="90">
        <f t="shared" si="4"/>
        <v>262464</v>
      </c>
      <c r="AJ13" s="90">
        <f t="shared" si="4"/>
        <v>270060</v>
      </c>
      <c r="AK13" s="90">
        <f t="shared" si="4"/>
        <v>292068</v>
      </c>
      <c r="AL13" s="90">
        <f t="shared" si="4"/>
        <v>288480</v>
      </c>
      <c r="AM13" s="90">
        <f t="shared" si="4"/>
        <v>293820</v>
      </c>
      <c r="AN13" s="90">
        <f t="shared" si="4"/>
        <v>338377</v>
      </c>
      <c r="AO13" s="90">
        <f t="shared" si="4"/>
        <v>349141</v>
      </c>
      <c r="AP13" s="90">
        <f t="shared" si="4"/>
        <v>358228</v>
      </c>
      <c r="AQ13" s="90">
        <f t="shared" si="4"/>
        <v>379834</v>
      </c>
      <c r="AR13" s="90">
        <f t="shared" si="4"/>
        <v>392756</v>
      </c>
      <c r="AS13" s="90">
        <f t="shared" si="4"/>
        <v>404300</v>
      </c>
      <c r="AT13" s="90">
        <f t="shared" si="4"/>
        <v>412009</v>
      </c>
      <c r="AU13" s="90">
        <f t="shared" si="4"/>
        <v>422110</v>
      </c>
      <c r="AV13" s="90">
        <f t="shared" si="4"/>
        <v>432328</v>
      </c>
      <c r="AW13" s="90">
        <f t="shared" si="4"/>
        <v>465244</v>
      </c>
      <c r="AX13" s="90">
        <f t="shared" si="4"/>
        <v>481923</v>
      </c>
      <c r="AY13" s="90">
        <f t="shared" si="4"/>
        <v>495963</v>
      </c>
    </row>
    <row r="14" spans="1:51" x14ac:dyDescent="0.2">
      <c r="C14" s="113" t="s">
        <v>128</v>
      </c>
      <c r="D14" s="88">
        <f t="shared" ref="D14:AY14" si="5">D51*D53</f>
        <v>10503</v>
      </c>
      <c r="E14" s="88">
        <f t="shared" si="5"/>
        <v>12078</v>
      </c>
      <c r="F14" s="88">
        <f t="shared" si="5"/>
        <v>12903</v>
      </c>
      <c r="G14" s="88">
        <f t="shared" si="5"/>
        <v>13803</v>
      </c>
      <c r="H14" s="88">
        <f t="shared" si="5"/>
        <v>14628</v>
      </c>
      <c r="I14" s="88">
        <f t="shared" si="5"/>
        <v>15398.999999999998</v>
      </c>
      <c r="J14" s="88">
        <f t="shared" si="5"/>
        <v>17958</v>
      </c>
      <c r="K14" s="88">
        <f t="shared" si="5"/>
        <v>19038</v>
      </c>
      <c r="L14" s="88">
        <f t="shared" si="5"/>
        <v>19929</v>
      </c>
      <c r="M14" s="88">
        <f t="shared" si="5"/>
        <v>20790</v>
      </c>
      <c r="N14" s="88">
        <f t="shared" si="5"/>
        <v>21617.999999999996</v>
      </c>
      <c r="O14" s="88">
        <f t="shared" si="5"/>
        <v>22425</v>
      </c>
      <c r="P14" s="88">
        <f t="shared" si="5"/>
        <v>27597.899999999998</v>
      </c>
      <c r="Q14" s="88">
        <f t="shared" si="5"/>
        <v>29000.399999999998</v>
      </c>
      <c r="R14" s="88">
        <f t="shared" si="5"/>
        <v>30178.499999999996</v>
      </c>
      <c r="S14" s="88">
        <f t="shared" si="5"/>
        <v>31287.3</v>
      </c>
      <c r="T14" s="88">
        <f t="shared" si="5"/>
        <v>32373</v>
      </c>
      <c r="U14" s="88">
        <f t="shared" si="5"/>
        <v>33465.299999999996</v>
      </c>
      <c r="V14" s="88">
        <f t="shared" si="5"/>
        <v>38652.9</v>
      </c>
      <c r="W14" s="88">
        <f t="shared" si="5"/>
        <v>40758.299999999996</v>
      </c>
      <c r="X14" s="88">
        <f t="shared" si="5"/>
        <v>42434.7</v>
      </c>
      <c r="Y14" s="88">
        <f t="shared" si="5"/>
        <v>44025.299999999996</v>
      </c>
      <c r="Z14" s="88">
        <f t="shared" si="5"/>
        <v>45553.2</v>
      </c>
      <c r="AA14" s="88">
        <f t="shared" si="5"/>
        <v>47031.6</v>
      </c>
      <c r="AB14" s="88">
        <f t="shared" si="5"/>
        <v>57376.799999999996</v>
      </c>
      <c r="AC14" s="88">
        <f t="shared" si="5"/>
        <v>60130.799999999996</v>
      </c>
      <c r="AD14" s="88">
        <f t="shared" si="5"/>
        <v>62388</v>
      </c>
      <c r="AE14" s="88">
        <f t="shared" si="5"/>
        <v>66740.399999999994</v>
      </c>
      <c r="AF14" s="88">
        <f t="shared" si="5"/>
        <v>69390</v>
      </c>
      <c r="AG14" s="88">
        <f t="shared" si="5"/>
        <v>71816.400000000009</v>
      </c>
      <c r="AH14" s="88">
        <f t="shared" si="5"/>
        <v>76165.2</v>
      </c>
      <c r="AI14" s="88">
        <f t="shared" si="5"/>
        <v>78739.199999999997</v>
      </c>
      <c r="AJ14" s="88">
        <f t="shared" si="5"/>
        <v>81018</v>
      </c>
      <c r="AK14" s="88">
        <f t="shared" si="5"/>
        <v>87620.4</v>
      </c>
      <c r="AL14" s="88">
        <f t="shared" si="5"/>
        <v>86543.999999999985</v>
      </c>
      <c r="AM14" s="88">
        <f t="shared" si="5"/>
        <v>88146</v>
      </c>
      <c r="AN14" s="88">
        <f t="shared" si="5"/>
        <v>101513.1</v>
      </c>
      <c r="AO14" s="88">
        <f t="shared" si="5"/>
        <v>104742.29999999999</v>
      </c>
      <c r="AP14" s="88">
        <f t="shared" si="5"/>
        <v>107468.4</v>
      </c>
      <c r="AQ14" s="88">
        <f t="shared" si="5"/>
        <v>113950.2</v>
      </c>
      <c r="AR14" s="88">
        <f t="shared" si="5"/>
        <v>117826.8</v>
      </c>
      <c r="AS14" s="88">
        <f t="shared" si="5"/>
        <v>121290</v>
      </c>
      <c r="AT14" s="88">
        <f t="shared" si="5"/>
        <v>123602.7</v>
      </c>
      <c r="AU14" s="88">
        <f t="shared" si="5"/>
        <v>126632.99999999999</v>
      </c>
      <c r="AV14" s="88">
        <f t="shared" si="5"/>
        <v>129698.4</v>
      </c>
      <c r="AW14" s="88">
        <f t="shared" si="5"/>
        <v>139573.19999999998</v>
      </c>
      <c r="AX14" s="88">
        <f t="shared" si="5"/>
        <v>144576.9</v>
      </c>
      <c r="AY14" s="88">
        <f t="shared" si="5"/>
        <v>148788.9</v>
      </c>
    </row>
    <row r="15" spans="1:51" s="61" customFormat="1" ht="16" thickBot="1" x14ac:dyDescent="0.25">
      <c r="A15" s="83"/>
      <c r="B15" s="85"/>
      <c r="C15" s="116" t="s">
        <v>66</v>
      </c>
      <c r="D15" s="117">
        <f>D12-D13-D14</f>
        <v>322617.15000000002</v>
      </c>
      <c r="E15" s="117">
        <f t="shared" ref="E15:AY15" si="6">E12-E13-E14</f>
        <v>370995.9</v>
      </c>
      <c r="F15" s="117">
        <f t="shared" si="6"/>
        <v>396337.15</v>
      </c>
      <c r="G15" s="117">
        <f t="shared" si="6"/>
        <v>423982.15</v>
      </c>
      <c r="H15" s="117">
        <f t="shared" si="6"/>
        <v>449323.4</v>
      </c>
      <c r="I15" s="117">
        <f t="shared" si="6"/>
        <v>473005.94999999995</v>
      </c>
      <c r="J15" s="117">
        <f t="shared" si="6"/>
        <v>551609.9</v>
      </c>
      <c r="K15" s="117">
        <f t="shared" si="6"/>
        <v>584783.9</v>
      </c>
      <c r="L15" s="117">
        <f t="shared" si="6"/>
        <v>612152.44999999995</v>
      </c>
      <c r="M15" s="117">
        <f t="shared" si="6"/>
        <v>638599.5</v>
      </c>
      <c r="N15" s="117">
        <f t="shared" si="6"/>
        <v>664032.9</v>
      </c>
      <c r="O15" s="117">
        <f t="shared" si="6"/>
        <v>688821.25</v>
      </c>
      <c r="P15" s="117">
        <f t="shared" si="6"/>
        <v>843408.54999999993</v>
      </c>
      <c r="Q15" s="117">
        <f t="shared" si="6"/>
        <v>886269.79999999993</v>
      </c>
      <c r="R15" s="117">
        <f t="shared" si="6"/>
        <v>922273.25</v>
      </c>
      <c r="S15" s="117">
        <f t="shared" si="6"/>
        <v>956158.84999999986</v>
      </c>
      <c r="T15" s="117">
        <f t="shared" si="6"/>
        <v>989338.5</v>
      </c>
      <c r="U15" s="117">
        <f t="shared" si="6"/>
        <v>1022719.8499999999</v>
      </c>
      <c r="V15" s="117">
        <f t="shared" si="6"/>
        <v>1181256.05</v>
      </c>
      <c r="W15" s="117">
        <f t="shared" si="6"/>
        <v>1245598.3499999999</v>
      </c>
      <c r="X15" s="117">
        <f t="shared" si="6"/>
        <v>1296830.1500000001</v>
      </c>
      <c r="Y15" s="117">
        <f t="shared" si="6"/>
        <v>1345439.8499999999</v>
      </c>
      <c r="Z15" s="117">
        <f t="shared" si="6"/>
        <v>1392133.4000000001</v>
      </c>
      <c r="AA15" s="117">
        <f t="shared" si="6"/>
        <v>1437314.2</v>
      </c>
      <c r="AB15" s="117">
        <f t="shared" si="6"/>
        <v>1746007.9</v>
      </c>
      <c r="AC15" s="117">
        <f t="shared" si="6"/>
        <v>1829813.65</v>
      </c>
      <c r="AD15" s="117">
        <f t="shared" si="6"/>
        <v>1898501.5</v>
      </c>
      <c r="AE15" s="117">
        <f t="shared" si="6"/>
        <v>2030947.4500000002</v>
      </c>
      <c r="AF15" s="117">
        <f t="shared" si="6"/>
        <v>2111576.25</v>
      </c>
      <c r="AG15" s="117">
        <f t="shared" si="6"/>
        <v>2185412.9500000002</v>
      </c>
      <c r="AH15" s="117">
        <f t="shared" si="6"/>
        <v>2317749.3499999996</v>
      </c>
      <c r="AI15" s="117">
        <f t="shared" si="6"/>
        <v>2396077.5999999996</v>
      </c>
      <c r="AJ15" s="117">
        <f t="shared" si="6"/>
        <v>2465422.75</v>
      </c>
      <c r="AK15" s="117">
        <f t="shared" si="6"/>
        <v>2666337.4500000002</v>
      </c>
      <c r="AL15" s="117">
        <f t="shared" si="6"/>
        <v>2633582</v>
      </c>
      <c r="AM15" s="117">
        <f t="shared" si="6"/>
        <v>2682331.75</v>
      </c>
      <c r="AN15" s="117">
        <f t="shared" si="6"/>
        <v>3077929.25</v>
      </c>
      <c r="AO15" s="117">
        <f t="shared" si="6"/>
        <v>3175840.25</v>
      </c>
      <c r="AP15" s="117">
        <f t="shared" si="6"/>
        <v>3258497</v>
      </c>
      <c r="AQ15" s="117">
        <f t="shared" si="6"/>
        <v>3455028.5</v>
      </c>
      <c r="AR15" s="117">
        <f t="shared" si="6"/>
        <v>3572569</v>
      </c>
      <c r="AS15" s="117">
        <f t="shared" si="6"/>
        <v>3677575</v>
      </c>
      <c r="AT15" s="117">
        <f t="shared" si="6"/>
        <v>3747697.25</v>
      </c>
      <c r="AU15" s="117">
        <f t="shared" si="6"/>
        <v>3839577.5</v>
      </c>
      <c r="AV15" s="117">
        <f t="shared" si="6"/>
        <v>3932522.0000000005</v>
      </c>
      <c r="AW15" s="117">
        <f t="shared" si="6"/>
        <v>4231931</v>
      </c>
      <c r="AX15" s="117">
        <f t="shared" si="6"/>
        <v>4383645.75</v>
      </c>
      <c r="AY15" s="117">
        <f t="shared" si="6"/>
        <v>4511355.75</v>
      </c>
    </row>
    <row r="16" spans="1:51" ht="16" thickTop="1" x14ac:dyDescent="0.2">
      <c r="C16" s="75"/>
    </row>
    <row r="17" spans="1:51" x14ac:dyDescent="0.2">
      <c r="C17" s="115" t="s">
        <v>129</v>
      </c>
      <c r="D17" s="93">
        <f t="shared" ref="D17:AY17" si="7">D69*D$50-D80*D51</f>
        <v>120696.97500000001</v>
      </c>
      <c r="E17" s="93">
        <f t="shared" si="7"/>
        <v>138796.35</v>
      </c>
      <c r="F17" s="93">
        <f t="shared" si="7"/>
        <v>148276.97500000001</v>
      </c>
      <c r="G17" s="93">
        <f t="shared" si="7"/>
        <v>158619.47500000001</v>
      </c>
      <c r="H17" s="93">
        <f t="shared" si="7"/>
        <v>168100.1</v>
      </c>
      <c r="I17" s="93">
        <f t="shared" si="7"/>
        <v>176960.17499999999</v>
      </c>
      <c r="J17" s="93">
        <f t="shared" si="7"/>
        <v>206367.35</v>
      </c>
      <c r="K17" s="93">
        <f t="shared" si="7"/>
        <v>218778.35</v>
      </c>
      <c r="L17" s="93">
        <f t="shared" si="7"/>
        <v>229017.42499999999</v>
      </c>
      <c r="M17" s="93">
        <f t="shared" si="7"/>
        <v>238911.75</v>
      </c>
      <c r="N17" s="93">
        <f t="shared" si="7"/>
        <v>248426.85</v>
      </c>
      <c r="O17" s="93">
        <f t="shared" si="7"/>
        <v>257700.625</v>
      </c>
      <c r="P17" s="93">
        <f t="shared" si="7"/>
        <v>271839.315</v>
      </c>
      <c r="Q17" s="93">
        <f t="shared" si="7"/>
        <v>285653.94</v>
      </c>
      <c r="R17" s="93">
        <f t="shared" si="7"/>
        <v>297258.22499999998</v>
      </c>
      <c r="S17" s="93">
        <f t="shared" si="7"/>
        <v>308179.90500000003</v>
      </c>
      <c r="T17" s="93">
        <f t="shared" si="7"/>
        <v>318874.05</v>
      </c>
      <c r="U17" s="93">
        <f t="shared" si="7"/>
        <v>329633.20500000002</v>
      </c>
      <c r="V17" s="93">
        <f t="shared" si="7"/>
        <v>380731.065</v>
      </c>
      <c r="W17" s="93">
        <f t="shared" si="7"/>
        <v>401469.255</v>
      </c>
      <c r="X17" s="93">
        <f t="shared" si="7"/>
        <v>417981.79499999998</v>
      </c>
      <c r="Y17" s="93">
        <f t="shared" si="7"/>
        <v>433649.20500000002</v>
      </c>
      <c r="Z17" s="93">
        <f t="shared" si="7"/>
        <v>448699.02</v>
      </c>
      <c r="AA17" s="93">
        <f t="shared" si="7"/>
        <v>463261.26</v>
      </c>
      <c r="AB17" s="93">
        <f t="shared" si="7"/>
        <v>470967.9</v>
      </c>
      <c r="AC17" s="93">
        <f t="shared" si="7"/>
        <v>493573.65</v>
      </c>
      <c r="AD17" s="93">
        <f t="shared" si="7"/>
        <v>512101.5</v>
      </c>
      <c r="AE17" s="93">
        <f t="shared" si="7"/>
        <v>547827.44999999995</v>
      </c>
      <c r="AF17" s="93">
        <f t="shared" si="7"/>
        <v>569576.25</v>
      </c>
      <c r="AG17" s="93">
        <f t="shared" si="7"/>
        <v>589492.94999999995</v>
      </c>
      <c r="AH17" s="93">
        <f t="shared" si="7"/>
        <v>625189.35</v>
      </c>
      <c r="AI17" s="93">
        <f t="shared" si="7"/>
        <v>646317.6</v>
      </c>
      <c r="AJ17" s="93">
        <f t="shared" si="7"/>
        <v>665022.75</v>
      </c>
      <c r="AK17" s="93">
        <f t="shared" si="7"/>
        <v>719217.45</v>
      </c>
      <c r="AL17" s="93">
        <f t="shared" si="7"/>
        <v>710382</v>
      </c>
      <c r="AM17" s="93">
        <f t="shared" si="7"/>
        <v>723531.75</v>
      </c>
      <c r="AN17" s="93">
        <f t="shared" si="7"/>
        <v>833253.36250000005</v>
      </c>
      <c r="AO17" s="93">
        <f t="shared" si="7"/>
        <v>859759.71250000002</v>
      </c>
      <c r="AP17" s="93">
        <f t="shared" si="7"/>
        <v>882136.45</v>
      </c>
      <c r="AQ17" s="93">
        <f t="shared" si="7"/>
        <v>935341.22499999998</v>
      </c>
      <c r="AR17" s="93">
        <f t="shared" si="7"/>
        <v>967161.65</v>
      </c>
      <c r="AS17" s="93">
        <f t="shared" si="7"/>
        <v>995588.75</v>
      </c>
      <c r="AT17" s="93">
        <f t="shared" si="7"/>
        <v>1014572.1625</v>
      </c>
      <c r="AU17" s="93">
        <f t="shared" si="7"/>
        <v>1039445.875</v>
      </c>
      <c r="AV17" s="93">
        <f t="shared" si="7"/>
        <v>1064607.7</v>
      </c>
      <c r="AW17" s="93">
        <f t="shared" si="7"/>
        <v>1145663.3500000001</v>
      </c>
      <c r="AX17" s="93">
        <f t="shared" si="7"/>
        <v>1186735.3875</v>
      </c>
      <c r="AY17" s="93">
        <f t="shared" si="7"/>
        <v>1221308.8875</v>
      </c>
    </row>
    <row r="18" spans="1:51" x14ac:dyDescent="0.2">
      <c r="C18" s="115" t="s">
        <v>3</v>
      </c>
      <c r="D18" s="92">
        <f t="shared" ref="D18:AY18" si="8">D70*D$50</f>
        <v>26257.5</v>
      </c>
      <c r="E18" s="92">
        <f t="shared" si="8"/>
        <v>30195</v>
      </c>
      <c r="F18" s="92">
        <f t="shared" si="8"/>
        <v>32257.5</v>
      </c>
      <c r="G18" s="92">
        <f t="shared" si="8"/>
        <v>34507.5</v>
      </c>
      <c r="H18" s="92">
        <f t="shared" si="8"/>
        <v>36570</v>
      </c>
      <c r="I18" s="92">
        <f t="shared" si="8"/>
        <v>38497.5</v>
      </c>
      <c r="J18" s="92">
        <f t="shared" si="8"/>
        <v>44895</v>
      </c>
      <c r="K18" s="92">
        <f t="shared" si="8"/>
        <v>47595</v>
      </c>
      <c r="L18" s="92">
        <f t="shared" si="8"/>
        <v>49822.5</v>
      </c>
      <c r="M18" s="92">
        <f t="shared" si="8"/>
        <v>51975</v>
      </c>
      <c r="N18" s="92">
        <f t="shared" si="8"/>
        <v>54045</v>
      </c>
      <c r="O18" s="92">
        <f t="shared" si="8"/>
        <v>56062.5</v>
      </c>
      <c r="P18" s="92">
        <f t="shared" si="8"/>
        <v>68994.75</v>
      </c>
      <c r="Q18" s="92">
        <f t="shared" si="8"/>
        <v>72501</v>
      </c>
      <c r="R18" s="92">
        <f t="shared" si="8"/>
        <v>75446.25</v>
      </c>
      <c r="S18" s="92">
        <f t="shared" si="8"/>
        <v>78218.25</v>
      </c>
      <c r="T18" s="92">
        <f t="shared" si="8"/>
        <v>80932.5</v>
      </c>
      <c r="U18" s="92">
        <f t="shared" si="8"/>
        <v>83663.25</v>
      </c>
      <c r="V18" s="92">
        <f t="shared" si="8"/>
        <v>64421.5</v>
      </c>
      <c r="W18" s="92">
        <f t="shared" si="8"/>
        <v>67930.5</v>
      </c>
      <c r="X18" s="92">
        <f t="shared" si="8"/>
        <v>70724.5</v>
      </c>
      <c r="Y18" s="92">
        <f t="shared" si="8"/>
        <v>73375.5</v>
      </c>
      <c r="Z18" s="92">
        <f t="shared" si="8"/>
        <v>75922</v>
      </c>
      <c r="AA18" s="92">
        <f t="shared" si="8"/>
        <v>78386</v>
      </c>
      <c r="AB18" s="92">
        <f t="shared" si="8"/>
        <v>95628</v>
      </c>
      <c r="AC18" s="92">
        <f t="shared" si="8"/>
        <v>100218</v>
      </c>
      <c r="AD18" s="92">
        <f t="shared" si="8"/>
        <v>103980</v>
      </c>
      <c r="AE18" s="92">
        <f t="shared" si="8"/>
        <v>111234</v>
      </c>
      <c r="AF18" s="92">
        <f t="shared" si="8"/>
        <v>115650</v>
      </c>
      <c r="AG18" s="92">
        <f t="shared" si="8"/>
        <v>119694</v>
      </c>
      <c r="AH18" s="92">
        <f t="shared" si="8"/>
        <v>126942</v>
      </c>
      <c r="AI18" s="92">
        <f t="shared" si="8"/>
        <v>131232</v>
      </c>
      <c r="AJ18" s="92">
        <f t="shared" si="8"/>
        <v>135030</v>
      </c>
      <c r="AK18" s="92">
        <f t="shared" si="8"/>
        <v>146034</v>
      </c>
      <c r="AL18" s="92">
        <f t="shared" si="8"/>
        <v>144240</v>
      </c>
      <c r="AM18" s="92">
        <f t="shared" si="8"/>
        <v>146910</v>
      </c>
      <c r="AN18" s="92">
        <f t="shared" si="8"/>
        <v>169188.5</v>
      </c>
      <c r="AO18" s="92">
        <f t="shared" si="8"/>
        <v>174570.5</v>
      </c>
      <c r="AP18" s="92">
        <f t="shared" si="8"/>
        <v>179114</v>
      </c>
      <c r="AQ18" s="92">
        <f t="shared" si="8"/>
        <v>189917</v>
      </c>
      <c r="AR18" s="92">
        <f t="shared" si="8"/>
        <v>196378</v>
      </c>
      <c r="AS18" s="92">
        <f t="shared" si="8"/>
        <v>202150</v>
      </c>
      <c r="AT18" s="92">
        <f t="shared" si="8"/>
        <v>206004.5</v>
      </c>
      <c r="AU18" s="92">
        <f t="shared" si="8"/>
        <v>211055</v>
      </c>
      <c r="AV18" s="92">
        <f t="shared" si="8"/>
        <v>216164</v>
      </c>
      <c r="AW18" s="92">
        <f t="shared" si="8"/>
        <v>232622</v>
      </c>
      <c r="AX18" s="92">
        <f t="shared" si="8"/>
        <v>240961.5</v>
      </c>
      <c r="AY18" s="92">
        <f t="shared" si="8"/>
        <v>247981.5</v>
      </c>
    </row>
    <row r="19" spans="1:51" x14ac:dyDescent="0.2">
      <c r="C19" s="115" t="s">
        <v>82</v>
      </c>
      <c r="D19" s="92">
        <f t="shared" ref="D19:AY19" si="9">D71*D$50</f>
        <v>26257.5</v>
      </c>
      <c r="E19" s="92">
        <f t="shared" si="9"/>
        <v>30195</v>
      </c>
      <c r="F19" s="92">
        <f t="shared" si="9"/>
        <v>32257.5</v>
      </c>
      <c r="G19" s="92">
        <f t="shared" si="9"/>
        <v>32207.000000000004</v>
      </c>
      <c r="H19" s="92">
        <f t="shared" si="9"/>
        <v>34132.000000000007</v>
      </c>
      <c r="I19" s="92">
        <f t="shared" si="9"/>
        <v>35931.000000000007</v>
      </c>
      <c r="J19" s="92">
        <f t="shared" si="9"/>
        <v>38909</v>
      </c>
      <c r="K19" s="92">
        <f t="shared" si="9"/>
        <v>41249</v>
      </c>
      <c r="L19" s="92">
        <f t="shared" si="9"/>
        <v>43179.5</v>
      </c>
      <c r="M19" s="92">
        <f t="shared" si="9"/>
        <v>41580</v>
      </c>
      <c r="N19" s="92">
        <f t="shared" si="9"/>
        <v>43236</v>
      </c>
      <c r="O19" s="92">
        <f t="shared" si="9"/>
        <v>44850</v>
      </c>
      <c r="P19" s="92">
        <f t="shared" si="9"/>
        <v>50596.15</v>
      </c>
      <c r="Q19" s="92">
        <f t="shared" si="9"/>
        <v>53167.4</v>
      </c>
      <c r="R19" s="92">
        <f t="shared" si="9"/>
        <v>55327.25</v>
      </c>
      <c r="S19" s="92">
        <f t="shared" si="9"/>
        <v>52145.5</v>
      </c>
      <c r="T19" s="92">
        <f t="shared" si="9"/>
        <v>53955</v>
      </c>
      <c r="U19" s="92">
        <f t="shared" si="9"/>
        <v>55775.5</v>
      </c>
      <c r="V19" s="92">
        <f t="shared" si="9"/>
        <v>64421.5</v>
      </c>
      <c r="W19" s="92">
        <f t="shared" si="9"/>
        <v>67930.5</v>
      </c>
      <c r="X19" s="92">
        <f t="shared" si="9"/>
        <v>70724.5</v>
      </c>
      <c r="Y19" s="92">
        <f t="shared" si="9"/>
        <v>73375.5</v>
      </c>
      <c r="Z19" s="92">
        <f t="shared" si="9"/>
        <v>75922</v>
      </c>
      <c r="AA19" s="92">
        <f t="shared" si="9"/>
        <v>78386</v>
      </c>
      <c r="AB19" s="92">
        <f t="shared" si="9"/>
        <v>95628</v>
      </c>
      <c r="AC19" s="92">
        <f t="shared" si="9"/>
        <v>100218</v>
      </c>
      <c r="AD19" s="92">
        <f t="shared" si="9"/>
        <v>103980</v>
      </c>
      <c r="AE19" s="92">
        <f t="shared" si="9"/>
        <v>111234</v>
      </c>
      <c r="AF19" s="92">
        <f t="shared" si="9"/>
        <v>115650</v>
      </c>
      <c r="AG19" s="92">
        <f t="shared" si="9"/>
        <v>119694</v>
      </c>
      <c r="AH19" s="92">
        <f t="shared" si="9"/>
        <v>126942</v>
      </c>
      <c r="AI19" s="92">
        <f t="shared" si="9"/>
        <v>131232</v>
      </c>
      <c r="AJ19" s="92">
        <f t="shared" si="9"/>
        <v>135030</v>
      </c>
      <c r="AK19" s="92">
        <f t="shared" si="9"/>
        <v>146034</v>
      </c>
      <c r="AL19" s="92">
        <f t="shared" si="9"/>
        <v>144240</v>
      </c>
      <c r="AM19" s="92">
        <f t="shared" si="9"/>
        <v>146910</v>
      </c>
      <c r="AN19" s="92">
        <f t="shared" si="9"/>
        <v>169188.5</v>
      </c>
      <c r="AO19" s="92">
        <f t="shared" si="9"/>
        <v>174570.5</v>
      </c>
      <c r="AP19" s="92">
        <f t="shared" si="9"/>
        <v>179114</v>
      </c>
      <c r="AQ19" s="92">
        <f t="shared" si="9"/>
        <v>189917</v>
      </c>
      <c r="AR19" s="92">
        <f t="shared" si="9"/>
        <v>196378</v>
      </c>
      <c r="AS19" s="92">
        <f t="shared" si="9"/>
        <v>202150</v>
      </c>
      <c r="AT19" s="92">
        <f t="shared" si="9"/>
        <v>206004.5</v>
      </c>
      <c r="AU19" s="92">
        <f t="shared" si="9"/>
        <v>211055</v>
      </c>
      <c r="AV19" s="92">
        <f t="shared" si="9"/>
        <v>216164</v>
      </c>
      <c r="AW19" s="92">
        <f t="shared" si="9"/>
        <v>232622</v>
      </c>
      <c r="AX19" s="92">
        <f t="shared" si="9"/>
        <v>240961.5</v>
      </c>
      <c r="AY19" s="92">
        <f t="shared" si="9"/>
        <v>247981.5</v>
      </c>
    </row>
    <row r="20" spans="1:51" x14ac:dyDescent="0.2">
      <c r="C20" s="115" t="s">
        <v>1</v>
      </c>
      <c r="D20" s="92">
        <f t="shared" ref="D20:AY20" si="10">D72*D$50</f>
        <v>10503</v>
      </c>
      <c r="E20" s="92">
        <f t="shared" si="10"/>
        <v>12078</v>
      </c>
      <c r="F20" s="92">
        <f t="shared" si="10"/>
        <v>12903</v>
      </c>
      <c r="G20" s="92">
        <f t="shared" si="10"/>
        <v>13803</v>
      </c>
      <c r="H20" s="92">
        <f t="shared" si="10"/>
        <v>14628</v>
      </c>
      <c r="I20" s="92">
        <f t="shared" si="10"/>
        <v>15399</v>
      </c>
      <c r="J20" s="92">
        <f t="shared" si="10"/>
        <v>17958</v>
      </c>
      <c r="K20" s="92">
        <f t="shared" si="10"/>
        <v>19038</v>
      </c>
      <c r="L20" s="92">
        <f t="shared" si="10"/>
        <v>19929</v>
      </c>
      <c r="M20" s="92">
        <f t="shared" si="10"/>
        <v>20790</v>
      </c>
      <c r="N20" s="92">
        <f t="shared" si="10"/>
        <v>21618</v>
      </c>
      <c r="O20" s="92">
        <f t="shared" si="10"/>
        <v>22425</v>
      </c>
      <c r="P20" s="92">
        <f t="shared" si="10"/>
        <v>27597.899999999998</v>
      </c>
      <c r="Q20" s="92">
        <f t="shared" si="10"/>
        <v>29000.399999999998</v>
      </c>
      <c r="R20" s="92">
        <f t="shared" si="10"/>
        <v>30178.5</v>
      </c>
      <c r="S20" s="92">
        <f t="shared" si="10"/>
        <v>31287.3</v>
      </c>
      <c r="T20" s="92">
        <f t="shared" si="10"/>
        <v>32373</v>
      </c>
      <c r="U20" s="92">
        <f t="shared" si="10"/>
        <v>33465.299999999996</v>
      </c>
      <c r="V20" s="92">
        <f t="shared" si="10"/>
        <v>38652.9</v>
      </c>
      <c r="W20" s="92">
        <f t="shared" si="10"/>
        <v>40758.299999999996</v>
      </c>
      <c r="X20" s="92">
        <f t="shared" si="10"/>
        <v>42434.7</v>
      </c>
      <c r="Y20" s="92">
        <f t="shared" si="10"/>
        <v>44025.299999999996</v>
      </c>
      <c r="Z20" s="92">
        <f t="shared" si="10"/>
        <v>45553.2</v>
      </c>
      <c r="AA20" s="92">
        <f t="shared" si="10"/>
        <v>47031.6</v>
      </c>
      <c r="AB20" s="92">
        <f t="shared" si="10"/>
        <v>57376.799999999996</v>
      </c>
      <c r="AC20" s="92">
        <f t="shared" si="10"/>
        <v>60130.799999999996</v>
      </c>
      <c r="AD20" s="92">
        <f t="shared" si="10"/>
        <v>62387.999999999993</v>
      </c>
      <c r="AE20" s="92">
        <f t="shared" si="10"/>
        <v>66740.399999999994</v>
      </c>
      <c r="AF20" s="92">
        <f t="shared" si="10"/>
        <v>69390</v>
      </c>
      <c r="AG20" s="92">
        <f t="shared" si="10"/>
        <v>71816.399999999994</v>
      </c>
      <c r="AH20" s="92">
        <f t="shared" si="10"/>
        <v>76165.2</v>
      </c>
      <c r="AI20" s="92">
        <f t="shared" si="10"/>
        <v>78739.199999999997</v>
      </c>
      <c r="AJ20" s="92">
        <f t="shared" si="10"/>
        <v>81017.999999999985</v>
      </c>
      <c r="AK20" s="92">
        <f t="shared" si="10"/>
        <v>87620.4</v>
      </c>
      <c r="AL20" s="92">
        <f t="shared" si="10"/>
        <v>86543.999999999985</v>
      </c>
      <c r="AM20" s="92">
        <f t="shared" si="10"/>
        <v>88145.999999999985</v>
      </c>
      <c r="AN20" s="92">
        <f t="shared" si="10"/>
        <v>101513.09999999999</v>
      </c>
      <c r="AO20" s="92">
        <f t="shared" si="10"/>
        <v>104742.3</v>
      </c>
      <c r="AP20" s="92">
        <f t="shared" si="10"/>
        <v>107468.4</v>
      </c>
      <c r="AQ20" s="92">
        <f t="shared" si="10"/>
        <v>113950.2</v>
      </c>
      <c r="AR20" s="92">
        <f t="shared" si="10"/>
        <v>117826.8</v>
      </c>
      <c r="AS20" s="92">
        <f t="shared" si="10"/>
        <v>121290</v>
      </c>
      <c r="AT20" s="92">
        <f t="shared" si="10"/>
        <v>123602.7</v>
      </c>
      <c r="AU20" s="92">
        <f t="shared" si="10"/>
        <v>126633</v>
      </c>
      <c r="AV20" s="92">
        <f t="shared" si="10"/>
        <v>129698.4</v>
      </c>
      <c r="AW20" s="92">
        <f t="shared" si="10"/>
        <v>139573.19999999998</v>
      </c>
      <c r="AX20" s="92">
        <f t="shared" si="10"/>
        <v>144576.9</v>
      </c>
      <c r="AY20" s="92">
        <f t="shared" si="10"/>
        <v>148788.9</v>
      </c>
    </row>
    <row r="21" spans="1:51" x14ac:dyDescent="0.2">
      <c r="C21" s="115" t="s">
        <v>140</v>
      </c>
      <c r="D21" s="92">
        <f t="shared" ref="D21:AY21" si="11">D73*D$50</f>
        <v>21006</v>
      </c>
      <c r="E21" s="92">
        <f t="shared" si="11"/>
        <v>24156</v>
      </c>
      <c r="F21" s="92">
        <f t="shared" si="11"/>
        <v>25806</v>
      </c>
      <c r="G21" s="92">
        <f t="shared" si="11"/>
        <v>25305.5</v>
      </c>
      <c r="H21" s="92">
        <f t="shared" si="11"/>
        <v>26818</v>
      </c>
      <c r="I21" s="92">
        <f t="shared" si="11"/>
        <v>28231.5</v>
      </c>
      <c r="J21" s="92">
        <f t="shared" si="11"/>
        <v>29930</v>
      </c>
      <c r="K21" s="92">
        <f t="shared" si="11"/>
        <v>31730</v>
      </c>
      <c r="L21" s="92">
        <f t="shared" si="11"/>
        <v>33215</v>
      </c>
      <c r="M21" s="92">
        <f t="shared" si="11"/>
        <v>31185</v>
      </c>
      <c r="N21" s="92">
        <f t="shared" si="11"/>
        <v>32427</v>
      </c>
      <c r="O21" s="92">
        <f t="shared" si="11"/>
        <v>33637.5</v>
      </c>
      <c r="P21" s="92">
        <f t="shared" si="11"/>
        <v>36797.200000000004</v>
      </c>
      <c r="Q21" s="92">
        <f t="shared" si="11"/>
        <v>38667.200000000004</v>
      </c>
      <c r="R21" s="92">
        <f t="shared" si="11"/>
        <v>40238</v>
      </c>
      <c r="S21" s="92">
        <f t="shared" si="11"/>
        <v>36501.850000000006</v>
      </c>
      <c r="T21" s="92">
        <f t="shared" si="11"/>
        <v>37768.500000000007</v>
      </c>
      <c r="U21" s="92">
        <f t="shared" si="11"/>
        <v>39042.850000000006</v>
      </c>
      <c r="V21" s="92">
        <f t="shared" si="11"/>
        <v>38652.9</v>
      </c>
      <c r="W21" s="92">
        <f t="shared" si="11"/>
        <v>40758.299999999996</v>
      </c>
      <c r="X21" s="92">
        <f t="shared" si="11"/>
        <v>42434.7</v>
      </c>
      <c r="Y21" s="92">
        <f t="shared" si="11"/>
        <v>36687.75</v>
      </c>
      <c r="Z21" s="92">
        <f t="shared" si="11"/>
        <v>37961</v>
      </c>
      <c r="AA21" s="92">
        <f t="shared" si="11"/>
        <v>39193</v>
      </c>
      <c r="AB21" s="92">
        <f t="shared" si="11"/>
        <v>38251.199999999997</v>
      </c>
      <c r="AC21" s="92">
        <f t="shared" si="11"/>
        <v>40087.199999999997</v>
      </c>
      <c r="AD21" s="92">
        <f t="shared" si="11"/>
        <v>41592</v>
      </c>
      <c r="AE21" s="92">
        <f t="shared" si="11"/>
        <v>44493.599999999999</v>
      </c>
      <c r="AF21" s="92">
        <f t="shared" si="11"/>
        <v>46260</v>
      </c>
      <c r="AG21" s="92">
        <f t="shared" si="11"/>
        <v>47877.599999999999</v>
      </c>
      <c r="AH21" s="92">
        <f t="shared" si="11"/>
        <v>50776.799999999996</v>
      </c>
      <c r="AI21" s="92">
        <f t="shared" si="11"/>
        <v>52492.799999999996</v>
      </c>
      <c r="AJ21" s="92">
        <f t="shared" si="11"/>
        <v>54012</v>
      </c>
      <c r="AK21" s="92">
        <f t="shared" si="11"/>
        <v>58413.599999999999</v>
      </c>
      <c r="AL21" s="92">
        <f t="shared" si="11"/>
        <v>57696</v>
      </c>
      <c r="AM21" s="92">
        <f t="shared" si="11"/>
        <v>58764</v>
      </c>
      <c r="AN21" s="92">
        <f t="shared" si="11"/>
        <v>67675.400000000009</v>
      </c>
      <c r="AO21" s="92">
        <f t="shared" si="11"/>
        <v>69828.2</v>
      </c>
      <c r="AP21" s="92">
        <f t="shared" si="11"/>
        <v>71645.600000000006</v>
      </c>
      <c r="AQ21" s="92">
        <f t="shared" si="11"/>
        <v>75966.8</v>
      </c>
      <c r="AR21" s="92">
        <f t="shared" si="11"/>
        <v>78551.199999999997</v>
      </c>
      <c r="AS21" s="92">
        <f t="shared" si="11"/>
        <v>80860</v>
      </c>
      <c r="AT21" s="92">
        <f t="shared" si="11"/>
        <v>82401.8</v>
      </c>
      <c r="AU21" s="92">
        <f t="shared" si="11"/>
        <v>84422</v>
      </c>
      <c r="AV21" s="92">
        <f t="shared" si="11"/>
        <v>86465.600000000006</v>
      </c>
      <c r="AW21" s="92">
        <f t="shared" si="11"/>
        <v>93048.8</v>
      </c>
      <c r="AX21" s="92">
        <f t="shared" si="11"/>
        <v>96384.6</v>
      </c>
      <c r="AY21" s="92">
        <f t="shared" si="11"/>
        <v>99192.6</v>
      </c>
    </row>
    <row r="22" spans="1:51" x14ac:dyDescent="0.2">
      <c r="C22" s="115" t="s">
        <v>141</v>
      </c>
      <c r="D22" s="92">
        <f t="shared" ref="D22:AY22" si="12">D74*D$50</f>
        <v>26257.5</v>
      </c>
      <c r="E22" s="92">
        <f t="shared" si="12"/>
        <v>30195</v>
      </c>
      <c r="F22" s="92">
        <f t="shared" si="12"/>
        <v>32257.5</v>
      </c>
      <c r="G22" s="92">
        <f t="shared" si="12"/>
        <v>34507.5</v>
      </c>
      <c r="H22" s="92">
        <f t="shared" si="12"/>
        <v>36570</v>
      </c>
      <c r="I22" s="92">
        <f t="shared" si="12"/>
        <v>38497.5</v>
      </c>
      <c r="J22" s="92">
        <f t="shared" si="12"/>
        <v>44895</v>
      </c>
      <c r="K22" s="92">
        <f t="shared" si="12"/>
        <v>47595</v>
      </c>
      <c r="L22" s="92">
        <f t="shared" si="12"/>
        <v>49822.5</v>
      </c>
      <c r="M22" s="92">
        <f t="shared" si="12"/>
        <v>34650</v>
      </c>
      <c r="N22" s="92">
        <f t="shared" si="12"/>
        <v>36030</v>
      </c>
      <c r="O22" s="92">
        <f t="shared" si="12"/>
        <v>37375</v>
      </c>
      <c r="P22" s="92">
        <f t="shared" si="12"/>
        <v>45996.5</v>
      </c>
      <c r="Q22" s="92">
        <f t="shared" si="12"/>
        <v>48334</v>
      </c>
      <c r="R22" s="92">
        <f t="shared" si="12"/>
        <v>50297.5</v>
      </c>
      <c r="S22" s="92">
        <f t="shared" si="12"/>
        <v>52145.5</v>
      </c>
      <c r="T22" s="92">
        <f t="shared" si="12"/>
        <v>53955</v>
      </c>
      <c r="U22" s="92">
        <f t="shared" si="12"/>
        <v>55775.5</v>
      </c>
      <c r="V22" s="92">
        <f t="shared" si="12"/>
        <v>64421.5</v>
      </c>
      <c r="W22" s="92">
        <f t="shared" si="12"/>
        <v>67930.5</v>
      </c>
      <c r="X22" s="92">
        <f t="shared" si="12"/>
        <v>70724.5</v>
      </c>
      <c r="Y22" s="92">
        <f t="shared" si="12"/>
        <v>73375.5</v>
      </c>
      <c r="Z22" s="92">
        <f t="shared" si="12"/>
        <v>75922</v>
      </c>
      <c r="AA22" s="92">
        <f t="shared" si="12"/>
        <v>78386</v>
      </c>
      <c r="AB22" s="92">
        <f t="shared" si="12"/>
        <v>95628</v>
      </c>
      <c r="AC22" s="92">
        <f t="shared" si="12"/>
        <v>100218</v>
      </c>
      <c r="AD22" s="92">
        <f t="shared" si="12"/>
        <v>103980</v>
      </c>
      <c r="AE22" s="92">
        <f t="shared" si="12"/>
        <v>111234</v>
      </c>
      <c r="AF22" s="92">
        <f t="shared" si="12"/>
        <v>115650</v>
      </c>
      <c r="AG22" s="92">
        <f t="shared" si="12"/>
        <v>119694</v>
      </c>
      <c r="AH22" s="92">
        <f t="shared" si="12"/>
        <v>126942</v>
      </c>
      <c r="AI22" s="92">
        <f t="shared" si="12"/>
        <v>131232</v>
      </c>
      <c r="AJ22" s="92">
        <f t="shared" si="12"/>
        <v>135030</v>
      </c>
      <c r="AK22" s="92">
        <f t="shared" si="12"/>
        <v>146034</v>
      </c>
      <c r="AL22" s="92">
        <f t="shared" si="12"/>
        <v>144240</v>
      </c>
      <c r="AM22" s="92">
        <f t="shared" si="12"/>
        <v>146910</v>
      </c>
      <c r="AN22" s="92">
        <f t="shared" si="12"/>
        <v>169188.5</v>
      </c>
      <c r="AO22" s="92">
        <f t="shared" si="12"/>
        <v>174570.5</v>
      </c>
      <c r="AP22" s="92">
        <f t="shared" si="12"/>
        <v>179114</v>
      </c>
      <c r="AQ22" s="92">
        <f t="shared" si="12"/>
        <v>189917</v>
      </c>
      <c r="AR22" s="92">
        <f t="shared" si="12"/>
        <v>196378</v>
      </c>
      <c r="AS22" s="92">
        <f t="shared" si="12"/>
        <v>202150</v>
      </c>
      <c r="AT22" s="92">
        <f t="shared" si="12"/>
        <v>206004.5</v>
      </c>
      <c r="AU22" s="92">
        <f t="shared" si="12"/>
        <v>211055</v>
      </c>
      <c r="AV22" s="92">
        <f t="shared" si="12"/>
        <v>216164</v>
      </c>
      <c r="AW22" s="92">
        <f t="shared" si="12"/>
        <v>232622</v>
      </c>
      <c r="AX22" s="92">
        <f t="shared" si="12"/>
        <v>240961.5</v>
      </c>
      <c r="AY22" s="92">
        <f t="shared" si="12"/>
        <v>247981.5</v>
      </c>
    </row>
    <row r="23" spans="1:51" x14ac:dyDescent="0.2">
      <c r="C23" s="118" t="s">
        <v>86</v>
      </c>
      <c r="D23" s="119">
        <f t="shared" ref="D23:AY23" si="13">SUM(D78:D79)*D51</f>
        <v>1312.875</v>
      </c>
      <c r="E23" s="119">
        <f t="shared" si="13"/>
        <v>1509.75</v>
      </c>
      <c r="F23" s="119">
        <f t="shared" si="13"/>
        <v>1612.875</v>
      </c>
      <c r="G23" s="119">
        <f t="shared" si="13"/>
        <v>1656.3600000000001</v>
      </c>
      <c r="H23" s="119">
        <f t="shared" si="13"/>
        <v>1755.3600000000001</v>
      </c>
      <c r="I23" s="119">
        <f t="shared" si="13"/>
        <v>1847.8799999999997</v>
      </c>
      <c r="J23" s="119">
        <f t="shared" si="13"/>
        <v>2065.1699999999996</v>
      </c>
      <c r="K23" s="119">
        <f t="shared" si="13"/>
        <v>2189.37</v>
      </c>
      <c r="L23" s="119">
        <f t="shared" si="13"/>
        <v>2291.835</v>
      </c>
      <c r="M23" s="119">
        <f t="shared" si="13"/>
        <v>2286.9</v>
      </c>
      <c r="N23" s="119">
        <f t="shared" si="13"/>
        <v>2377.9799999999996</v>
      </c>
      <c r="O23" s="119">
        <f t="shared" si="13"/>
        <v>2466.75</v>
      </c>
      <c r="P23" s="119">
        <f t="shared" si="13"/>
        <v>2897.7795000000001</v>
      </c>
      <c r="Q23" s="119">
        <f t="shared" si="13"/>
        <v>3045.0419999999999</v>
      </c>
      <c r="R23" s="119">
        <f t="shared" si="13"/>
        <v>3168.7424999999998</v>
      </c>
      <c r="S23" s="119">
        <f t="shared" si="13"/>
        <v>3128.73</v>
      </c>
      <c r="T23" s="119">
        <f t="shared" si="13"/>
        <v>3237.3</v>
      </c>
      <c r="U23" s="119">
        <f t="shared" si="13"/>
        <v>3346.5299999999997</v>
      </c>
      <c r="V23" s="119">
        <f t="shared" si="13"/>
        <v>3865.29</v>
      </c>
      <c r="W23" s="119">
        <f t="shared" si="13"/>
        <v>4075.83</v>
      </c>
      <c r="X23" s="119">
        <f t="shared" si="13"/>
        <v>4243.4699999999993</v>
      </c>
      <c r="Y23" s="119">
        <f t="shared" si="13"/>
        <v>4402.53</v>
      </c>
      <c r="Z23" s="119">
        <f t="shared" si="13"/>
        <v>4555.32</v>
      </c>
      <c r="AA23" s="119">
        <f t="shared" si="13"/>
        <v>4703.16</v>
      </c>
      <c r="AB23" s="119">
        <f t="shared" si="13"/>
        <v>5737.68</v>
      </c>
      <c r="AC23" s="119">
        <f t="shared" si="13"/>
        <v>6013.08</v>
      </c>
      <c r="AD23" s="119">
        <f t="shared" si="13"/>
        <v>6238.7999999999993</v>
      </c>
      <c r="AE23" s="119">
        <f t="shared" si="13"/>
        <v>6674.0399999999991</v>
      </c>
      <c r="AF23" s="119">
        <f t="shared" si="13"/>
        <v>6939</v>
      </c>
      <c r="AG23" s="119">
        <f t="shared" si="13"/>
        <v>7181.64</v>
      </c>
      <c r="AH23" s="119">
        <f t="shared" si="13"/>
        <v>7616.5199999999986</v>
      </c>
      <c r="AI23" s="119">
        <f t="shared" si="13"/>
        <v>7873.92</v>
      </c>
      <c r="AJ23" s="119">
        <f t="shared" si="13"/>
        <v>8101.7999999999993</v>
      </c>
      <c r="AK23" s="119">
        <f t="shared" si="13"/>
        <v>8762.0399999999991</v>
      </c>
      <c r="AL23" s="119">
        <f t="shared" si="13"/>
        <v>8654.4</v>
      </c>
      <c r="AM23" s="119">
        <f t="shared" si="13"/>
        <v>8814.5999999999985</v>
      </c>
      <c r="AN23" s="119">
        <f t="shared" si="13"/>
        <v>10151.31</v>
      </c>
      <c r="AO23" s="119">
        <f t="shared" si="13"/>
        <v>10474.23</v>
      </c>
      <c r="AP23" s="119">
        <f t="shared" si="13"/>
        <v>10746.84</v>
      </c>
      <c r="AQ23" s="119">
        <f t="shared" si="13"/>
        <v>11395.02</v>
      </c>
      <c r="AR23" s="119">
        <f t="shared" si="13"/>
        <v>11782.68</v>
      </c>
      <c r="AS23" s="119">
        <f t="shared" si="13"/>
        <v>12129</v>
      </c>
      <c r="AT23" s="119">
        <f t="shared" si="13"/>
        <v>12360.27</v>
      </c>
      <c r="AU23" s="119">
        <f t="shared" si="13"/>
        <v>12663.3</v>
      </c>
      <c r="AV23" s="119">
        <f t="shared" si="13"/>
        <v>12969.84</v>
      </c>
      <c r="AW23" s="119">
        <f t="shared" si="13"/>
        <v>13957.319999999998</v>
      </c>
      <c r="AX23" s="119">
        <f t="shared" si="13"/>
        <v>14457.689999999999</v>
      </c>
      <c r="AY23" s="119">
        <f t="shared" si="13"/>
        <v>14878.89</v>
      </c>
    </row>
    <row r="24" spans="1:51" s="61" customFormat="1" x14ac:dyDescent="0.2">
      <c r="A24" s="83"/>
      <c r="B24" s="85"/>
      <c r="C24" s="120" t="s">
        <v>29</v>
      </c>
      <c r="D24" s="121">
        <f>SUM(D17:D23)</f>
        <v>232291.35</v>
      </c>
      <c r="E24" s="121">
        <f t="shared" ref="E24:AY24" si="14">SUM(E17:E23)</f>
        <v>267125.09999999998</v>
      </c>
      <c r="F24" s="121">
        <f t="shared" si="14"/>
        <v>285371.34999999998</v>
      </c>
      <c r="G24" s="121">
        <f t="shared" si="14"/>
        <v>300606.33499999996</v>
      </c>
      <c r="H24" s="121">
        <f t="shared" si="14"/>
        <v>318573.45999999996</v>
      </c>
      <c r="I24" s="121">
        <f t="shared" si="14"/>
        <v>335364.55499999999</v>
      </c>
      <c r="J24" s="121">
        <f t="shared" si="14"/>
        <v>385019.51999999996</v>
      </c>
      <c r="K24" s="121">
        <f t="shared" si="14"/>
        <v>408174.72</v>
      </c>
      <c r="L24" s="121">
        <f t="shared" si="14"/>
        <v>427277.76</v>
      </c>
      <c r="M24" s="121">
        <f t="shared" si="14"/>
        <v>421378.65</v>
      </c>
      <c r="N24" s="121">
        <f t="shared" si="14"/>
        <v>438160.82999999996</v>
      </c>
      <c r="O24" s="121">
        <f t="shared" si="14"/>
        <v>454517.375</v>
      </c>
      <c r="P24" s="121">
        <f t="shared" si="14"/>
        <v>504719.59450000006</v>
      </c>
      <c r="Q24" s="121">
        <f t="shared" si="14"/>
        <v>530368.98200000008</v>
      </c>
      <c r="R24" s="121">
        <f t="shared" si="14"/>
        <v>551914.46750000003</v>
      </c>
      <c r="S24" s="121">
        <f t="shared" si="14"/>
        <v>561607.03500000003</v>
      </c>
      <c r="T24" s="121">
        <f t="shared" si="14"/>
        <v>581095.35000000009</v>
      </c>
      <c r="U24" s="121">
        <f t="shared" si="14"/>
        <v>600702.13500000001</v>
      </c>
      <c r="V24" s="121">
        <f t="shared" si="14"/>
        <v>655166.65500000003</v>
      </c>
      <c r="W24" s="121">
        <f t="shared" si="14"/>
        <v>690853.18500000006</v>
      </c>
      <c r="X24" s="121">
        <f t="shared" si="14"/>
        <v>719268.1649999998</v>
      </c>
      <c r="Y24" s="121">
        <f t="shared" si="14"/>
        <v>738891.28500000015</v>
      </c>
      <c r="Z24" s="121">
        <f t="shared" si="14"/>
        <v>764534.53999999992</v>
      </c>
      <c r="AA24" s="121">
        <f t="shared" si="14"/>
        <v>789347.02</v>
      </c>
      <c r="AB24" s="121">
        <f t="shared" si="14"/>
        <v>859217.58000000007</v>
      </c>
      <c r="AC24" s="121">
        <f t="shared" si="14"/>
        <v>900458.73</v>
      </c>
      <c r="AD24" s="121">
        <f t="shared" si="14"/>
        <v>934260.3</v>
      </c>
      <c r="AE24" s="121">
        <f t="shared" si="14"/>
        <v>999437.49</v>
      </c>
      <c r="AF24" s="121">
        <f t="shared" si="14"/>
        <v>1039115.25</v>
      </c>
      <c r="AG24" s="121">
        <f t="shared" si="14"/>
        <v>1075450.5899999999</v>
      </c>
      <c r="AH24" s="121">
        <f t="shared" si="14"/>
        <v>1140573.8700000001</v>
      </c>
      <c r="AI24" s="121">
        <f t="shared" si="14"/>
        <v>1179119.52</v>
      </c>
      <c r="AJ24" s="121">
        <f t="shared" si="14"/>
        <v>1213244.55</v>
      </c>
      <c r="AK24" s="121">
        <f t="shared" si="14"/>
        <v>1312115.49</v>
      </c>
      <c r="AL24" s="121">
        <f t="shared" si="14"/>
        <v>1295996.3999999999</v>
      </c>
      <c r="AM24" s="121">
        <f t="shared" si="14"/>
        <v>1319986.3500000001</v>
      </c>
      <c r="AN24" s="121">
        <f t="shared" si="14"/>
        <v>1520158.6725000001</v>
      </c>
      <c r="AO24" s="121">
        <f t="shared" si="14"/>
        <v>1568515.9424999999</v>
      </c>
      <c r="AP24" s="121">
        <f t="shared" si="14"/>
        <v>1609339.29</v>
      </c>
      <c r="AQ24" s="121">
        <f t="shared" si="14"/>
        <v>1706404.2450000001</v>
      </c>
      <c r="AR24" s="121">
        <f t="shared" si="14"/>
        <v>1764456.3299999998</v>
      </c>
      <c r="AS24" s="121">
        <f t="shared" si="14"/>
        <v>1816317.75</v>
      </c>
      <c r="AT24" s="121">
        <f t="shared" si="14"/>
        <v>1850950.4325000001</v>
      </c>
      <c r="AU24" s="121">
        <f t="shared" si="14"/>
        <v>1896329.175</v>
      </c>
      <c r="AV24" s="121">
        <f t="shared" si="14"/>
        <v>1942233.54</v>
      </c>
      <c r="AW24" s="121">
        <f t="shared" si="14"/>
        <v>2090108.6700000002</v>
      </c>
      <c r="AX24" s="121">
        <f t="shared" si="14"/>
        <v>2165039.0775000001</v>
      </c>
      <c r="AY24" s="121">
        <f t="shared" si="14"/>
        <v>2228113.7775000003</v>
      </c>
    </row>
    <row r="25" spans="1:51" x14ac:dyDescent="0.2"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</row>
    <row r="26" spans="1:51" x14ac:dyDescent="0.2">
      <c r="C26" s="120" t="s">
        <v>120</v>
      </c>
      <c r="D26" s="121">
        <f>D15-D24</f>
        <v>90325.800000000017</v>
      </c>
      <c r="E26" s="121">
        <f t="shared" ref="E26:AY26" si="15">E15-E24</f>
        <v>103870.80000000005</v>
      </c>
      <c r="F26" s="121">
        <f t="shared" si="15"/>
        <v>110965.80000000005</v>
      </c>
      <c r="G26" s="121">
        <f t="shared" si="15"/>
        <v>123375.81500000006</v>
      </c>
      <c r="H26" s="121">
        <f t="shared" si="15"/>
        <v>130749.94000000006</v>
      </c>
      <c r="I26" s="121">
        <f t="shared" si="15"/>
        <v>137641.39499999996</v>
      </c>
      <c r="J26" s="121">
        <f t="shared" si="15"/>
        <v>166590.38000000006</v>
      </c>
      <c r="K26" s="121">
        <f t="shared" si="15"/>
        <v>176609.18000000005</v>
      </c>
      <c r="L26" s="121">
        <f t="shared" si="15"/>
        <v>184874.68999999994</v>
      </c>
      <c r="M26" s="121">
        <f t="shared" si="15"/>
        <v>217220.84999999998</v>
      </c>
      <c r="N26" s="121">
        <f t="shared" si="15"/>
        <v>225872.07000000007</v>
      </c>
      <c r="O26" s="121">
        <f t="shared" si="15"/>
        <v>234303.875</v>
      </c>
      <c r="P26" s="121">
        <f t="shared" si="15"/>
        <v>338688.95549999987</v>
      </c>
      <c r="Q26" s="121">
        <f t="shared" si="15"/>
        <v>355900.81799999985</v>
      </c>
      <c r="R26" s="121">
        <f t="shared" si="15"/>
        <v>370358.78249999997</v>
      </c>
      <c r="S26" s="121">
        <f t="shared" si="15"/>
        <v>394551.81499999983</v>
      </c>
      <c r="T26" s="121">
        <f t="shared" si="15"/>
        <v>408243.14999999991</v>
      </c>
      <c r="U26" s="121">
        <f t="shared" si="15"/>
        <v>422017.71499999985</v>
      </c>
      <c r="V26" s="121">
        <f t="shared" si="15"/>
        <v>526089.39500000002</v>
      </c>
      <c r="W26" s="121">
        <f t="shared" si="15"/>
        <v>554745.1649999998</v>
      </c>
      <c r="X26" s="121">
        <f t="shared" si="15"/>
        <v>577561.98500000034</v>
      </c>
      <c r="Y26" s="121">
        <f t="shared" si="15"/>
        <v>606548.56499999971</v>
      </c>
      <c r="Z26" s="121">
        <f t="shared" si="15"/>
        <v>627598.86000000022</v>
      </c>
      <c r="AA26" s="121">
        <f t="shared" si="15"/>
        <v>647967.17999999993</v>
      </c>
      <c r="AB26" s="121">
        <f t="shared" si="15"/>
        <v>886790.31999999983</v>
      </c>
      <c r="AC26" s="121">
        <f t="shared" si="15"/>
        <v>929354.91999999993</v>
      </c>
      <c r="AD26" s="121">
        <f t="shared" si="15"/>
        <v>964241.2</v>
      </c>
      <c r="AE26" s="121">
        <f t="shared" si="15"/>
        <v>1031509.9600000002</v>
      </c>
      <c r="AF26" s="121">
        <f t="shared" si="15"/>
        <v>1072461</v>
      </c>
      <c r="AG26" s="121">
        <f t="shared" si="15"/>
        <v>1109962.3600000003</v>
      </c>
      <c r="AH26" s="121">
        <f t="shared" si="15"/>
        <v>1177175.4799999995</v>
      </c>
      <c r="AI26" s="121">
        <f t="shared" si="15"/>
        <v>1216958.0799999996</v>
      </c>
      <c r="AJ26" s="121">
        <f t="shared" si="15"/>
        <v>1252178.2</v>
      </c>
      <c r="AK26" s="121">
        <f t="shared" si="15"/>
        <v>1354221.9600000002</v>
      </c>
      <c r="AL26" s="121">
        <f t="shared" si="15"/>
        <v>1337585.6000000001</v>
      </c>
      <c r="AM26" s="121">
        <f t="shared" si="15"/>
        <v>1362345.4</v>
      </c>
      <c r="AN26" s="121">
        <f t="shared" si="15"/>
        <v>1557770.5774999999</v>
      </c>
      <c r="AO26" s="121">
        <f t="shared" si="15"/>
        <v>1607324.3075000001</v>
      </c>
      <c r="AP26" s="121">
        <f t="shared" si="15"/>
        <v>1649157.71</v>
      </c>
      <c r="AQ26" s="121">
        <f t="shared" si="15"/>
        <v>1748624.2549999999</v>
      </c>
      <c r="AR26" s="121">
        <f t="shared" si="15"/>
        <v>1808112.6700000002</v>
      </c>
      <c r="AS26" s="121">
        <f t="shared" si="15"/>
        <v>1861257.25</v>
      </c>
      <c r="AT26" s="121">
        <f t="shared" si="15"/>
        <v>1896746.8174999999</v>
      </c>
      <c r="AU26" s="121">
        <f t="shared" si="15"/>
        <v>1943248.325</v>
      </c>
      <c r="AV26" s="121">
        <f t="shared" si="15"/>
        <v>1990288.4600000004</v>
      </c>
      <c r="AW26" s="121">
        <f t="shared" si="15"/>
        <v>2141822.33</v>
      </c>
      <c r="AX26" s="121">
        <f t="shared" si="15"/>
        <v>2218606.6724999999</v>
      </c>
      <c r="AY26" s="121">
        <f t="shared" si="15"/>
        <v>2283241.9724999997</v>
      </c>
    </row>
    <row r="27" spans="1:51" s="87" customFormat="1" x14ac:dyDescent="0.2">
      <c r="B27" s="155"/>
      <c r="C27" s="128" t="s">
        <v>30</v>
      </c>
      <c r="D27" s="102">
        <f>D26/D$15</f>
        <v>0.27997829625610421</v>
      </c>
      <c r="E27" s="102">
        <f t="shared" ref="E27:AY27" si="16">E26/E$15</f>
        <v>0.27997829625610426</v>
      </c>
      <c r="F27" s="102">
        <f t="shared" si="16"/>
        <v>0.27997829625610426</v>
      </c>
      <c r="G27" s="102">
        <f t="shared" si="16"/>
        <v>0.29099294628323397</v>
      </c>
      <c r="H27" s="102">
        <f t="shared" si="16"/>
        <v>0.29099294628323397</v>
      </c>
      <c r="I27" s="102">
        <f t="shared" si="16"/>
        <v>0.2909929462832338</v>
      </c>
      <c r="J27" s="102">
        <f t="shared" si="16"/>
        <v>0.30200759631036361</v>
      </c>
      <c r="K27" s="102">
        <f t="shared" si="16"/>
        <v>0.30200759631036361</v>
      </c>
      <c r="L27" s="102">
        <f t="shared" si="16"/>
        <v>0.30200759631036345</v>
      </c>
      <c r="M27" s="102">
        <f t="shared" si="16"/>
        <v>0.34015192620727069</v>
      </c>
      <c r="N27" s="102">
        <f t="shared" si="16"/>
        <v>0.34015192620727086</v>
      </c>
      <c r="O27" s="102">
        <f t="shared" si="16"/>
        <v>0.34015192620727075</v>
      </c>
      <c r="P27" s="102">
        <f t="shared" si="16"/>
        <v>0.4015716410510658</v>
      </c>
      <c r="Q27" s="102">
        <f t="shared" si="16"/>
        <v>0.4015716410510658</v>
      </c>
      <c r="R27" s="102">
        <f t="shared" si="16"/>
        <v>0.40157164105106591</v>
      </c>
      <c r="S27" s="102">
        <f t="shared" si="16"/>
        <v>0.41264253842340098</v>
      </c>
      <c r="T27" s="102">
        <f t="shared" si="16"/>
        <v>0.41264253842340098</v>
      </c>
      <c r="U27" s="102">
        <f t="shared" si="16"/>
        <v>0.41264253842340098</v>
      </c>
      <c r="V27" s="102">
        <f t="shared" si="16"/>
        <v>0.44536440257808624</v>
      </c>
      <c r="W27" s="102">
        <f t="shared" si="16"/>
        <v>0.44536440257808618</v>
      </c>
      <c r="X27" s="102">
        <f t="shared" si="16"/>
        <v>0.44536440257808646</v>
      </c>
      <c r="Y27" s="102">
        <f t="shared" si="16"/>
        <v>0.45081804660386698</v>
      </c>
      <c r="Z27" s="102">
        <f t="shared" si="16"/>
        <v>0.45081804660386726</v>
      </c>
      <c r="AA27" s="102">
        <f t="shared" si="16"/>
        <v>0.4508180466038671</v>
      </c>
      <c r="AB27" s="102">
        <f t="shared" si="16"/>
        <v>0.50789593792788679</v>
      </c>
      <c r="AC27" s="102">
        <f t="shared" si="16"/>
        <v>0.50789593792788679</v>
      </c>
      <c r="AD27" s="102">
        <f t="shared" si="16"/>
        <v>0.50789593792788679</v>
      </c>
      <c r="AE27" s="102">
        <f t="shared" si="16"/>
        <v>0.5078959379278869</v>
      </c>
      <c r="AF27" s="102">
        <f t="shared" si="16"/>
        <v>0.50789593792788679</v>
      </c>
      <c r="AG27" s="102">
        <f t="shared" si="16"/>
        <v>0.5078959379278869</v>
      </c>
      <c r="AH27" s="102">
        <f t="shared" si="16"/>
        <v>0.50789593792788668</v>
      </c>
      <c r="AI27" s="102">
        <f t="shared" si="16"/>
        <v>0.50789593792788668</v>
      </c>
      <c r="AJ27" s="102">
        <f t="shared" si="16"/>
        <v>0.50789593792788679</v>
      </c>
      <c r="AK27" s="102">
        <f t="shared" si="16"/>
        <v>0.5078959379278869</v>
      </c>
      <c r="AL27" s="102">
        <f t="shared" si="16"/>
        <v>0.5078959379278869</v>
      </c>
      <c r="AM27" s="102">
        <f t="shared" si="16"/>
        <v>0.50789593792788679</v>
      </c>
      <c r="AN27" s="102">
        <f t="shared" si="16"/>
        <v>0.50610993657505277</v>
      </c>
      <c r="AO27" s="102">
        <f t="shared" si="16"/>
        <v>0.50610993657505288</v>
      </c>
      <c r="AP27" s="102">
        <f t="shared" si="16"/>
        <v>0.50610993657505288</v>
      </c>
      <c r="AQ27" s="102">
        <f t="shared" si="16"/>
        <v>0.50610993657505288</v>
      </c>
      <c r="AR27" s="102">
        <f t="shared" si="16"/>
        <v>0.50610993657505288</v>
      </c>
      <c r="AS27" s="102">
        <f t="shared" si="16"/>
        <v>0.50610993657505288</v>
      </c>
      <c r="AT27" s="102">
        <f t="shared" si="16"/>
        <v>0.50610993657505288</v>
      </c>
      <c r="AU27" s="102">
        <f t="shared" si="16"/>
        <v>0.50610993657505288</v>
      </c>
      <c r="AV27" s="102">
        <f t="shared" si="16"/>
        <v>0.50610993657505288</v>
      </c>
      <c r="AW27" s="102">
        <f t="shared" si="16"/>
        <v>0.50610993657505288</v>
      </c>
      <c r="AX27" s="102">
        <f t="shared" si="16"/>
        <v>0.50610993657505288</v>
      </c>
      <c r="AY27" s="102">
        <f t="shared" si="16"/>
        <v>0.50610993657505277</v>
      </c>
    </row>
    <row r="28" spans="1:51" x14ac:dyDescent="0.2">
      <c r="C28" s="77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</row>
    <row r="29" spans="1:51" s="73" customFormat="1" x14ac:dyDescent="0.2">
      <c r="A29" s="83"/>
      <c r="B29" s="85"/>
      <c r="C29" s="12" t="s">
        <v>31</v>
      </c>
      <c r="E29" s="73" t="s">
        <v>41</v>
      </c>
    </row>
    <row r="30" spans="1:51" x14ac:dyDescent="0.2">
      <c r="A30" s="80" t="s">
        <v>37</v>
      </c>
      <c r="B30" s="156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</row>
    <row r="31" spans="1:51" x14ac:dyDescent="0.2">
      <c r="A31" s="147">
        <v>150000</v>
      </c>
      <c r="B31" s="152"/>
      <c r="C31" s="115" t="s">
        <v>59</v>
      </c>
      <c r="D31" s="97">
        <f t="shared" ref="D31:AY31" si="17">D59*$A31/12</f>
        <v>12500</v>
      </c>
      <c r="E31" s="97">
        <f t="shared" si="17"/>
        <v>12500</v>
      </c>
      <c r="F31" s="97">
        <f t="shared" si="17"/>
        <v>12500</v>
      </c>
      <c r="G31" s="97">
        <f t="shared" si="17"/>
        <v>12500</v>
      </c>
      <c r="H31" s="97">
        <f t="shared" si="17"/>
        <v>12500</v>
      </c>
      <c r="I31" s="97">
        <f t="shared" si="17"/>
        <v>12500</v>
      </c>
      <c r="J31" s="97">
        <f t="shared" si="17"/>
        <v>12500</v>
      </c>
      <c r="K31" s="97">
        <f t="shared" si="17"/>
        <v>25000</v>
      </c>
      <c r="L31" s="97">
        <f t="shared" si="17"/>
        <v>25000</v>
      </c>
      <c r="M31" s="97">
        <f t="shared" si="17"/>
        <v>25000</v>
      </c>
      <c r="N31" s="97">
        <f t="shared" si="17"/>
        <v>25000</v>
      </c>
      <c r="O31" s="97">
        <f t="shared" si="17"/>
        <v>25000</v>
      </c>
      <c r="P31" s="97">
        <f t="shared" si="17"/>
        <v>25000</v>
      </c>
      <c r="Q31" s="97">
        <f t="shared" si="17"/>
        <v>25000</v>
      </c>
      <c r="R31" s="97">
        <f t="shared" si="17"/>
        <v>25000</v>
      </c>
      <c r="S31" s="97">
        <f t="shared" si="17"/>
        <v>37500</v>
      </c>
      <c r="T31" s="97">
        <f t="shared" si="17"/>
        <v>37500</v>
      </c>
      <c r="U31" s="97">
        <f t="shared" si="17"/>
        <v>37500</v>
      </c>
      <c r="V31" s="97">
        <f t="shared" si="17"/>
        <v>37500</v>
      </c>
      <c r="W31" s="97">
        <f t="shared" si="17"/>
        <v>37500</v>
      </c>
      <c r="X31" s="97">
        <f t="shared" si="17"/>
        <v>37500</v>
      </c>
      <c r="Y31" s="97">
        <f t="shared" si="17"/>
        <v>37500</v>
      </c>
      <c r="Z31" s="97">
        <f t="shared" si="17"/>
        <v>37500</v>
      </c>
      <c r="AA31" s="97">
        <f t="shared" si="17"/>
        <v>37500</v>
      </c>
      <c r="AB31" s="97">
        <f t="shared" si="17"/>
        <v>37500</v>
      </c>
      <c r="AC31" s="97">
        <f t="shared" si="17"/>
        <v>37500</v>
      </c>
      <c r="AD31" s="97">
        <f t="shared" si="17"/>
        <v>37500</v>
      </c>
      <c r="AE31" s="97">
        <f t="shared" si="17"/>
        <v>50000</v>
      </c>
      <c r="AF31" s="97">
        <f t="shared" si="17"/>
        <v>50000</v>
      </c>
      <c r="AG31" s="97">
        <f t="shared" si="17"/>
        <v>50000</v>
      </c>
      <c r="AH31" s="97">
        <f t="shared" si="17"/>
        <v>50000</v>
      </c>
      <c r="AI31" s="97">
        <f t="shared" si="17"/>
        <v>50000</v>
      </c>
      <c r="AJ31" s="97">
        <f t="shared" si="17"/>
        <v>50000</v>
      </c>
      <c r="AK31" s="97">
        <f t="shared" si="17"/>
        <v>50000</v>
      </c>
      <c r="AL31" s="97">
        <f t="shared" si="17"/>
        <v>50000</v>
      </c>
      <c r="AM31" s="97">
        <f t="shared" si="17"/>
        <v>50000</v>
      </c>
      <c r="AN31" s="97">
        <f t="shared" si="17"/>
        <v>50000</v>
      </c>
      <c r="AO31" s="97">
        <f t="shared" si="17"/>
        <v>50000</v>
      </c>
      <c r="AP31" s="97">
        <f t="shared" si="17"/>
        <v>50000</v>
      </c>
      <c r="AQ31" s="97">
        <f t="shared" si="17"/>
        <v>62500</v>
      </c>
      <c r="AR31" s="97">
        <f t="shared" si="17"/>
        <v>62500</v>
      </c>
      <c r="AS31" s="97">
        <f t="shared" si="17"/>
        <v>62500</v>
      </c>
      <c r="AT31" s="97">
        <f t="shared" si="17"/>
        <v>62500</v>
      </c>
      <c r="AU31" s="97">
        <f t="shared" si="17"/>
        <v>62500</v>
      </c>
      <c r="AV31" s="97">
        <f t="shared" si="17"/>
        <v>62500</v>
      </c>
      <c r="AW31" s="97">
        <f t="shared" si="17"/>
        <v>62500</v>
      </c>
      <c r="AX31" s="97">
        <f t="shared" si="17"/>
        <v>62500</v>
      </c>
      <c r="AY31" s="97">
        <f t="shared" si="17"/>
        <v>62500</v>
      </c>
    </row>
    <row r="32" spans="1:51" x14ac:dyDescent="0.2">
      <c r="A32" s="147">
        <v>100000</v>
      </c>
      <c r="B32" s="152"/>
      <c r="C32" s="115" t="s">
        <v>32</v>
      </c>
      <c r="D32" s="94">
        <f t="shared" ref="D32:AY32" si="18">D60*$A32/12</f>
        <v>0</v>
      </c>
      <c r="E32" s="94">
        <f t="shared" si="18"/>
        <v>0</v>
      </c>
      <c r="F32" s="94">
        <f t="shared" si="18"/>
        <v>0</v>
      </c>
      <c r="G32" s="94">
        <f t="shared" si="18"/>
        <v>0</v>
      </c>
      <c r="H32" s="94">
        <f t="shared" si="18"/>
        <v>0</v>
      </c>
      <c r="I32" s="94">
        <f t="shared" si="18"/>
        <v>8333.3333333333339</v>
      </c>
      <c r="J32" s="94">
        <f t="shared" si="18"/>
        <v>8333.3333333333339</v>
      </c>
      <c r="K32" s="94">
        <f t="shared" si="18"/>
        <v>8333.3333333333339</v>
      </c>
      <c r="L32" s="94">
        <f t="shared" si="18"/>
        <v>8333.3333333333339</v>
      </c>
      <c r="M32" s="94">
        <f t="shared" si="18"/>
        <v>8333.3333333333339</v>
      </c>
      <c r="N32" s="94">
        <f t="shared" si="18"/>
        <v>8333.3333333333339</v>
      </c>
      <c r="O32" s="94">
        <f t="shared" si="18"/>
        <v>8333.3333333333339</v>
      </c>
      <c r="P32" s="94">
        <f t="shared" si="18"/>
        <v>8333.3333333333339</v>
      </c>
      <c r="Q32" s="94">
        <f t="shared" si="18"/>
        <v>8333.3333333333339</v>
      </c>
      <c r="R32" s="94">
        <f t="shared" si="18"/>
        <v>8333.3333333333339</v>
      </c>
      <c r="S32" s="94">
        <f t="shared" si="18"/>
        <v>8333.3333333333339</v>
      </c>
      <c r="T32" s="94">
        <f t="shared" si="18"/>
        <v>8333.3333333333339</v>
      </c>
      <c r="U32" s="94">
        <f t="shared" si="18"/>
        <v>8333.3333333333339</v>
      </c>
      <c r="V32" s="94">
        <f t="shared" si="18"/>
        <v>16666.666666666668</v>
      </c>
      <c r="W32" s="94">
        <f t="shared" si="18"/>
        <v>16666.666666666668</v>
      </c>
      <c r="X32" s="94">
        <f t="shared" si="18"/>
        <v>16666.666666666668</v>
      </c>
      <c r="Y32" s="94">
        <f t="shared" si="18"/>
        <v>16666.666666666668</v>
      </c>
      <c r="Z32" s="94">
        <f t="shared" si="18"/>
        <v>16666.666666666668</v>
      </c>
      <c r="AA32" s="94">
        <f t="shared" si="18"/>
        <v>16666.666666666668</v>
      </c>
      <c r="AB32" s="94">
        <f t="shared" si="18"/>
        <v>16666.666666666668</v>
      </c>
      <c r="AC32" s="94">
        <f t="shared" si="18"/>
        <v>16666.666666666668</v>
      </c>
      <c r="AD32" s="94">
        <f t="shared" si="18"/>
        <v>16666.666666666668</v>
      </c>
      <c r="AE32" s="94">
        <f t="shared" si="18"/>
        <v>16666.666666666668</v>
      </c>
      <c r="AF32" s="94">
        <f t="shared" si="18"/>
        <v>16666.666666666668</v>
      </c>
      <c r="AG32" s="94">
        <f t="shared" si="18"/>
        <v>16666.666666666668</v>
      </c>
      <c r="AH32" s="94">
        <f t="shared" si="18"/>
        <v>25000</v>
      </c>
      <c r="AI32" s="94">
        <f t="shared" si="18"/>
        <v>25000</v>
      </c>
      <c r="AJ32" s="94">
        <f t="shared" si="18"/>
        <v>25000</v>
      </c>
      <c r="AK32" s="94">
        <f t="shared" si="18"/>
        <v>25000</v>
      </c>
      <c r="AL32" s="94">
        <f t="shared" si="18"/>
        <v>25000</v>
      </c>
      <c r="AM32" s="94">
        <f t="shared" si="18"/>
        <v>25000</v>
      </c>
      <c r="AN32" s="94">
        <f t="shared" si="18"/>
        <v>25000</v>
      </c>
      <c r="AO32" s="94">
        <f t="shared" si="18"/>
        <v>25000</v>
      </c>
      <c r="AP32" s="94">
        <f t="shared" si="18"/>
        <v>25000</v>
      </c>
      <c r="AQ32" s="94">
        <f t="shared" si="18"/>
        <v>25000</v>
      </c>
      <c r="AR32" s="94">
        <f t="shared" si="18"/>
        <v>25000</v>
      </c>
      <c r="AS32" s="94">
        <f t="shared" si="18"/>
        <v>25000</v>
      </c>
      <c r="AT32" s="94">
        <f t="shared" si="18"/>
        <v>33333.333333333336</v>
      </c>
      <c r="AU32" s="94">
        <f t="shared" si="18"/>
        <v>33333.333333333336</v>
      </c>
      <c r="AV32" s="94">
        <f t="shared" si="18"/>
        <v>33333.333333333336</v>
      </c>
      <c r="AW32" s="94">
        <f t="shared" si="18"/>
        <v>33333.333333333336</v>
      </c>
      <c r="AX32" s="94">
        <f t="shared" si="18"/>
        <v>33333.333333333336</v>
      </c>
      <c r="AY32" s="94">
        <f t="shared" si="18"/>
        <v>33333.333333333336</v>
      </c>
    </row>
    <row r="33" spans="1:51" x14ac:dyDescent="0.2">
      <c r="A33" s="147">
        <v>150000</v>
      </c>
      <c r="B33" s="152"/>
      <c r="C33" s="115" t="s">
        <v>33</v>
      </c>
      <c r="D33" s="94">
        <f t="shared" ref="D33:AY33" si="19">D61*$A33/12</f>
        <v>0</v>
      </c>
      <c r="E33" s="94">
        <f t="shared" si="19"/>
        <v>0</v>
      </c>
      <c r="F33" s="94">
        <f t="shared" si="19"/>
        <v>0</v>
      </c>
      <c r="G33" s="94">
        <f t="shared" si="19"/>
        <v>0</v>
      </c>
      <c r="H33" s="94">
        <f t="shared" si="19"/>
        <v>0</v>
      </c>
      <c r="I33" s="94">
        <f t="shared" si="19"/>
        <v>12500</v>
      </c>
      <c r="J33" s="94">
        <f t="shared" si="19"/>
        <v>12500</v>
      </c>
      <c r="K33" s="94">
        <f t="shared" si="19"/>
        <v>12500</v>
      </c>
      <c r="L33" s="94">
        <f t="shared" si="19"/>
        <v>12500</v>
      </c>
      <c r="M33" s="94">
        <f t="shared" si="19"/>
        <v>12500</v>
      </c>
      <c r="N33" s="94">
        <f t="shared" si="19"/>
        <v>12500</v>
      </c>
      <c r="O33" s="94">
        <f t="shared" si="19"/>
        <v>12500</v>
      </c>
      <c r="P33" s="94">
        <f t="shared" si="19"/>
        <v>12500</v>
      </c>
      <c r="Q33" s="94">
        <f t="shared" si="19"/>
        <v>12500</v>
      </c>
      <c r="R33" s="94">
        <f t="shared" si="19"/>
        <v>12500</v>
      </c>
      <c r="S33" s="94">
        <f t="shared" si="19"/>
        <v>12500</v>
      </c>
      <c r="T33" s="94">
        <f t="shared" si="19"/>
        <v>12500</v>
      </c>
      <c r="U33" s="94">
        <f t="shared" si="19"/>
        <v>12500</v>
      </c>
      <c r="V33" s="94">
        <f t="shared" si="19"/>
        <v>12500</v>
      </c>
      <c r="W33" s="94">
        <f t="shared" si="19"/>
        <v>12500</v>
      </c>
      <c r="X33" s="94">
        <f t="shared" si="19"/>
        <v>12500</v>
      </c>
      <c r="Y33" s="94">
        <f t="shared" si="19"/>
        <v>12500</v>
      </c>
      <c r="Z33" s="94">
        <f t="shared" si="19"/>
        <v>12500</v>
      </c>
      <c r="AA33" s="94">
        <f t="shared" si="19"/>
        <v>12500</v>
      </c>
      <c r="AB33" s="94">
        <f t="shared" si="19"/>
        <v>25000</v>
      </c>
      <c r="AC33" s="94">
        <f t="shared" si="19"/>
        <v>25000</v>
      </c>
      <c r="AD33" s="94">
        <f t="shared" si="19"/>
        <v>25000</v>
      </c>
      <c r="AE33" s="94">
        <f t="shared" si="19"/>
        <v>25000</v>
      </c>
      <c r="AF33" s="94">
        <f t="shared" si="19"/>
        <v>25000</v>
      </c>
      <c r="AG33" s="94">
        <f t="shared" si="19"/>
        <v>25000</v>
      </c>
      <c r="AH33" s="94">
        <f t="shared" si="19"/>
        <v>25000</v>
      </c>
      <c r="AI33" s="94">
        <f t="shared" si="19"/>
        <v>25000</v>
      </c>
      <c r="AJ33" s="94">
        <f t="shared" si="19"/>
        <v>25000</v>
      </c>
      <c r="AK33" s="94">
        <f t="shared" si="19"/>
        <v>25000</v>
      </c>
      <c r="AL33" s="94">
        <f t="shared" si="19"/>
        <v>25000</v>
      </c>
      <c r="AM33" s="94">
        <f t="shared" si="19"/>
        <v>25000</v>
      </c>
      <c r="AN33" s="94">
        <f t="shared" si="19"/>
        <v>25000</v>
      </c>
      <c r="AO33" s="94">
        <f t="shared" si="19"/>
        <v>25000</v>
      </c>
      <c r="AP33" s="94">
        <f t="shared" si="19"/>
        <v>25000</v>
      </c>
      <c r="AQ33" s="94">
        <f t="shared" si="19"/>
        <v>25000</v>
      </c>
      <c r="AR33" s="94">
        <f t="shared" si="19"/>
        <v>25000</v>
      </c>
      <c r="AS33" s="94">
        <f t="shared" si="19"/>
        <v>25000</v>
      </c>
      <c r="AT33" s="94">
        <f t="shared" si="19"/>
        <v>25000</v>
      </c>
      <c r="AU33" s="94">
        <f t="shared" si="19"/>
        <v>25000</v>
      </c>
      <c r="AV33" s="94">
        <f t="shared" si="19"/>
        <v>25000</v>
      </c>
      <c r="AW33" s="94">
        <f t="shared" si="19"/>
        <v>25000</v>
      </c>
      <c r="AX33" s="94">
        <f t="shared" si="19"/>
        <v>25000</v>
      </c>
      <c r="AY33" s="94">
        <f t="shared" si="19"/>
        <v>25000</v>
      </c>
    </row>
    <row r="34" spans="1:51" x14ac:dyDescent="0.2">
      <c r="A34" s="147">
        <v>80000</v>
      </c>
      <c r="B34" s="152"/>
      <c r="C34" s="115" t="s">
        <v>34</v>
      </c>
      <c r="D34" s="94">
        <f t="shared" ref="D34:AY34" si="20">D62*$A34/12</f>
        <v>0</v>
      </c>
      <c r="E34" s="94">
        <f t="shared" si="20"/>
        <v>0</v>
      </c>
      <c r="F34" s="94">
        <f t="shared" si="20"/>
        <v>0</v>
      </c>
      <c r="G34" s="94">
        <f t="shared" si="20"/>
        <v>0</v>
      </c>
      <c r="H34" s="94">
        <f t="shared" si="20"/>
        <v>0</v>
      </c>
      <c r="I34" s="94">
        <f t="shared" si="20"/>
        <v>6666.666666666667</v>
      </c>
      <c r="J34" s="94">
        <f t="shared" si="20"/>
        <v>6666.666666666667</v>
      </c>
      <c r="K34" s="94">
        <f t="shared" si="20"/>
        <v>6666.666666666667</v>
      </c>
      <c r="L34" s="94">
        <f t="shared" si="20"/>
        <v>6666.666666666667</v>
      </c>
      <c r="M34" s="94">
        <f t="shared" si="20"/>
        <v>6666.666666666667</v>
      </c>
      <c r="N34" s="94">
        <f t="shared" si="20"/>
        <v>6666.666666666667</v>
      </c>
      <c r="O34" s="94">
        <f t="shared" si="20"/>
        <v>6666.666666666667</v>
      </c>
      <c r="P34" s="94">
        <f t="shared" si="20"/>
        <v>6666.666666666667</v>
      </c>
      <c r="Q34" s="94">
        <f t="shared" si="20"/>
        <v>6666.666666666667</v>
      </c>
      <c r="R34" s="94">
        <f t="shared" si="20"/>
        <v>6666.666666666667</v>
      </c>
      <c r="S34" s="94">
        <f t="shared" si="20"/>
        <v>6666.666666666667</v>
      </c>
      <c r="T34" s="94">
        <f t="shared" si="20"/>
        <v>6666.666666666667</v>
      </c>
      <c r="U34" s="94">
        <f t="shared" si="20"/>
        <v>6666.666666666667</v>
      </c>
      <c r="V34" s="94">
        <f t="shared" si="20"/>
        <v>6666.666666666667</v>
      </c>
      <c r="W34" s="94">
        <f t="shared" si="20"/>
        <v>6666.666666666667</v>
      </c>
      <c r="X34" s="94">
        <f t="shared" si="20"/>
        <v>6666.666666666667</v>
      </c>
      <c r="Y34" s="94">
        <f t="shared" si="20"/>
        <v>6666.666666666667</v>
      </c>
      <c r="Z34" s="94">
        <f t="shared" si="20"/>
        <v>6666.666666666667</v>
      </c>
      <c r="AA34" s="94">
        <f t="shared" si="20"/>
        <v>6666.666666666667</v>
      </c>
      <c r="AB34" s="94">
        <f t="shared" si="20"/>
        <v>13333.333333333334</v>
      </c>
      <c r="AC34" s="94">
        <f t="shared" si="20"/>
        <v>13333.333333333334</v>
      </c>
      <c r="AD34" s="94">
        <f t="shared" si="20"/>
        <v>13333.333333333334</v>
      </c>
      <c r="AE34" s="94">
        <f t="shared" si="20"/>
        <v>13333.333333333334</v>
      </c>
      <c r="AF34" s="94">
        <f t="shared" si="20"/>
        <v>13333.333333333334</v>
      </c>
      <c r="AG34" s="94">
        <f t="shared" si="20"/>
        <v>13333.333333333334</v>
      </c>
      <c r="AH34" s="94">
        <f t="shared" si="20"/>
        <v>13333.333333333334</v>
      </c>
      <c r="AI34" s="94">
        <f t="shared" si="20"/>
        <v>13333.333333333334</v>
      </c>
      <c r="AJ34" s="94">
        <f t="shared" si="20"/>
        <v>13333.333333333334</v>
      </c>
      <c r="AK34" s="94">
        <f t="shared" si="20"/>
        <v>13333.333333333334</v>
      </c>
      <c r="AL34" s="94">
        <f t="shared" si="20"/>
        <v>13333.333333333334</v>
      </c>
      <c r="AM34" s="94">
        <f t="shared" si="20"/>
        <v>13333.333333333334</v>
      </c>
      <c r="AN34" s="94">
        <f t="shared" si="20"/>
        <v>13333.333333333334</v>
      </c>
      <c r="AO34" s="94">
        <f t="shared" si="20"/>
        <v>13333.333333333334</v>
      </c>
      <c r="AP34" s="94">
        <f t="shared" si="20"/>
        <v>13333.333333333334</v>
      </c>
      <c r="AQ34" s="94">
        <f t="shared" si="20"/>
        <v>13333.333333333334</v>
      </c>
      <c r="AR34" s="94">
        <f t="shared" si="20"/>
        <v>13333.333333333334</v>
      </c>
      <c r="AS34" s="94">
        <f t="shared" si="20"/>
        <v>13333.333333333334</v>
      </c>
      <c r="AT34" s="94">
        <f t="shared" si="20"/>
        <v>13333.333333333334</v>
      </c>
      <c r="AU34" s="94">
        <f t="shared" si="20"/>
        <v>13333.333333333334</v>
      </c>
      <c r="AV34" s="94">
        <f t="shared" si="20"/>
        <v>13333.333333333334</v>
      </c>
      <c r="AW34" s="94">
        <f t="shared" si="20"/>
        <v>13333.333333333334</v>
      </c>
      <c r="AX34" s="94">
        <f t="shared" si="20"/>
        <v>13333.333333333334</v>
      </c>
      <c r="AY34" s="94">
        <f t="shared" si="20"/>
        <v>13333.333333333334</v>
      </c>
    </row>
    <row r="35" spans="1:51" x14ac:dyDescent="0.2">
      <c r="A35" s="147">
        <v>150000</v>
      </c>
      <c r="B35" s="152"/>
      <c r="C35" s="115" t="s">
        <v>35</v>
      </c>
      <c r="D35" s="94">
        <f t="shared" ref="D35:AY35" si="21">D63*$A35/12</f>
        <v>12500</v>
      </c>
      <c r="E35" s="94">
        <f t="shared" si="21"/>
        <v>12500</v>
      </c>
      <c r="F35" s="94">
        <f t="shared" si="21"/>
        <v>12500</v>
      </c>
      <c r="G35" s="94">
        <f t="shared" si="21"/>
        <v>12500</v>
      </c>
      <c r="H35" s="94">
        <f t="shared" si="21"/>
        <v>12500</v>
      </c>
      <c r="I35" s="94">
        <f t="shared" si="21"/>
        <v>25000</v>
      </c>
      <c r="J35" s="94">
        <f t="shared" si="21"/>
        <v>25000</v>
      </c>
      <c r="K35" s="94">
        <f t="shared" si="21"/>
        <v>25000</v>
      </c>
      <c r="L35" s="94">
        <f t="shared" si="21"/>
        <v>25000</v>
      </c>
      <c r="M35" s="94">
        <f t="shared" si="21"/>
        <v>25000</v>
      </c>
      <c r="N35" s="94">
        <f t="shared" si="21"/>
        <v>25000</v>
      </c>
      <c r="O35" s="94">
        <f t="shared" si="21"/>
        <v>25000</v>
      </c>
      <c r="P35" s="94">
        <f t="shared" si="21"/>
        <v>37500</v>
      </c>
      <c r="Q35" s="94">
        <f t="shared" si="21"/>
        <v>37500</v>
      </c>
      <c r="R35" s="94">
        <f t="shared" si="21"/>
        <v>37500</v>
      </c>
      <c r="S35" s="94">
        <f t="shared" si="21"/>
        <v>37500</v>
      </c>
      <c r="T35" s="94">
        <f t="shared" si="21"/>
        <v>37500</v>
      </c>
      <c r="U35" s="94">
        <f t="shared" si="21"/>
        <v>37500</v>
      </c>
      <c r="V35" s="94">
        <f t="shared" si="21"/>
        <v>50000</v>
      </c>
      <c r="W35" s="94">
        <f t="shared" si="21"/>
        <v>50000</v>
      </c>
      <c r="X35" s="94">
        <f t="shared" si="21"/>
        <v>50000</v>
      </c>
      <c r="Y35" s="94">
        <f t="shared" si="21"/>
        <v>50000</v>
      </c>
      <c r="Z35" s="94">
        <f t="shared" si="21"/>
        <v>50000</v>
      </c>
      <c r="AA35" s="94">
        <f t="shared" si="21"/>
        <v>50000</v>
      </c>
      <c r="AB35" s="94">
        <f t="shared" si="21"/>
        <v>62500</v>
      </c>
      <c r="AC35" s="94">
        <f t="shared" si="21"/>
        <v>62500</v>
      </c>
      <c r="AD35" s="94">
        <f t="shared" si="21"/>
        <v>62500</v>
      </c>
      <c r="AE35" s="94">
        <f t="shared" si="21"/>
        <v>62500</v>
      </c>
      <c r="AF35" s="94">
        <f t="shared" si="21"/>
        <v>62500</v>
      </c>
      <c r="AG35" s="94">
        <f t="shared" si="21"/>
        <v>62500</v>
      </c>
      <c r="AH35" s="94">
        <f t="shared" si="21"/>
        <v>75000</v>
      </c>
      <c r="AI35" s="94">
        <f t="shared" si="21"/>
        <v>75000</v>
      </c>
      <c r="AJ35" s="94">
        <f t="shared" si="21"/>
        <v>75000</v>
      </c>
      <c r="AK35" s="94">
        <f t="shared" si="21"/>
        <v>75000</v>
      </c>
      <c r="AL35" s="94">
        <f t="shared" si="21"/>
        <v>75000</v>
      </c>
      <c r="AM35" s="94">
        <f t="shared" si="21"/>
        <v>75000</v>
      </c>
      <c r="AN35" s="94">
        <f t="shared" si="21"/>
        <v>75000</v>
      </c>
      <c r="AO35" s="94">
        <f t="shared" si="21"/>
        <v>75000</v>
      </c>
      <c r="AP35" s="94">
        <f t="shared" si="21"/>
        <v>75000</v>
      </c>
      <c r="AQ35" s="94">
        <f t="shared" si="21"/>
        <v>75000</v>
      </c>
      <c r="AR35" s="94">
        <f t="shared" si="21"/>
        <v>75000</v>
      </c>
      <c r="AS35" s="94">
        <f t="shared" si="21"/>
        <v>75000</v>
      </c>
      <c r="AT35" s="94">
        <f t="shared" si="21"/>
        <v>75000</v>
      </c>
      <c r="AU35" s="94">
        <f t="shared" si="21"/>
        <v>75000</v>
      </c>
      <c r="AV35" s="94">
        <f t="shared" si="21"/>
        <v>75000</v>
      </c>
      <c r="AW35" s="94">
        <f t="shared" si="21"/>
        <v>75000</v>
      </c>
      <c r="AX35" s="94">
        <f t="shared" si="21"/>
        <v>75000</v>
      </c>
      <c r="AY35" s="94">
        <f t="shared" si="21"/>
        <v>75000</v>
      </c>
    </row>
    <row r="36" spans="1:51" s="13" customFormat="1" x14ac:dyDescent="0.2">
      <c r="A36" s="147">
        <v>175000</v>
      </c>
      <c r="B36" s="152"/>
      <c r="C36" s="115" t="s">
        <v>93</v>
      </c>
      <c r="D36" s="94">
        <f t="shared" ref="D36:AY36" si="22">D64*$A36/12</f>
        <v>29166.666666666668</v>
      </c>
      <c r="E36" s="94">
        <f t="shared" si="22"/>
        <v>29166.666666666668</v>
      </c>
      <c r="F36" s="94">
        <f t="shared" si="22"/>
        <v>29166.666666666668</v>
      </c>
      <c r="G36" s="94">
        <f t="shared" si="22"/>
        <v>29166.666666666668</v>
      </c>
      <c r="H36" s="94">
        <f t="shared" si="22"/>
        <v>29166.666666666668</v>
      </c>
      <c r="I36" s="94">
        <f t="shared" si="22"/>
        <v>29166.666666666668</v>
      </c>
      <c r="J36" s="94">
        <f t="shared" si="22"/>
        <v>29166.666666666668</v>
      </c>
      <c r="K36" s="94">
        <f t="shared" si="22"/>
        <v>29166.666666666668</v>
      </c>
      <c r="L36" s="94">
        <f t="shared" si="22"/>
        <v>29166.666666666668</v>
      </c>
      <c r="M36" s="94">
        <f t="shared" si="22"/>
        <v>43750</v>
      </c>
      <c r="N36" s="94">
        <f t="shared" si="22"/>
        <v>43750</v>
      </c>
      <c r="O36" s="94">
        <f t="shared" si="22"/>
        <v>43750</v>
      </c>
      <c r="P36" s="94">
        <f t="shared" si="22"/>
        <v>43750</v>
      </c>
      <c r="Q36" s="94">
        <f t="shared" si="22"/>
        <v>43750</v>
      </c>
      <c r="R36" s="94">
        <f t="shared" si="22"/>
        <v>43750</v>
      </c>
      <c r="S36" s="94">
        <f t="shared" si="22"/>
        <v>58333.333333333336</v>
      </c>
      <c r="T36" s="94">
        <f t="shared" si="22"/>
        <v>58333.333333333336</v>
      </c>
      <c r="U36" s="94">
        <f t="shared" si="22"/>
        <v>58333.333333333336</v>
      </c>
      <c r="V36" s="94">
        <f t="shared" si="22"/>
        <v>58333.333333333336</v>
      </c>
      <c r="W36" s="94">
        <f t="shared" si="22"/>
        <v>58333.333333333336</v>
      </c>
      <c r="X36" s="94">
        <f t="shared" si="22"/>
        <v>58333.333333333336</v>
      </c>
      <c r="Y36" s="94">
        <f t="shared" si="22"/>
        <v>58333.333333333336</v>
      </c>
      <c r="Z36" s="94">
        <f t="shared" si="22"/>
        <v>58333.333333333336</v>
      </c>
      <c r="AA36" s="94">
        <f t="shared" si="22"/>
        <v>58333.333333333336</v>
      </c>
      <c r="AB36" s="94">
        <f t="shared" si="22"/>
        <v>58333.333333333336</v>
      </c>
      <c r="AC36" s="94">
        <f t="shared" si="22"/>
        <v>58333.333333333336</v>
      </c>
      <c r="AD36" s="94">
        <f t="shared" si="22"/>
        <v>58333.333333333336</v>
      </c>
      <c r="AE36" s="94">
        <f t="shared" si="22"/>
        <v>72916.666666666672</v>
      </c>
      <c r="AF36" s="94">
        <f t="shared" si="22"/>
        <v>72916.666666666672</v>
      </c>
      <c r="AG36" s="94">
        <f t="shared" si="22"/>
        <v>72916.666666666672</v>
      </c>
      <c r="AH36" s="94">
        <f t="shared" si="22"/>
        <v>72916.666666666672</v>
      </c>
      <c r="AI36" s="94">
        <f t="shared" si="22"/>
        <v>72916.666666666672</v>
      </c>
      <c r="AJ36" s="94">
        <f t="shared" si="22"/>
        <v>72916.666666666672</v>
      </c>
      <c r="AK36" s="94">
        <f t="shared" si="22"/>
        <v>72916.666666666672</v>
      </c>
      <c r="AL36" s="94">
        <f t="shared" si="22"/>
        <v>72916.666666666672</v>
      </c>
      <c r="AM36" s="94">
        <f t="shared" si="22"/>
        <v>72916.666666666672</v>
      </c>
      <c r="AN36" s="94">
        <f t="shared" si="22"/>
        <v>87500</v>
      </c>
      <c r="AO36" s="94">
        <f t="shared" si="22"/>
        <v>87500</v>
      </c>
      <c r="AP36" s="94">
        <f t="shared" si="22"/>
        <v>87500</v>
      </c>
      <c r="AQ36" s="94">
        <f t="shared" si="22"/>
        <v>87500</v>
      </c>
      <c r="AR36" s="94">
        <f t="shared" si="22"/>
        <v>87500</v>
      </c>
      <c r="AS36" s="94">
        <f t="shared" si="22"/>
        <v>87500</v>
      </c>
      <c r="AT36" s="94">
        <f t="shared" si="22"/>
        <v>87500</v>
      </c>
      <c r="AU36" s="94">
        <f t="shared" si="22"/>
        <v>87500</v>
      </c>
      <c r="AV36" s="94">
        <f t="shared" si="22"/>
        <v>87500</v>
      </c>
      <c r="AW36" s="94">
        <f t="shared" si="22"/>
        <v>87500</v>
      </c>
      <c r="AX36" s="94">
        <f t="shared" si="22"/>
        <v>87500</v>
      </c>
      <c r="AY36" s="94">
        <f t="shared" si="22"/>
        <v>87500</v>
      </c>
    </row>
    <row r="37" spans="1:51" s="13" customFormat="1" x14ac:dyDescent="0.2">
      <c r="A37" s="146">
        <v>0.5</v>
      </c>
      <c r="B37" s="153"/>
      <c r="C37" s="115" t="s">
        <v>92</v>
      </c>
      <c r="D37" s="129">
        <f>SUM(D31:D36)*$A$37</f>
        <v>27083.333333333336</v>
      </c>
      <c r="E37" s="129">
        <f t="shared" ref="E37:AY37" si="23">SUM(E31:E36)*$A$37</f>
        <v>27083.333333333336</v>
      </c>
      <c r="F37" s="129">
        <f t="shared" si="23"/>
        <v>27083.333333333336</v>
      </c>
      <c r="G37" s="129">
        <f t="shared" si="23"/>
        <v>27083.333333333336</v>
      </c>
      <c r="H37" s="129">
        <f t="shared" si="23"/>
        <v>27083.333333333336</v>
      </c>
      <c r="I37" s="129">
        <f t="shared" si="23"/>
        <v>47083.333333333336</v>
      </c>
      <c r="J37" s="129">
        <f t="shared" si="23"/>
        <v>47083.333333333336</v>
      </c>
      <c r="K37" s="129">
        <f t="shared" si="23"/>
        <v>53333.333333333336</v>
      </c>
      <c r="L37" s="129">
        <f t="shared" si="23"/>
        <v>53333.333333333336</v>
      </c>
      <c r="M37" s="129">
        <f t="shared" si="23"/>
        <v>60625</v>
      </c>
      <c r="N37" s="129">
        <f t="shared" si="23"/>
        <v>60625</v>
      </c>
      <c r="O37" s="129">
        <f t="shared" si="23"/>
        <v>60625</v>
      </c>
      <c r="P37" s="129">
        <f t="shared" si="23"/>
        <v>66875</v>
      </c>
      <c r="Q37" s="129">
        <f t="shared" si="23"/>
        <v>66875</v>
      </c>
      <c r="R37" s="129">
        <f t="shared" si="23"/>
        <v>66875</v>
      </c>
      <c r="S37" s="129">
        <f t="shared" si="23"/>
        <v>80416.666666666672</v>
      </c>
      <c r="T37" s="129">
        <f t="shared" si="23"/>
        <v>80416.666666666672</v>
      </c>
      <c r="U37" s="129">
        <f t="shared" si="23"/>
        <v>80416.666666666672</v>
      </c>
      <c r="V37" s="129">
        <f t="shared" si="23"/>
        <v>90833.333333333343</v>
      </c>
      <c r="W37" s="129">
        <f t="shared" si="23"/>
        <v>90833.333333333343</v>
      </c>
      <c r="X37" s="129">
        <f t="shared" si="23"/>
        <v>90833.333333333343</v>
      </c>
      <c r="Y37" s="129">
        <f t="shared" si="23"/>
        <v>90833.333333333343</v>
      </c>
      <c r="Z37" s="129">
        <f t="shared" si="23"/>
        <v>90833.333333333343</v>
      </c>
      <c r="AA37" s="129">
        <f t="shared" si="23"/>
        <v>90833.333333333343</v>
      </c>
      <c r="AB37" s="129">
        <f t="shared" si="23"/>
        <v>106666.66666666667</v>
      </c>
      <c r="AC37" s="129">
        <f t="shared" si="23"/>
        <v>106666.66666666667</v>
      </c>
      <c r="AD37" s="129">
        <f t="shared" si="23"/>
        <v>106666.66666666667</v>
      </c>
      <c r="AE37" s="129">
        <f t="shared" si="23"/>
        <v>120208.33333333334</v>
      </c>
      <c r="AF37" s="129">
        <f t="shared" si="23"/>
        <v>120208.33333333334</v>
      </c>
      <c r="AG37" s="129">
        <f t="shared" si="23"/>
        <v>120208.33333333334</v>
      </c>
      <c r="AH37" s="129">
        <f t="shared" si="23"/>
        <v>130625</v>
      </c>
      <c r="AI37" s="129">
        <f t="shared" si="23"/>
        <v>130625</v>
      </c>
      <c r="AJ37" s="129">
        <f t="shared" si="23"/>
        <v>130625</v>
      </c>
      <c r="AK37" s="129">
        <f t="shared" si="23"/>
        <v>130625</v>
      </c>
      <c r="AL37" s="129">
        <f t="shared" si="23"/>
        <v>130625</v>
      </c>
      <c r="AM37" s="129">
        <f t="shared" si="23"/>
        <v>130625</v>
      </c>
      <c r="AN37" s="129">
        <f t="shared" si="23"/>
        <v>137916.66666666666</v>
      </c>
      <c r="AO37" s="129">
        <f t="shared" si="23"/>
        <v>137916.66666666666</v>
      </c>
      <c r="AP37" s="129">
        <f t="shared" si="23"/>
        <v>137916.66666666666</v>
      </c>
      <c r="AQ37" s="129">
        <f t="shared" si="23"/>
        <v>144166.66666666666</v>
      </c>
      <c r="AR37" s="129">
        <f t="shared" si="23"/>
        <v>144166.66666666666</v>
      </c>
      <c r="AS37" s="129">
        <f t="shared" si="23"/>
        <v>144166.66666666666</v>
      </c>
      <c r="AT37" s="129">
        <f t="shared" si="23"/>
        <v>148333.33333333334</v>
      </c>
      <c r="AU37" s="129">
        <f t="shared" si="23"/>
        <v>148333.33333333334</v>
      </c>
      <c r="AV37" s="129">
        <f t="shared" si="23"/>
        <v>148333.33333333334</v>
      </c>
      <c r="AW37" s="129">
        <f t="shared" si="23"/>
        <v>148333.33333333334</v>
      </c>
      <c r="AX37" s="129">
        <f t="shared" si="23"/>
        <v>148333.33333333334</v>
      </c>
      <c r="AY37" s="129">
        <f t="shared" si="23"/>
        <v>148333.33333333334</v>
      </c>
    </row>
    <row r="38" spans="1:51" s="98" customFormat="1" x14ac:dyDescent="0.2">
      <c r="A38" s="83"/>
      <c r="B38" s="85"/>
      <c r="C38" s="120" t="s">
        <v>91</v>
      </c>
      <c r="D38" s="130">
        <f>SUM(D31:D37)</f>
        <v>81250</v>
      </c>
      <c r="E38" s="130">
        <f t="shared" ref="E38:AY38" si="24">SUM(E31:E37)</f>
        <v>81250</v>
      </c>
      <c r="F38" s="130">
        <f t="shared" si="24"/>
        <v>81250</v>
      </c>
      <c r="G38" s="130">
        <f t="shared" si="24"/>
        <v>81250</v>
      </c>
      <c r="H38" s="130">
        <f t="shared" si="24"/>
        <v>81250</v>
      </c>
      <c r="I38" s="130">
        <f t="shared" si="24"/>
        <v>141250</v>
      </c>
      <c r="J38" s="130">
        <f t="shared" si="24"/>
        <v>141250</v>
      </c>
      <c r="K38" s="130">
        <f t="shared" si="24"/>
        <v>160000</v>
      </c>
      <c r="L38" s="130">
        <f t="shared" si="24"/>
        <v>160000</v>
      </c>
      <c r="M38" s="130">
        <f t="shared" si="24"/>
        <v>181875</v>
      </c>
      <c r="N38" s="130">
        <f t="shared" si="24"/>
        <v>181875</v>
      </c>
      <c r="O38" s="130">
        <f t="shared" si="24"/>
        <v>181875</v>
      </c>
      <c r="P38" s="130">
        <f t="shared" si="24"/>
        <v>200625</v>
      </c>
      <c r="Q38" s="130">
        <f t="shared" si="24"/>
        <v>200625</v>
      </c>
      <c r="R38" s="130">
        <f t="shared" si="24"/>
        <v>200625</v>
      </c>
      <c r="S38" s="130">
        <f t="shared" si="24"/>
        <v>241250</v>
      </c>
      <c r="T38" s="130">
        <f t="shared" si="24"/>
        <v>241250</v>
      </c>
      <c r="U38" s="130">
        <f t="shared" si="24"/>
        <v>241250</v>
      </c>
      <c r="V38" s="130">
        <f t="shared" si="24"/>
        <v>272500</v>
      </c>
      <c r="W38" s="130">
        <f t="shared" si="24"/>
        <v>272500</v>
      </c>
      <c r="X38" s="130">
        <f t="shared" si="24"/>
        <v>272500</v>
      </c>
      <c r="Y38" s="130">
        <f t="shared" si="24"/>
        <v>272500</v>
      </c>
      <c r="Z38" s="130">
        <f t="shared" si="24"/>
        <v>272500</v>
      </c>
      <c r="AA38" s="130">
        <f t="shared" si="24"/>
        <v>272500</v>
      </c>
      <c r="AB38" s="130">
        <f t="shared" si="24"/>
        <v>320000</v>
      </c>
      <c r="AC38" s="130">
        <f t="shared" si="24"/>
        <v>320000</v>
      </c>
      <c r="AD38" s="130">
        <f t="shared" si="24"/>
        <v>320000</v>
      </c>
      <c r="AE38" s="130">
        <f t="shared" si="24"/>
        <v>360625</v>
      </c>
      <c r="AF38" s="130">
        <f t="shared" si="24"/>
        <v>360625</v>
      </c>
      <c r="AG38" s="130">
        <f t="shared" si="24"/>
        <v>360625</v>
      </c>
      <c r="AH38" s="130">
        <f t="shared" si="24"/>
        <v>391875</v>
      </c>
      <c r="AI38" s="130">
        <f t="shared" si="24"/>
        <v>391875</v>
      </c>
      <c r="AJ38" s="130">
        <f t="shared" si="24"/>
        <v>391875</v>
      </c>
      <c r="AK38" s="130">
        <f t="shared" si="24"/>
        <v>391875</v>
      </c>
      <c r="AL38" s="130">
        <f t="shared" si="24"/>
        <v>391875</v>
      </c>
      <c r="AM38" s="130">
        <f t="shared" si="24"/>
        <v>391875</v>
      </c>
      <c r="AN38" s="130">
        <f t="shared" si="24"/>
        <v>413750</v>
      </c>
      <c r="AO38" s="130">
        <f t="shared" si="24"/>
        <v>413750</v>
      </c>
      <c r="AP38" s="130">
        <f t="shared" si="24"/>
        <v>413750</v>
      </c>
      <c r="AQ38" s="130">
        <f t="shared" si="24"/>
        <v>432500</v>
      </c>
      <c r="AR38" s="130">
        <f t="shared" si="24"/>
        <v>432500</v>
      </c>
      <c r="AS38" s="130">
        <f t="shared" si="24"/>
        <v>432500</v>
      </c>
      <c r="AT38" s="130">
        <f t="shared" si="24"/>
        <v>445000</v>
      </c>
      <c r="AU38" s="130">
        <f t="shared" si="24"/>
        <v>445000</v>
      </c>
      <c r="AV38" s="130">
        <f t="shared" si="24"/>
        <v>445000</v>
      </c>
      <c r="AW38" s="130">
        <f t="shared" si="24"/>
        <v>445000</v>
      </c>
      <c r="AX38" s="130">
        <f t="shared" si="24"/>
        <v>445000</v>
      </c>
      <c r="AY38" s="130">
        <f t="shared" si="24"/>
        <v>445000</v>
      </c>
    </row>
    <row r="39" spans="1:51" x14ac:dyDescent="0.2">
      <c r="A39" s="80" t="s">
        <v>121</v>
      </c>
      <c r="B39" s="156"/>
      <c r="C39" s="191" t="s">
        <v>87</v>
      </c>
      <c r="D39" s="99">
        <f t="array" ref="D39:AY39">TRANSPOSE('Cohort Model'!D10:D57)</f>
        <v>100000</v>
      </c>
      <c r="E39" s="99">
        <v>100000</v>
      </c>
      <c r="F39" s="99">
        <v>100000</v>
      </c>
      <c r="G39" s="99">
        <v>100000</v>
      </c>
      <c r="H39" s="99">
        <v>100000</v>
      </c>
      <c r="I39" s="99">
        <v>100000</v>
      </c>
      <c r="J39" s="99">
        <v>125000</v>
      </c>
      <c r="K39" s="99">
        <v>125000</v>
      </c>
      <c r="L39" s="99">
        <v>125000</v>
      </c>
      <c r="M39" s="99">
        <v>125000</v>
      </c>
      <c r="N39" s="99">
        <v>125000</v>
      </c>
      <c r="O39" s="99">
        <v>125000</v>
      </c>
      <c r="P39" s="99">
        <v>150000</v>
      </c>
      <c r="Q39" s="99">
        <v>150000</v>
      </c>
      <c r="R39" s="99">
        <v>150000</v>
      </c>
      <c r="S39" s="99">
        <v>150000</v>
      </c>
      <c r="T39" s="99">
        <v>150000</v>
      </c>
      <c r="U39" s="99">
        <v>150000</v>
      </c>
      <c r="V39" s="99">
        <v>200000</v>
      </c>
      <c r="W39" s="99">
        <v>200000</v>
      </c>
      <c r="X39" s="99">
        <v>200000</v>
      </c>
      <c r="Y39" s="99">
        <v>200000</v>
      </c>
      <c r="Z39" s="99">
        <v>200000</v>
      </c>
      <c r="AA39" s="99">
        <v>200000</v>
      </c>
      <c r="AB39" s="99">
        <v>250000</v>
      </c>
      <c r="AC39" s="99">
        <v>250000</v>
      </c>
      <c r="AD39" s="99">
        <v>250000</v>
      </c>
      <c r="AE39" s="99">
        <v>275000</v>
      </c>
      <c r="AF39" s="99">
        <v>275000</v>
      </c>
      <c r="AG39" s="99">
        <v>275000</v>
      </c>
      <c r="AH39" s="99">
        <v>300000</v>
      </c>
      <c r="AI39" s="99">
        <v>300000</v>
      </c>
      <c r="AJ39" s="99">
        <v>300000</v>
      </c>
      <c r="AK39" s="99">
        <v>350000</v>
      </c>
      <c r="AL39" s="99">
        <v>350000</v>
      </c>
      <c r="AM39" s="99">
        <v>350000</v>
      </c>
      <c r="AN39" s="99">
        <v>400000</v>
      </c>
      <c r="AO39" s="99">
        <v>400000</v>
      </c>
      <c r="AP39" s="99">
        <v>400000</v>
      </c>
      <c r="AQ39" s="99">
        <v>450000</v>
      </c>
      <c r="AR39" s="99">
        <v>450000</v>
      </c>
      <c r="AS39" s="99">
        <v>450000</v>
      </c>
      <c r="AT39" s="99">
        <v>500000</v>
      </c>
      <c r="AU39" s="99">
        <v>500000</v>
      </c>
      <c r="AV39" s="99">
        <v>500000</v>
      </c>
      <c r="AW39" s="99">
        <v>600000</v>
      </c>
      <c r="AX39" s="99">
        <v>600000</v>
      </c>
      <c r="AY39" s="99">
        <v>600000</v>
      </c>
    </row>
    <row r="40" spans="1:51" s="76" customFormat="1" x14ac:dyDescent="0.2">
      <c r="A40" s="147">
        <v>5000</v>
      </c>
      <c r="B40" s="152"/>
      <c r="C40" s="115" t="s">
        <v>88</v>
      </c>
      <c r="D40" s="100">
        <f>$A40</f>
        <v>5000</v>
      </c>
      <c r="E40" s="100">
        <f t="shared" ref="E40:AY42" si="25">$A40</f>
        <v>5000</v>
      </c>
      <c r="F40" s="100">
        <f t="shared" si="25"/>
        <v>5000</v>
      </c>
      <c r="G40" s="100">
        <f t="shared" si="25"/>
        <v>5000</v>
      </c>
      <c r="H40" s="100">
        <f t="shared" si="25"/>
        <v>5000</v>
      </c>
      <c r="I40" s="100">
        <f t="shared" si="25"/>
        <v>5000</v>
      </c>
      <c r="J40" s="100">
        <f t="shared" si="25"/>
        <v>5000</v>
      </c>
      <c r="K40" s="100">
        <f t="shared" si="25"/>
        <v>5000</v>
      </c>
      <c r="L40" s="100">
        <f t="shared" si="25"/>
        <v>5000</v>
      </c>
      <c r="M40" s="100">
        <f t="shared" si="25"/>
        <v>5000</v>
      </c>
      <c r="N40" s="100">
        <f t="shared" si="25"/>
        <v>5000</v>
      </c>
      <c r="O40" s="100">
        <f t="shared" si="25"/>
        <v>5000</v>
      </c>
      <c r="P40" s="100">
        <f t="shared" si="25"/>
        <v>5000</v>
      </c>
      <c r="Q40" s="100">
        <f t="shared" si="25"/>
        <v>5000</v>
      </c>
      <c r="R40" s="100">
        <f t="shared" si="25"/>
        <v>5000</v>
      </c>
      <c r="S40" s="100">
        <f t="shared" si="25"/>
        <v>5000</v>
      </c>
      <c r="T40" s="100">
        <f t="shared" si="25"/>
        <v>5000</v>
      </c>
      <c r="U40" s="100">
        <f t="shared" si="25"/>
        <v>5000</v>
      </c>
      <c r="V40" s="100">
        <f t="shared" si="25"/>
        <v>5000</v>
      </c>
      <c r="W40" s="100">
        <f t="shared" si="25"/>
        <v>5000</v>
      </c>
      <c r="X40" s="100">
        <f t="shared" si="25"/>
        <v>5000</v>
      </c>
      <c r="Y40" s="100">
        <f t="shared" si="25"/>
        <v>5000</v>
      </c>
      <c r="Z40" s="100">
        <f t="shared" si="25"/>
        <v>5000</v>
      </c>
      <c r="AA40" s="100">
        <f t="shared" si="25"/>
        <v>5000</v>
      </c>
      <c r="AB40" s="100">
        <f t="shared" si="25"/>
        <v>5000</v>
      </c>
      <c r="AC40" s="100">
        <f t="shared" si="25"/>
        <v>5000</v>
      </c>
      <c r="AD40" s="100">
        <f t="shared" si="25"/>
        <v>5000</v>
      </c>
      <c r="AE40" s="100">
        <f t="shared" si="25"/>
        <v>5000</v>
      </c>
      <c r="AF40" s="100">
        <f t="shared" si="25"/>
        <v>5000</v>
      </c>
      <c r="AG40" s="100">
        <f t="shared" si="25"/>
        <v>5000</v>
      </c>
      <c r="AH40" s="100">
        <f t="shared" si="25"/>
        <v>5000</v>
      </c>
      <c r="AI40" s="100">
        <f t="shared" si="25"/>
        <v>5000</v>
      </c>
      <c r="AJ40" s="100">
        <f t="shared" si="25"/>
        <v>5000</v>
      </c>
      <c r="AK40" s="100">
        <f t="shared" si="25"/>
        <v>5000</v>
      </c>
      <c r="AL40" s="100">
        <f t="shared" si="25"/>
        <v>5000</v>
      </c>
      <c r="AM40" s="100">
        <f t="shared" si="25"/>
        <v>5000</v>
      </c>
      <c r="AN40" s="100">
        <f t="shared" si="25"/>
        <v>5000</v>
      </c>
      <c r="AO40" s="100">
        <f t="shared" si="25"/>
        <v>5000</v>
      </c>
      <c r="AP40" s="100">
        <f t="shared" si="25"/>
        <v>5000</v>
      </c>
      <c r="AQ40" s="100">
        <f t="shared" si="25"/>
        <v>5000</v>
      </c>
      <c r="AR40" s="100">
        <f t="shared" si="25"/>
        <v>5000</v>
      </c>
      <c r="AS40" s="100">
        <f t="shared" si="25"/>
        <v>5000</v>
      </c>
      <c r="AT40" s="100">
        <f t="shared" si="25"/>
        <v>5000</v>
      </c>
      <c r="AU40" s="100">
        <f t="shared" si="25"/>
        <v>5000</v>
      </c>
      <c r="AV40" s="100">
        <f t="shared" si="25"/>
        <v>5000</v>
      </c>
      <c r="AW40" s="100">
        <f t="shared" si="25"/>
        <v>5000</v>
      </c>
      <c r="AX40" s="100">
        <f t="shared" si="25"/>
        <v>5000</v>
      </c>
      <c r="AY40" s="100">
        <f t="shared" si="25"/>
        <v>5000</v>
      </c>
    </row>
    <row r="41" spans="1:51" s="76" customFormat="1" x14ac:dyDescent="0.2">
      <c r="A41" s="147">
        <v>20000</v>
      </c>
      <c r="B41" s="152"/>
      <c r="C41" s="115" t="s">
        <v>40</v>
      </c>
      <c r="D41" s="100">
        <f t="shared" ref="D41:S42" si="26">$A41</f>
        <v>20000</v>
      </c>
      <c r="E41" s="100">
        <f t="shared" si="26"/>
        <v>20000</v>
      </c>
      <c r="F41" s="100">
        <f t="shared" si="26"/>
        <v>20000</v>
      </c>
      <c r="G41" s="100">
        <f t="shared" si="26"/>
        <v>20000</v>
      </c>
      <c r="H41" s="100">
        <f t="shared" si="26"/>
        <v>20000</v>
      </c>
      <c r="I41" s="100">
        <f t="shared" si="26"/>
        <v>20000</v>
      </c>
      <c r="J41" s="100">
        <f t="shared" si="26"/>
        <v>20000</v>
      </c>
      <c r="K41" s="100">
        <f t="shared" si="26"/>
        <v>20000</v>
      </c>
      <c r="L41" s="100">
        <f t="shared" si="26"/>
        <v>20000</v>
      </c>
      <c r="M41" s="100">
        <f t="shared" si="26"/>
        <v>20000</v>
      </c>
      <c r="N41" s="100">
        <f t="shared" si="26"/>
        <v>20000</v>
      </c>
      <c r="O41" s="100">
        <f t="shared" si="26"/>
        <v>20000</v>
      </c>
      <c r="P41" s="100">
        <f t="shared" si="26"/>
        <v>20000</v>
      </c>
      <c r="Q41" s="100">
        <f t="shared" si="26"/>
        <v>20000</v>
      </c>
      <c r="R41" s="100">
        <f t="shared" si="26"/>
        <v>20000</v>
      </c>
      <c r="S41" s="100">
        <f t="shared" si="26"/>
        <v>20000</v>
      </c>
      <c r="T41" s="100">
        <f t="shared" si="25"/>
        <v>20000</v>
      </c>
      <c r="U41" s="100">
        <f t="shared" si="25"/>
        <v>20000</v>
      </c>
      <c r="V41" s="100">
        <f t="shared" si="25"/>
        <v>20000</v>
      </c>
      <c r="W41" s="100">
        <f t="shared" si="25"/>
        <v>20000</v>
      </c>
      <c r="X41" s="100">
        <f t="shared" si="25"/>
        <v>20000</v>
      </c>
      <c r="Y41" s="100">
        <f t="shared" si="25"/>
        <v>20000</v>
      </c>
      <c r="Z41" s="100">
        <f t="shared" si="25"/>
        <v>20000</v>
      </c>
      <c r="AA41" s="100">
        <f t="shared" si="25"/>
        <v>20000</v>
      </c>
      <c r="AB41" s="100">
        <f t="shared" si="25"/>
        <v>20000</v>
      </c>
      <c r="AC41" s="100">
        <f t="shared" si="25"/>
        <v>20000</v>
      </c>
      <c r="AD41" s="100">
        <f t="shared" si="25"/>
        <v>20000</v>
      </c>
      <c r="AE41" s="100">
        <f t="shared" si="25"/>
        <v>20000</v>
      </c>
      <c r="AF41" s="100">
        <f t="shared" si="25"/>
        <v>20000</v>
      </c>
      <c r="AG41" s="100">
        <f t="shared" si="25"/>
        <v>20000</v>
      </c>
      <c r="AH41" s="100">
        <f t="shared" si="25"/>
        <v>20000</v>
      </c>
      <c r="AI41" s="100">
        <f t="shared" si="25"/>
        <v>20000</v>
      </c>
      <c r="AJ41" s="100">
        <f t="shared" si="25"/>
        <v>20000</v>
      </c>
      <c r="AK41" s="100">
        <f t="shared" si="25"/>
        <v>20000</v>
      </c>
      <c r="AL41" s="100">
        <f t="shared" si="25"/>
        <v>20000</v>
      </c>
      <c r="AM41" s="100">
        <f t="shared" si="25"/>
        <v>20000</v>
      </c>
      <c r="AN41" s="100">
        <f t="shared" si="25"/>
        <v>20000</v>
      </c>
      <c r="AO41" s="100">
        <f t="shared" si="25"/>
        <v>20000</v>
      </c>
      <c r="AP41" s="100">
        <f t="shared" si="25"/>
        <v>20000</v>
      </c>
      <c r="AQ41" s="100">
        <f t="shared" si="25"/>
        <v>20000</v>
      </c>
      <c r="AR41" s="100">
        <f t="shared" si="25"/>
        <v>20000</v>
      </c>
      <c r="AS41" s="100">
        <f t="shared" si="25"/>
        <v>20000</v>
      </c>
      <c r="AT41" s="100">
        <f t="shared" si="25"/>
        <v>20000</v>
      </c>
      <c r="AU41" s="100">
        <f t="shared" si="25"/>
        <v>20000</v>
      </c>
      <c r="AV41" s="100">
        <f t="shared" si="25"/>
        <v>20000</v>
      </c>
      <c r="AW41" s="100">
        <f t="shared" si="25"/>
        <v>20000</v>
      </c>
      <c r="AX41" s="100">
        <f t="shared" si="25"/>
        <v>20000</v>
      </c>
      <c r="AY41" s="100">
        <f t="shared" si="25"/>
        <v>20000</v>
      </c>
    </row>
    <row r="42" spans="1:51" s="76" customFormat="1" x14ac:dyDescent="0.2">
      <c r="A42" s="147">
        <v>50000</v>
      </c>
      <c r="B42" s="152"/>
      <c r="C42" s="115" t="s">
        <v>89</v>
      </c>
      <c r="D42" s="100">
        <f t="shared" si="26"/>
        <v>50000</v>
      </c>
      <c r="E42" s="100">
        <f t="shared" si="25"/>
        <v>50000</v>
      </c>
      <c r="F42" s="100">
        <f t="shared" si="25"/>
        <v>50000</v>
      </c>
      <c r="G42" s="100">
        <f t="shared" si="25"/>
        <v>50000</v>
      </c>
      <c r="H42" s="100">
        <f t="shared" si="25"/>
        <v>50000</v>
      </c>
      <c r="I42" s="100">
        <f t="shared" si="25"/>
        <v>50000</v>
      </c>
      <c r="J42" s="100">
        <f t="shared" si="25"/>
        <v>50000</v>
      </c>
      <c r="K42" s="100">
        <f t="shared" si="25"/>
        <v>50000</v>
      </c>
      <c r="L42" s="100">
        <f t="shared" si="25"/>
        <v>50000</v>
      </c>
      <c r="M42" s="100">
        <f t="shared" si="25"/>
        <v>50000</v>
      </c>
      <c r="N42" s="100">
        <f t="shared" si="25"/>
        <v>50000</v>
      </c>
      <c r="O42" s="100">
        <f t="shared" si="25"/>
        <v>50000</v>
      </c>
      <c r="P42" s="100">
        <f t="shared" si="25"/>
        <v>50000</v>
      </c>
      <c r="Q42" s="100">
        <f t="shared" si="25"/>
        <v>50000</v>
      </c>
      <c r="R42" s="100">
        <f t="shared" si="25"/>
        <v>50000</v>
      </c>
      <c r="S42" s="100">
        <f t="shared" si="25"/>
        <v>50000</v>
      </c>
      <c r="T42" s="100">
        <f t="shared" si="25"/>
        <v>50000</v>
      </c>
      <c r="U42" s="100">
        <f t="shared" si="25"/>
        <v>50000</v>
      </c>
      <c r="V42" s="100">
        <f t="shared" si="25"/>
        <v>50000</v>
      </c>
      <c r="W42" s="100">
        <f t="shared" si="25"/>
        <v>50000</v>
      </c>
      <c r="X42" s="100">
        <f t="shared" si="25"/>
        <v>50000</v>
      </c>
      <c r="Y42" s="100">
        <f t="shared" si="25"/>
        <v>50000</v>
      </c>
      <c r="Z42" s="100">
        <f t="shared" si="25"/>
        <v>50000</v>
      </c>
      <c r="AA42" s="100">
        <f t="shared" si="25"/>
        <v>50000</v>
      </c>
      <c r="AB42" s="100">
        <f t="shared" si="25"/>
        <v>50000</v>
      </c>
      <c r="AC42" s="100">
        <f t="shared" si="25"/>
        <v>50000</v>
      </c>
      <c r="AD42" s="100">
        <f t="shared" si="25"/>
        <v>50000</v>
      </c>
      <c r="AE42" s="100">
        <f t="shared" si="25"/>
        <v>50000</v>
      </c>
      <c r="AF42" s="100">
        <f t="shared" si="25"/>
        <v>50000</v>
      </c>
      <c r="AG42" s="100">
        <f t="shared" si="25"/>
        <v>50000</v>
      </c>
      <c r="AH42" s="100">
        <f t="shared" si="25"/>
        <v>50000</v>
      </c>
      <c r="AI42" s="100">
        <f t="shared" si="25"/>
        <v>50000</v>
      </c>
      <c r="AJ42" s="100">
        <f t="shared" si="25"/>
        <v>50000</v>
      </c>
      <c r="AK42" s="100">
        <f t="shared" si="25"/>
        <v>50000</v>
      </c>
      <c r="AL42" s="100">
        <f t="shared" si="25"/>
        <v>50000</v>
      </c>
      <c r="AM42" s="100">
        <f t="shared" si="25"/>
        <v>50000</v>
      </c>
      <c r="AN42" s="100">
        <f t="shared" si="25"/>
        <v>50000</v>
      </c>
      <c r="AO42" s="100">
        <f t="shared" si="25"/>
        <v>50000</v>
      </c>
      <c r="AP42" s="100">
        <f t="shared" si="25"/>
        <v>50000</v>
      </c>
      <c r="AQ42" s="100">
        <f t="shared" si="25"/>
        <v>50000</v>
      </c>
      <c r="AR42" s="100">
        <f t="shared" si="25"/>
        <v>50000</v>
      </c>
      <c r="AS42" s="100">
        <f t="shared" si="25"/>
        <v>50000</v>
      </c>
      <c r="AT42" s="100">
        <f t="shared" si="25"/>
        <v>50000</v>
      </c>
      <c r="AU42" s="100">
        <f t="shared" si="25"/>
        <v>50000</v>
      </c>
      <c r="AV42" s="100">
        <f t="shared" si="25"/>
        <v>50000</v>
      </c>
      <c r="AW42" s="100">
        <f t="shared" si="25"/>
        <v>50000</v>
      </c>
      <c r="AX42" s="100">
        <f t="shared" si="25"/>
        <v>50000</v>
      </c>
      <c r="AY42" s="100">
        <f t="shared" si="25"/>
        <v>50000</v>
      </c>
    </row>
    <row r="43" spans="1:51" x14ac:dyDescent="0.2">
      <c r="A43" s="146">
        <v>0.06</v>
      </c>
      <c r="B43" s="153"/>
      <c r="C43" s="115" t="s">
        <v>90</v>
      </c>
      <c r="D43" s="95">
        <f t="shared" ref="D43:AY43" si="27">$A43*D15</f>
        <v>19357.029000000002</v>
      </c>
      <c r="E43" s="95">
        <f t="shared" si="27"/>
        <v>22259.754000000001</v>
      </c>
      <c r="F43" s="95">
        <f t="shared" si="27"/>
        <v>23780.228999999999</v>
      </c>
      <c r="G43" s="95">
        <f t="shared" si="27"/>
        <v>25438.929</v>
      </c>
      <c r="H43" s="95">
        <f t="shared" si="27"/>
        <v>26959.403999999999</v>
      </c>
      <c r="I43" s="95">
        <f t="shared" si="27"/>
        <v>28380.356999999996</v>
      </c>
      <c r="J43" s="95">
        <f t="shared" si="27"/>
        <v>33096.593999999997</v>
      </c>
      <c r="K43" s="95">
        <f t="shared" si="27"/>
        <v>35087.034</v>
      </c>
      <c r="L43" s="95">
        <f t="shared" si="27"/>
        <v>36729.146999999997</v>
      </c>
      <c r="M43" s="95">
        <f t="shared" si="27"/>
        <v>38315.97</v>
      </c>
      <c r="N43" s="95">
        <f t="shared" si="27"/>
        <v>39841.974000000002</v>
      </c>
      <c r="O43" s="95">
        <f t="shared" si="27"/>
        <v>41329.275000000001</v>
      </c>
      <c r="P43" s="95">
        <f t="shared" si="27"/>
        <v>50604.512999999992</v>
      </c>
      <c r="Q43" s="95">
        <f t="shared" si="27"/>
        <v>53176.187999999995</v>
      </c>
      <c r="R43" s="95">
        <f t="shared" si="27"/>
        <v>55336.394999999997</v>
      </c>
      <c r="S43" s="95">
        <f t="shared" si="27"/>
        <v>57369.530999999988</v>
      </c>
      <c r="T43" s="95">
        <f t="shared" si="27"/>
        <v>59360.31</v>
      </c>
      <c r="U43" s="95">
        <f t="shared" si="27"/>
        <v>61363.190999999992</v>
      </c>
      <c r="V43" s="95">
        <f t="shared" si="27"/>
        <v>70875.362999999998</v>
      </c>
      <c r="W43" s="95">
        <f t="shared" si="27"/>
        <v>74735.900999999983</v>
      </c>
      <c r="X43" s="95">
        <f t="shared" si="27"/>
        <v>77809.809000000008</v>
      </c>
      <c r="Y43" s="95">
        <f t="shared" si="27"/>
        <v>80726.390999999989</v>
      </c>
      <c r="Z43" s="95">
        <f t="shared" si="27"/>
        <v>83528.004000000001</v>
      </c>
      <c r="AA43" s="95">
        <f t="shared" si="27"/>
        <v>86238.851999999999</v>
      </c>
      <c r="AB43" s="95">
        <f t="shared" si="27"/>
        <v>104760.47399999999</v>
      </c>
      <c r="AC43" s="95">
        <f t="shared" si="27"/>
        <v>109788.81899999999</v>
      </c>
      <c r="AD43" s="95">
        <f t="shared" si="27"/>
        <v>113910.09</v>
      </c>
      <c r="AE43" s="95">
        <f t="shared" si="27"/>
        <v>121856.84700000001</v>
      </c>
      <c r="AF43" s="95">
        <f t="shared" si="27"/>
        <v>126694.575</v>
      </c>
      <c r="AG43" s="95">
        <f t="shared" si="27"/>
        <v>131124.777</v>
      </c>
      <c r="AH43" s="95">
        <f t="shared" si="27"/>
        <v>139064.96099999998</v>
      </c>
      <c r="AI43" s="95">
        <f t="shared" si="27"/>
        <v>143764.65599999996</v>
      </c>
      <c r="AJ43" s="95">
        <f t="shared" si="27"/>
        <v>147925.36499999999</v>
      </c>
      <c r="AK43" s="95">
        <f t="shared" si="27"/>
        <v>159980.247</v>
      </c>
      <c r="AL43" s="95">
        <f t="shared" si="27"/>
        <v>158014.91999999998</v>
      </c>
      <c r="AM43" s="95">
        <f t="shared" si="27"/>
        <v>160939.905</v>
      </c>
      <c r="AN43" s="95">
        <f t="shared" si="27"/>
        <v>184675.755</v>
      </c>
      <c r="AO43" s="95">
        <f t="shared" si="27"/>
        <v>190550.41499999998</v>
      </c>
      <c r="AP43" s="95">
        <f t="shared" si="27"/>
        <v>195509.82</v>
      </c>
      <c r="AQ43" s="95">
        <f t="shared" si="27"/>
        <v>207301.71</v>
      </c>
      <c r="AR43" s="95">
        <f t="shared" si="27"/>
        <v>214354.13999999998</v>
      </c>
      <c r="AS43" s="95">
        <f t="shared" si="27"/>
        <v>220654.5</v>
      </c>
      <c r="AT43" s="95">
        <f t="shared" si="27"/>
        <v>224861.83499999999</v>
      </c>
      <c r="AU43" s="95">
        <f t="shared" si="27"/>
        <v>230374.65</v>
      </c>
      <c r="AV43" s="95">
        <f t="shared" si="27"/>
        <v>235951.32</v>
      </c>
      <c r="AW43" s="95">
        <f t="shared" si="27"/>
        <v>253915.86</v>
      </c>
      <c r="AX43" s="95">
        <f t="shared" si="27"/>
        <v>263018.745</v>
      </c>
      <c r="AY43" s="95">
        <f t="shared" si="27"/>
        <v>270681.34499999997</v>
      </c>
    </row>
    <row r="44" spans="1:51" x14ac:dyDescent="0.2">
      <c r="C44" s="120" t="s">
        <v>36</v>
      </c>
      <c r="D44" s="130">
        <f>SUM(D38:D43)</f>
        <v>275607.02899999998</v>
      </c>
      <c r="E44" s="130">
        <f t="shared" ref="E44:AY44" si="28">SUM(E38:E43)</f>
        <v>278509.75400000002</v>
      </c>
      <c r="F44" s="130">
        <f t="shared" si="28"/>
        <v>280030.22899999999</v>
      </c>
      <c r="G44" s="130">
        <f t="shared" si="28"/>
        <v>281688.929</v>
      </c>
      <c r="H44" s="130">
        <f t="shared" si="28"/>
        <v>283209.40399999998</v>
      </c>
      <c r="I44" s="130">
        <f t="shared" si="28"/>
        <v>344630.35700000002</v>
      </c>
      <c r="J44" s="130">
        <f t="shared" si="28"/>
        <v>374346.59399999998</v>
      </c>
      <c r="K44" s="130">
        <f t="shared" si="28"/>
        <v>395087.03399999999</v>
      </c>
      <c r="L44" s="130">
        <f t="shared" si="28"/>
        <v>396729.147</v>
      </c>
      <c r="M44" s="130">
        <f t="shared" si="28"/>
        <v>420190.97</v>
      </c>
      <c r="N44" s="130">
        <f t="shared" si="28"/>
        <v>421716.97399999999</v>
      </c>
      <c r="O44" s="130">
        <f t="shared" si="28"/>
        <v>423204.27500000002</v>
      </c>
      <c r="P44" s="130">
        <f t="shared" si="28"/>
        <v>476229.51299999998</v>
      </c>
      <c r="Q44" s="130">
        <f t="shared" si="28"/>
        <v>478801.18799999997</v>
      </c>
      <c r="R44" s="130">
        <f t="shared" si="28"/>
        <v>480961.39500000002</v>
      </c>
      <c r="S44" s="130">
        <f t="shared" si="28"/>
        <v>523619.53099999996</v>
      </c>
      <c r="T44" s="130">
        <f t="shared" si="28"/>
        <v>525610.31000000006</v>
      </c>
      <c r="U44" s="130">
        <f t="shared" si="28"/>
        <v>527613.19099999999</v>
      </c>
      <c r="V44" s="130">
        <f t="shared" si="28"/>
        <v>618375.36300000001</v>
      </c>
      <c r="W44" s="130">
        <f t="shared" si="28"/>
        <v>622235.90099999995</v>
      </c>
      <c r="X44" s="130">
        <f t="shared" si="28"/>
        <v>625309.80900000001</v>
      </c>
      <c r="Y44" s="130">
        <f t="shared" si="28"/>
        <v>628226.39099999995</v>
      </c>
      <c r="Z44" s="130">
        <f t="shared" si="28"/>
        <v>631028.00399999996</v>
      </c>
      <c r="AA44" s="130">
        <f t="shared" si="28"/>
        <v>633738.85199999996</v>
      </c>
      <c r="AB44" s="130">
        <f t="shared" si="28"/>
        <v>749760.47399999993</v>
      </c>
      <c r="AC44" s="130">
        <f t="shared" si="28"/>
        <v>754788.81900000002</v>
      </c>
      <c r="AD44" s="130">
        <f t="shared" si="28"/>
        <v>758910.09</v>
      </c>
      <c r="AE44" s="130">
        <f t="shared" si="28"/>
        <v>832481.84700000007</v>
      </c>
      <c r="AF44" s="130">
        <f t="shared" si="28"/>
        <v>837319.57499999995</v>
      </c>
      <c r="AG44" s="130">
        <f t="shared" si="28"/>
        <v>841749.777</v>
      </c>
      <c r="AH44" s="130">
        <f t="shared" si="28"/>
        <v>905939.96100000001</v>
      </c>
      <c r="AI44" s="130">
        <f t="shared" si="28"/>
        <v>910639.65599999996</v>
      </c>
      <c r="AJ44" s="130">
        <f t="shared" si="28"/>
        <v>914800.36499999999</v>
      </c>
      <c r="AK44" s="130">
        <f t="shared" si="28"/>
        <v>976855.24699999997</v>
      </c>
      <c r="AL44" s="130">
        <f t="shared" si="28"/>
        <v>974889.91999999993</v>
      </c>
      <c r="AM44" s="130">
        <f t="shared" si="28"/>
        <v>977814.90500000003</v>
      </c>
      <c r="AN44" s="130">
        <f t="shared" si="28"/>
        <v>1073425.7549999999</v>
      </c>
      <c r="AO44" s="130">
        <f t="shared" si="28"/>
        <v>1079300.415</v>
      </c>
      <c r="AP44" s="130">
        <f t="shared" si="28"/>
        <v>1084259.82</v>
      </c>
      <c r="AQ44" s="130">
        <f t="shared" si="28"/>
        <v>1164801.71</v>
      </c>
      <c r="AR44" s="130">
        <f t="shared" si="28"/>
        <v>1171854.1399999999</v>
      </c>
      <c r="AS44" s="130">
        <f t="shared" si="28"/>
        <v>1178154.5</v>
      </c>
      <c r="AT44" s="130">
        <f t="shared" si="28"/>
        <v>1244861.835</v>
      </c>
      <c r="AU44" s="130">
        <f t="shared" si="28"/>
        <v>1250374.6499999999</v>
      </c>
      <c r="AV44" s="130">
        <f t="shared" si="28"/>
        <v>1255951.32</v>
      </c>
      <c r="AW44" s="130">
        <f t="shared" si="28"/>
        <v>1373915.8599999999</v>
      </c>
      <c r="AX44" s="130">
        <f t="shared" si="28"/>
        <v>1383018.7450000001</v>
      </c>
      <c r="AY44" s="130">
        <f t="shared" si="28"/>
        <v>1390681.345</v>
      </c>
    </row>
    <row r="45" spans="1:51" x14ac:dyDescent="0.2"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</row>
    <row r="46" spans="1:51" x14ac:dyDescent="0.2">
      <c r="C46" s="120" t="s">
        <v>2</v>
      </c>
      <c r="D46" s="131">
        <f t="shared" ref="D46:AY46" si="29">D26-D44</f>
        <v>-185281.22899999996</v>
      </c>
      <c r="E46" s="131">
        <f t="shared" si="29"/>
        <v>-174638.95399999997</v>
      </c>
      <c r="F46" s="131">
        <f t="shared" si="29"/>
        <v>-169064.42899999995</v>
      </c>
      <c r="G46" s="131">
        <f t="shared" si="29"/>
        <v>-158313.11399999994</v>
      </c>
      <c r="H46" s="131">
        <f t="shared" si="29"/>
        <v>-152459.46399999992</v>
      </c>
      <c r="I46" s="131">
        <f t="shared" si="29"/>
        <v>-206988.96200000006</v>
      </c>
      <c r="J46" s="131">
        <f t="shared" si="29"/>
        <v>-207756.21399999992</v>
      </c>
      <c r="K46" s="131">
        <f t="shared" si="29"/>
        <v>-218477.85399999993</v>
      </c>
      <c r="L46" s="131">
        <f t="shared" si="29"/>
        <v>-211854.45700000005</v>
      </c>
      <c r="M46" s="131">
        <f t="shared" si="29"/>
        <v>-202970.12</v>
      </c>
      <c r="N46" s="131">
        <f t="shared" si="29"/>
        <v>-195844.90399999992</v>
      </c>
      <c r="O46" s="131">
        <f t="shared" si="29"/>
        <v>-188900.40000000002</v>
      </c>
      <c r="P46" s="131">
        <f t="shared" si="29"/>
        <v>-137540.55750000011</v>
      </c>
      <c r="Q46" s="131">
        <f t="shared" si="29"/>
        <v>-122900.37000000011</v>
      </c>
      <c r="R46" s="131">
        <f t="shared" si="29"/>
        <v>-110602.61250000005</v>
      </c>
      <c r="S46" s="131">
        <f t="shared" si="29"/>
        <v>-129067.71600000013</v>
      </c>
      <c r="T46" s="131">
        <f t="shared" si="29"/>
        <v>-117367.16000000015</v>
      </c>
      <c r="U46" s="131">
        <f t="shared" si="29"/>
        <v>-105595.47600000014</v>
      </c>
      <c r="V46" s="131">
        <f t="shared" si="29"/>
        <v>-92285.967999999993</v>
      </c>
      <c r="W46" s="131">
        <f t="shared" si="29"/>
        <v>-67490.73600000015</v>
      </c>
      <c r="X46" s="131">
        <f t="shared" si="29"/>
        <v>-47747.823999999673</v>
      </c>
      <c r="Y46" s="131">
        <f t="shared" si="29"/>
        <v>-21677.826000000234</v>
      </c>
      <c r="Z46" s="131">
        <f t="shared" si="29"/>
        <v>-3429.1439999997383</v>
      </c>
      <c r="AA46" s="131">
        <f t="shared" si="29"/>
        <v>14228.32799999998</v>
      </c>
      <c r="AB46" s="131">
        <f t="shared" si="29"/>
        <v>137029.8459999999</v>
      </c>
      <c r="AC46" s="131">
        <f t="shared" si="29"/>
        <v>174566.10099999991</v>
      </c>
      <c r="AD46" s="131">
        <f t="shared" si="29"/>
        <v>205331.11</v>
      </c>
      <c r="AE46" s="131">
        <f t="shared" si="29"/>
        <v>199028.11300000013</v>
      </c>
      <c r="AF46" s="131">
        <f t="shared" si="29"/>
        <v>235141.42500000005</v>
      </c>
      <c r="AG46" s="131">
        <f t="shared" si="29"/>
        <v>268212.58300000033</v>
      </c>
      <c r="AH46" s="131">
        <f t="shared" si="29"/>
        <v>271235.51899999951</v>
      </c>
      <c r="AI46" s="131">
        <f t="shared" si="29"/>
        <v>306318.42399999965</v>
      </c>
      <c r="AJ46" s="131">
        <f t="shared" si="29"/>
        <v>337377.83499999996</v>
      </c>
      <c r="AK46" s="131">
        <f t="shared" si="29"/>
        <v>377366.71300000022</v>
      </c>
      <c r="AL46" s="131">
        <f t="shared" si="29"/>
        <v>362695.68000000017</v>
      </c>
      <c r="AM46" s="131">
        <f t="shared" si="29"/>
        <v>384530.49499999988</v>
      </c>
      <c r="AN46" s="131">
        <f t="shared" si="29"/>
        <v>484344.82250000001</v>
      </c>
      <c r="AO46" s="131">
        <f t="shared" si="29"/>
        <v>528023.89250000007</v>
      </c>
      <c r="AP46" s="131">
        <f t="shared" si="29"/>
        <v>564897.8899999999</v>
      </c>
      <c r="AQ46" s="131">
        <f t="shared" si="29"/>
        <v>583822.54499999993</v>
      </c>
      <c r="AR46" s="131">
        <f t="shared" si="29"/>
        <v>636258.53000000026</v>
      </c>
      <c r="AS46" s="131">
        <f t="shared" si="29"/>
        <v>683102.75</v>
      </c>
      <c r="AT46" s="131">
        <f t="shared" si="29"/>
        <v>651884.98249999993</v>
      </c>
      <c r="AU46" s="131">
        <f t="shared" si="29"/>
        <v>692873.67500000005</v>
      </c>
      <c r="AV46" s="131">
        <f t="shared" si="29"/>
        <v>734337.14000000036</v>
      </c>
      <c r="AW46" s="131">
        <f t="shared" si="29"/>
        <v>767906.4700000002</v>
      </c>
      <c r="AX46" s="131">
        <f t="shared" si="29"/>
        <v>835587.92749999976</v>
      </c>
      <c r="AY46" s="131">
        <f t="shared" si="29"/>
        <v>892560.62749999971</v>
      </c>
    </row>
    <row r="47" spans="1:51" s="103" customFormat="1" x14ac:dyDescent="0.2">
      <c r="A47" s="126"/>
      <c r="B47" s="157"/>
      <c r="C47" s="104" t="s">
        <v>122</v>
      </c>
      <c r="D47" s="102">
        <f>D46/D$15</f>
        <v>-0.57430681846888776</v>
      </c>
      <c r="E47" s="102">
        <f t="shared" ref="E47" si="30">E46/E$15</f>
        <v>-0.47073014553530096</v>
      </c>
      <c r="F47" s="102">
        <f t="shared" ref="F47" si="31">F46/F$15</f>
        <v>-0.42656720168674556</v>
      </c>
      <c r="G47" s="102">
        <f t="shared" ref="G47" si="32">G46/G$15</f>
        <v>-0.37339570545599604</v>
      </c>
      <c r="H47" s="102">
        <f t="shared" ref="H47" si="33">H46/H$15</f>
        <v>-0.3393089787889968</v>
      </c>
      <c r="I47" s="102">
        <f t="shared" ref="I47" si="34">I46/I$15</f>
        <v>-0.43760329441944668</v>
      </c>
      <c r="J47" s="102">
        <f t="shared" ref="J47" si="35">J46/J$15</f>
        <v>-0.37663612273818853</v>
      </c>
      <c r="K47" s="102">
        <f t="shared" ref="K47" si="36">K46/K$15</f>
        <v>-0.37360442720806769</v>
      </c>
      <c r="L47" s="102">
        <f t="shared" ref="L47" si="37">L46/L$15</f>
        <v>-0.3460812041183533</v>
      </c>
      <c r="M47" s="102">
        <f t="shared" ref="M47" si="38">M46/M$15</f>
        <v>-0.31783632777664245</v>
      </c>
      <c r="N47" s="102">
        <f t="shared" ref="N47" si="39">N46/N$15</f>
        <v>-0.29493253120440255</v>
      </c>
      <c r="O47" s="102">
        <f t="shared" ref="O47" si="40">O46/O$15</f>
        <v>-0.27423718417513981</v>
      </c>
      <c r="P47" s="102">
        <f t="shared" ref="P47" si="41">P46/P$15</f>
        <v>-0.16307702536333088</v>
      </c>
      <c r="Q47" s="102">
        <f t="shared" ref="Q47" si="42">Q46/Q$15</f>
        <v>-0.13867150838266193</v>
      </c>
      <c r="R47" s="102">
        <f t="shared" ref="R47" si="43">R46/R$15</f>
        <v>-0.11992390812592693</v>
      </c>
      <c r="S47" s="102">
        <f t="shared" ref="S47" si="44">S46/S$15</f>
        <v>-0.13498564176862468</v>
      </c>
      <c r="T47" s="102">
        <f t="shared" ref="T47" si="45">T46/T$15</f>
        <v>-0.11863195458379529</v>
      </c>
      <c r="U47" s="102">
        <f t="shared" ref="U47" si="46">U46/U$15</f>
        <v>-0.10324965922974914</v>
      </c>
      <c r="V47" s="102">
        <f t="shared" ref="V47" si="47">V46/V$15</f>
        <v>-7.8125287062021806E-2</v>
      </c>
      <c r="W47" s="102">
        <f t="shared" ref="W47" si="48">W46/W$15</f>
        <v>-5.4183385840227034E-2</v>
      </c>
      <c r="X47" s="102">
        <f t="shared" ref="X47" si="49">X46/X$15</f>
        <v>-3.6818872540864099E-2</v>
      </c>
      <c r="Y47" s="102">
        <f t="shared" ref="Y47" si="50">Y46/Y$15</f>
        <v>-1.6112073683561726E-2</v>
      </c>
      <c r="Z47" s="102">
        <f t="shared" ref="Z47" si="51">Z46/Z$15</f>
        <v>-2.4632294577514899E-3</v>
      </c>
      <c r="AA47" s="102">
        <f t="shared" ref="AA47" si="52">AA46/AA$15</f>
        <v>9.8992468035172688E-3</v>
      </c>
      <c r="AB47" s="102">
        <f t="shared" ref="AB47" si="53">AB46/AB$15</f>
        <v>7.8481801829189846E-2</v>
      </c>
      <c r="AC47" s="102">
        <f t="shared" ref="AC47" si="54">AC46/AC$15</f>
        <v>9.5401026765758318E-2</v>
      </c>
      <c r="AD47" s="102">
        <f t="shared" ref="AD47" si="55">AD46/AD$15</f>
        <v>0.10815430485569803</v>
      </c>
      <c r="AE47" s="102">
        <f t="shared" ref="AE47" si="56">AE46/AE$15</f>
        <v>9.799766754181656E-2</v>
      </c>
      <c r="AF47" s="102">
        <f t="shared" ref="AF47" si="57">AF46/AF$15</f>
        <v>0.1113582448182963</v>
      </c>
      <c r="AG47" s="102">
        <f t="shared" ref="AG47" si="58">AG46/AG$15</f>
        <v>0.12272855937821743</v>
      </c>
      <c r="AH47" s="102">
        <f t="shared" ref="AH47" si="59">AH46/AH$15</f>
        <v>0.1170253888756347</v>
      </c>
      <c r="AI47" s="102">
        <f t="shared" ref="AI47" si="60">AI46/AI$15</f>
        <v>0.12784161247532205</v>
      </c>
      <c r="AJ47" s="102">
        <f t="shared" ref="AJ47" si="61">AJ46/AJ$15</f>
        <v>0.13684380701037985</v>
      </c>
      <c r="AK47" s="102">
        <f t="shared" ref="AK47" si="62">AK46/AK$15</f>
        <v>0.14152999013684492</v>
      </c>
      <c r="AL47" s="102">
        <f t="shared" ref="AL47" si="63">AL46/AL$15</f>
        <v>0.13771953180117427</v>
      </c>
      <c r="AM47" s="102">
        <f t="shared" ref="AM47" si="64">AM46/AM$15</f>
        <v>0.1433567995457683</v>
      </c>
      <c r="AN47" s="102">
        <f t="shared" ref="AN47" si="65">AN46/AN$15</f>
        <v>0.15736060940971922</v>
      </c>
      <c r="AO47" s="102">
        <f t="shared" ref="AO47" si="66">AO46/AO$15</f>
        <v>0.16626273708194236</v>
      </c>
      <c r="AP47" s="102">
        <f t="shared" ref="AP47" si="67">AP46/AP$15</f>
        <v>0.17336148844083635</v>
      </c>
      <c r="AQ47" s="102">
        <f t="shared" ref="AQ47" si="68">AQ46/AQ$15</f>
        <v>0.16897763506147631</v>
      </c>
      <c r="AR47" s="102">
        <f t="shared" ref="AR47" si="69">AR46/AR$15</f>
        <v>0.1780955189388925</v>
      </c>
      <c r="AS47" s="102">
        <f t="shared" ref="AS47" si="70">AS46/AS$15</f>
        <v>0.1857481492559635</v>
      </c>
      <c r="AT47" s="102">
        <f t="shared" ref="AT47" si="71">AT46/AT$15</f>
        <v>0.17394280781351801</v>
      </c>
      <c r="AU47" s="102">
        <f t="shared" ref="AU47" si="72">AU46/AU$15</f>
        <v>0.18045570769179684</v>
      </c>
      <c r="AV47" s="102">
        <f t="shared" ref="AV47" si="73">AV46/AV$15</f>
        <v>0.18673440097728641</v>
      </c>
      <c r="AW47" s="102">
        <f t="shared" ref="AW47" si="74">AW46/AW$15</f>
        <v>0.18145533800054872</v>
      </c>
      <c r="AX47" s="102">
        <f t="shared" ref="AX47" si="75">AX46/AX$15</f>
        <v>0.19061483868763796</v>
      </c>
      <c r="AY47" s="102">
        <f t="shared" ref="AY47" si="76">AY46/AY$15</f>
        <v>0.19784753784934822</v>
      </c>
    </row>
    <row r="48" spans="1:51" x14ac:dyDescent="0.2">
      <c r="E48" s="74" t="s">
        <v>41</v>
      </c>
    </row>
    <row r="49" spans="1:51" x14ac:dyDescent="0.2">
      <c r="C49" s="12" t="s">
        <v>132</v>
      </c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</row>
    <row r="50" spans="1:51" x14ac:dyDescent="0.2">
      <c r="C50" s="74" t="s">
        <v>98</v>
      </c>
      <c r="D50" s="69">
        <f t="array" ref="D50:AY50">TRANSPOSE('Cohort Model'!K10:K57)</f>
        <v>3501</v>
      </c>
      <c r="E50" s="69">
        <v>4026</v>
      </c>
      <c r="F50" s="69">
        <v>4301</v>
      </c>
      <c r="G50" s="69">
        <v>4601</v>
      </c>
      <c r="H50" s="69">
        <v>4876</v>
      </c>
      <c r="I50" s="69">
        <v>5133</v>
      </c>
      <c r="J50" s="69">
        <v>5986</v>
      </c>
      <c r="K50" s="69">
        <v>6346</v>
      </c>
      <c r="L50" s="69">
        <v>6643</v>
      </c>
      <c r="M50" s="69">
        <v>6930</v>
      </c>
      <c r="N50" s="69">
        <v>7206</v>
      </c>
      <c r="O50" s="69">
        <v>7475</v>
      </c>
      <c r="P50" s="69">
        <v>8363</v>
      </c>
      <c r="Q50" s="69">
        <v>8788</v>
      </c>
      <c r="R50" s="69">
        <v>9145</v>
      </c>
      <c r="S50" s="69">
        <v>9481</v>
      </c>
      <c r="T50" s="69">
        <v>9810</v>
      </c>
      <c r="U50" s="69">
        <v>10141</v>
      </c>
      <c r="V50" s="69">
        <v>11713</v>
      </c>
      <c r="W50" s="69">
        <v>12351</v>
      </c>
      <c r="X50" s="69">
        <v>12859</v>
      </c>
      <c r="Y50" s="69">
        <v>13341</v>
      </c>
      <c r="Z50" s="69">
        <v>13804</v>
      </c>
      <c r="AA50" s="69">
        <v>14252</v>
      </c>
      <c r="AB50" s="69">
        <v>15938</v>
      </c>
      <c r="AC50" s="69">
        <v>16703</v>
      </c>
      <c r="AD50" s="69">
        <v>17330</v>
      </c>
      <c r="AE50" s="69">
        <v>18539</v>
      </c>
      <c r="AF50" s="69">
        <v>19275</v>
      </c>
      <c r="AG50" s="69">
        <v>19949</v>
      </c>
      <c r="AH50" s="69">
        <v>21157</v>
      </c>
      <c r="AI50" s="69">
        <v>21872</v>
      </c>
      <c r="AJ50" s="69">
        <v>22505</v>
      </c>
      <c r="AK50" s="69">
        <v>24339</v>
      </c>
      <c r="AL50" s="69">
        <v>24040</v>
      </c>
      <c r="AM50" s="69">
        <v>24485</v>
      </c>
      <c r="AN50" s="69">
        <v>26029</v>
      </c>
      <c r="AO50" s="69">
        <v>26857</v>
      </c>
      <c r="AP50" s="69">
        <v>27556</v>
      </c>
      <c r="AQ50" s="69">
        <v>29218</v>
      </c>
      <c r="AR50" s="69">
        <v>30212</v>
      </c>
      <c r="AS50" s="69">
        <v>31100</v>
      </c>
      <c r="AT50" s="69">
        <v>31693</v>
      </c>
      <c r="AU50" s="69">
        <v>32470</v>
      </c>
      <c r="AV50" s="69">
        <v>33256</v>
      </c>
      <c r="AW50" s="69">
        <v>35788</v>
      </c>
      <c r="AX50" s="69">
        <v>37071</v>
      </c>
      <c r="AY50" s="69">
        <v>38151</v>
      </c>
    </row>
    <row r="51" spans="1:51" x14ac:dyDescent="0.2">
      <c r="C51" s="132" t="s">
        <v>99</v>
      </c>
      <c r="D51" s="8">
        <f t="shared" ref="D51:AY51" si="77">D52*D50</f>
        <v>105.03</v>
      </c>
      <c r="E51" s="8">
        <f t="shared" si="77"/>
        <v>120.78</v>
      </c>
      <c r="F51" s="8">
        <f t="shared" si="77"/>
        <v>129.03</v>
      </c>
      <c r="G51" s="8">
        <f t="shared" si="77"/>
        <v>138.03</v>
      </c>
      <c r="H51" s="8">
        <f t="shared" si="77"/>
        <v>146.28</v>
      </c>
      <c r="I51" s="8">
        <f t="shared" si="77"/>
        <v>153.98999999999998</v>
      </c>
      <c r="J51" s="8">
        <f t="shared" si="77"/>
        <v>179.57999999999998</v>
      </c>
      <c r="K51" s="8">
        <f t="shared" si="77"/>
        <v>190.38</v>
      </c>
      <c r="L51" s="8">
        <f t="shared" si="77"/>
        <v>199.29</v>
      </c>
      <c r="M51" s="8">
        <f t="shared" si="77"/>
        <v>207.9</v>
      </c>
      <c r="N51" s="8">
        <f t="shared" si="77"/>
        <v>216.17999999999998</v>
      </c>
      <c r="O51" s="8">
        <f t="shared" si="77"/>
        <v>224.25</v>
      </c>
      <c r="P51" s="8">
        <f t="shared" si="77"/>
        <v>250.89</v>
      </c>
      <c r="Q51" s="8">
        <f t="shared" si="77"/>
        <v>263.64</v>
      </c>
      <c r="R51" s="8">
        <f t="shared" si="77"/>
        <v>274.34999999999997</v>
      </c>
      <c r="S51" s="8">
        <f t="shared" si="77"/>
        <v>284.43</v>
      </c>
      <c r="T51" s="8">
        <f t="shared" si="77"/>
        <v>294.3</v>
      </c>
      <c r="U51" s="8">
        <f t="shared" si="77"/>
        <v>304.22999999999996</v>
      </c>
      <c r="V51" s="8">
        <f t="shared" si="77"/>
        <v>351.39</v>
      </c>
      <c r="W51" s="8">
        <f t="shared" si="77"/>
        <v>370.53</v>
      </c>
      <c r="X51" s="8">
        <f t="shared" si="77"/>
        <v>385.77</v>
      </c>
      <c r="Y51" s="8">
        <f t="shared" si="77"/>
        <v>400.22999999999996</v>
      </c>
      <c r="Z51" s="8">
        <f t="shared" si="77"/>
        <v>414.12</v>
      </c>
      <c r="AA51" s="8">
        <f t="shared" si="77"/>
        <v>427.56</v>
      </c>
      <c r="AB51" s="8">
        <f t="shared" si="77"/>
        <v>478.14</v>
      </c>
      <c r="AC51" s="8">
        <f t="shared" si="77"/>
        <v>501.09</v>
      </c>
      <c r="AD51" s="8">
        <f t="shared" si="77"/>
        <v>519.9</v>
      </c>
      <c r="AE51" s="8">
        <f t="shared" si="77"/>
        <v>556.16999999999996</v>
      </c>
      <c r="AF51" s="8">
        <f t="shared" si="77"/>
        <v>578.25</v>
      </c>
      <c r="AG51" s="8">
        <f t="shared" si="77"/>
        <v>598.47</v>
      </c>
      <c r="AH51" s="8">
        <f t="shared" si="77"/>
        <v>634.70999999999992</v>
      </c>
      <c r="AI51" s="8">
        <f t="shared" si="77"/>
        <v>656.16</v>
      </c>
      <c r="AJ51" s="8">
        <f t="shared" si="77"/>
        <v>675.15</v>
      </c>
      <c r="AK51" s="8">
        <f t="shared" si="77"/>
        <v>730.17</v>
      </c>
      <c r="AL51" s="8">
        <f t="shared" si="77"/>
        <v>721.19999999999993</v>
      </c>
      <c r="AM51" s="8">
        <f t="shared" si="77"/>
        <v>734.55</v>
      </c>
      <c r="AN51" s="8">
        <f t="shared" si="77"/>
        <v>780.87</v>
      </c>
      <c r="AO51" s="8">
        <f t="shared" si="77"/>
        <v>805.70999999999992</v>
      </c>
      <c r="AP51" s="8">
        <f t="shared" si="77"/>
        <v>826.68</v>
      </c>
      <c r="AQ51" s="8">
        <f t="shared" si="77"/>
        <v>876.54</v>
      </c>
      <c r="AR51" s="8">
        <f t="shared" si="77"/>
        <v>906.36</v>
      </c>
      <c r="AS51" s="8">
        <f t="shared" si="77"/>
        <v>933</v>
      </c>
      <c r="AT51" s="8">
        <f t="shared" si="77"/>
        <v>950.79</v>
      </c>
      <c r="AU51" s="8">
        <f t="shared" si="77"/>
        <v>974.09999999999991</v>
      </c>
      <c r="AV51" s="8">
        <f t="shared" si="77"/>
        <v>997.68</v>
      </c>
      <c r="AW51" s="8">
        <f t="shared" si="77"/>
        <v>1073.6399999999999</v>
      </c>
      <c r="AX51" s="8">
        <f t="shared" si="77"/>
        <v>1112.1299999999999</v>
      </c>
      <c r="AY51" s="8">
        <f t="shared" si="77"/>
        <v>1144.53</v>
      </c>
    </row>
    <row r="52" spans="1:51" s="86" customFormat="1" x14ac:dyDescent="0.2">
      <c r="A52" s="146">
        <v>0.03</v>
      </c>
      <c r="B52" s="153"/>
      <c r="C52" s="128" t="s">
        <v>130</v>
      </c>
      <c r="D52" s="133">
        <f t="shared" ref="D52:AY52" si="78">$A$52</f>
        <v>0.03</v>
      </c>
      <c r="E52" s="133">
        <f t="shared" si="78"/>
        <v>0.03</v>
      </c>
      <c r="F52" s="133">
        <f t="shared" si="78"/>
        <v>0.03</v>
      </c>
      <c r="G52" s="133">
        <f t="shared" si="78"/>
        <v>0.03</v>
      </c>
      <c r="H52" s="133">
        <f t="shared" si="78"/>
        <v>0.03</v>
      </c>
      <c r="I52" s="133">
        <f t="shared" si="78"/>
        <v>0.03</v>
      </c>
      <c r="J52" s="133">
        <f t="shared" si="78"/>
        <v>0.03</v>
      </c>
      <c r="K52" s="133">
        <f t="shared" si="78"/>
        <v>0.03</v>
      </c>
      <c r="L52" s="133">
        <f t="shared" si="78"/>
        <v>0.03</v>
      </c>
      <c r="M52" s="133">
        <f t="shared" si="78"/>
        <v>0.03</v>
      </c>
      <c r="N52" s="133">
        <f t="shared" si="78"/>
        <v>0.03</v>
      </c>
      <c r="O52" s="133">
        <f t="shared" si="78"/>
        <v>0.03</v>
      </c>
      <c r="P52" s="133">
        <f t="shared" si="78"/>
        <v>0.03</v>
      </c>
      <c r="Q52" s="133">
        <f t="shared" si="78"/>
        <v>0.03</v>
      </c>
      <c r="R52" s="133">
        <f t="shared" si="78"/>
        <v>0.03</v>
      </c>
      <c r="S52" s="133">
        <f t="shared" si="78"/>
        <v>0.03</v>
      </c>
      <c r="T52" s="133">
        <f t="shared" si="78"/>
        <v>0.03</v>
      </c>
      <c r="U52" s="133">
        <f t="shared" si="78"/>
        <v>0.03</v>
      </c>
      <c r="V52" s="133">
        <f t="shared" si="78"/>
        <v>0.03</v>
      </c>
      <c r="W52" s="133">
        <f t="shared" si="78"/>
        <v>0.03</v>
      </c>
      <c r="X52" s="133">
        <f t="shared" si="78"/>
        <v>0.03</v>
      </c>
      <c r="Y52" s="133">
        <f t="shared" si="78"/>
        <v>0.03</v>
      </c>
      <c r="Z52" s="133">
        <f t="shared" si="78"/>
        <v>0.03</v>
      </c>
      <c r="AA52" s="133">
        <f t="shared" si="78"/>
        <v>0.03</v>
      </c>
      <c r="AB52" s="133">
        <f t="shared" si="78"/>
        <v>0.03</v>
      </c>
      <c r="AC52" s="133">
        <f t="shared" si="78"/>
        <v>0.03</v>
      </c>
      <c r="AD52" s="133">
        <f t="shared" si="78"/>
        <v>0.03</v>
      </c>
      <c r="AE52" s="133">
        <f t="shared" si="78"/>
        <v>0.03</v>
      </c>
      <c r="AF52" s="133">
        <f t="shared" si="78"/>
        <v>0.03</v>
      </c>
      <c r="AG52" s="133">
        <f t="shared" si="78"/>
        <v>0.03</v>
      </c>
      <c r="AH52" s="133">
        <f t="shared" si="78"/>
        <v>0.03</v>
      </c>
      <c r="AI52" s="133">
        <f t="shared" si="78"/>
        <v>0.03</v>
      </c>
      <c r="AJ52" s="133">
        <f t="shared" si="78"/>
        <v>0.03</v>
      </c>
      <c r="AK52" s="133">
        <f t="shared" si="78"/>
        <v>0.03</v>
      </c>
      <c r="AL52" s="133">
        <f t="shared" si="78"/>
        <v>0.03</v>
      </c>
      <c r="AM52" s="133">
        <f t="shared" si="78"/>
        <v>0.03</v>
      </c>
      <c r="AN52" s="133">
        <f t="shared" si="78"/>
        <v>0.03</v>
      </c>
      <c r="AO52" s="133">
        <f t="shared" si="78"/>
        <v>0.03</v>
      </c>
      <c r="AP52" s="133">
        <f t="shared" si="78"/>
        <v>0.03</v>
      </c>
      <c r="AQ52" s="133">
        <f t="shared" si="78"/>
        <v>0.03</v>
      </c>
      <c r="AR52" s="133">
        <f t="shared" si="78"/>
        <v>0.03</v>
      </c>
      <c r="AS52" s="133">
        <f t="shared" si="78"/>
        <v>0.03</v>
      </c>
      <c r="AT52" s="133">
        <f t="shared" si="78"/>
        <v>0.03</v>
      </c>
      <c r="AU52" s="133">
        <f t="shared" si="78"/>
        <v>0.03</v>
      </c>
      <c r="AV52" s="133">
        <f t="shared" si="78"/>
        <v>0.03</v>
      </c>
      <c r="AW52" s="133">
        <f t="shared" si="78"/>
        <v>0.03</v>
      </c>
      <c r="AX52" s="133">
        <f t="shared" si="78"/>
        <v>0.03</v>
      </c>
      <c r="AY52" s="133">
        <f t="shared" si="78"/>
        <v>0.03</v>
      </c>
    </row>
    <row r="53" spans="1:51" s="13" customFormat="1" x14ac:dyDescent="0.2">
      <c r="A53" s="127"/>
      <c r="B53" s="152"/>
      <c r="C53" s="74" t="s">
        <v>64</v>
      </c>
      <c r="D53" s="134">
        <f t="array" ref="D53:AY53">TRANSPOSE('Cohort Model'!B10:B57)</f>
        <v>100</v>
      </c>
      <c r="E53" s="134">
        <v>100</v>
      </c>
      <c r="F53" s="134">
        <v>100</v>
      </c>
      <c r="G53" s="134">
        <v>100</v>
      </c>
      <c r="H53" s="134">
        <v>100</v>
      </c>
      <c r="I53" s="134">
        <v>100</v>
      </c>
      <c r="J53" s="134">
        <v>100</v>
      </c>
      <c r="K53" s="134">
        <v>100</v>
      </c>
      <c r="L53" s="134">
        <v>100</v>
      </c>
      <c r="M53" s="134">
        <v>100</v>
      </c>
      <c r="N53" s="134">
        <v>100</v>
      </c>
      <c r="O53" s="134">
        <v>100</v>
      </c>
      <c r="P53" s="134">
        <v>110</v>
      </c>
      <c r="Q53" s="134">
        <v>110</v>
      </c>
      <c r="R53" s="134">
        <v>110</v>
      </c>
      <c r="S53" s="134">
        <v>110</v>
      </c>
      <c r="T53" s="134">
        <v>110</v>
      </c>
      <c r="U53" s="134">
        <v>110</v>
      </c>
      <c r="V53" s="134">
        <v>110</v>
      </c>
      <c r="W53" s="134">
        <v>110</v>
      </c>
      <c r="X53" s="134">
        <v>110</v>
      </c>
      <c r="Y53" s="134">
        <v>110</v>
      </c>
      <c r="Z53" s="134">
        <v>110</v>
      </c>
      <c r="AA53" s="134">
        <v>110</v>
      </c>
      <c r="AB53" s="134">
        <v>120</v>
      </c>
      <c r="AC53" s="134">
        <v>120</v>
      </c>
      <c r="AD53" s="134">
        <v>120</v>
      </c>
      <c r="AE53" s="134">
        <v>120</v>
      </c>
      <c r="AF53" s="134">
        <v>120</v>
      </c>
      <c r="AG53" s="134">
        <v>120</v>
      </c>
      <c r="AH53" s="134">
        <v>120</v>
      </c>
      <c r="AI53" s="134">
        <v>120</v>
      </c>
      <c r="AJ53" s="134">
        <v>120</v>
      </c>
      <c r="AK53" s="134">
        <v>120</v>
      </c>
      <c r="AL53" s="134">
        <v>120</v>
      </c>
      <c r="AM53" s="134">
        <v>120</v>
      </c>
      <c r="AN53" s="134">
        <v>130</v>
      </c>
      <c r="AO53" s="134">
        <v>130</v>
      </c>
      <c r="AP53" s="134">
        <v>130</v>
      </c>
      <c r="AQ53" s="134">
        <v>130</v>
      </c>
      <c r="AR53" s="134">
        <v>130</v>
      </c>
      <c r="AS53" s="134">
        <v>130</v>
      </c>
      <c r="AT53" s="134">
        <v>130</v>
      </c>
      <c r="AU53" s="134">
        <v>130</v>
      </c>
      <c r="AV53" s="134">
        <v>130</v>
      </c>
      <c r="AW53" s="134">
        <v>130</v>
      </c>
      <c r="AX53" s="134">
        <v>130</v>
      </c>
      <c r="AY53" s="134">
        <v>130</v>
      </c>
    </row>
    <row r="54" spans="1:51" s="13" customFormat="1" x14ac:dyDescent="0.2">
      <c r="A54" s="127"/>
      <c r="B54" s="152"/>
      <c r="C54" s="74" t="s">
        <v>108</v>
      </c>
      <c r="D54" s="134">
        <f t="array" ref="D54:AY54">TRANSPOSE('Cohort Model'!J10:J57)</f>
        <v>39.984006397441021</v>
      </c>
      <c r="E54" s="134">
        <v>39.984006397441021</v>
      </c>
      <c r="F54" s="134">
        <v>39.984006397441021</v>
      </c>
      <c r="G54" s="134">
        <v>39.984006397441021</v>
      </c>
      <c r="H54" s="134">
        <v>39.984006397441021</v>
      </c>
      <c r="I54" s="134">
        <v>39.984006397441021</v>
      </c>
      <c r="J54" s="134">
        <v>40</v>
      </c>
      <c r="K54" s="134">
        <v>40</v>
      </c>
      <c r="L54" s="134">
        <v>40</v>
      </c>
      <c r="M54" s="134">
        <v>40</v>
      </c>
      <c r="N54" s="134">
        <v>40</v>
      </c>
      <c r="O54" s="134">
        <v>40</v>
      </c>
      <c r="P54" s="134">
        <v>40</v>
      </c>
      <c r="Q54" s="134">
        <v>40</v>
      </c>
      <c r="R54" s="134">
        <v>40</v>
      </c>
      <c r="S54" s="134">
        <v>40</v>
      </c>
      <c r="T54" s="134">
        <v>40</v>
      </c>
      <c r="U54" s="134">
        <v>40</v>
      </c>
      <c r="V54" s="134">
        <v>40</v>
      </c>
      <c r="W54" s="134">
        <v>40</v>
      </c>
      <c r="X54" s="134">
        <v>40</v>
      </c>
      <c r="Y54" s="134">
        <v>40</v>
      </c>
      <c r="Z54" s="134">
        <v>40</v>
      </c>
      <c r="AA54" s="134">
        <v>40</v>
      </c>
      <c r="AB54" s="134">
        <v>39.993601023836185</v>
      </c>
      <c r="AC54" s="134">
        <v>39.993601023836185</v>
      </c>
      <c r="AD54" s="134">
        <v>39.993601023836185</v>
      </c>
      <c r="AE54" s="134">
        <v>40</v>
      </c>
      <c r="AF54" s="134">
        <v>40</v>
      </c>
      <c r="AG54" s="134">
        <v>40</v>
      </c>
      <c r="AH54" s="134">
        <v>40.268456375838923</v>
      </c>
      <c r="AI54" s="134">
        <v>40.54054054054054</v>
      </c>
      <c r="AJ54" s="134">
        <v>40.816326530612244</v>
      </c>
      <c r="AK54" s="134">
        <v>41.099107562235794</v>
      </c>
      <c r="AL54" s="134">
        <v>48.275862068965516</v>
      </c>
      <c r="AM54" s="134">
        <v>48.611111111111114</v>
      </c>
      <c r="AN54" s="134">
        <v>48.953616448415126</v>
      </c>
      <c r="AO54" s="134">
        <v>49.297510475720976</v>
      </c>
      <c r="AP54" s="134">
        <v>49.646270323941913</v>
      </c>
      <c r="AQ54" s="134">
        <v>49.994445061659817</v>
      </c>
      <c r="AR54" s="134">
        <v>49.994445061659817</v>
      </c>
      <c r="AS54" s="134">
        <v>49.994445061659817</v>
      </c>
      <c r="AT54" s="134">
        <v>57.142857142857146</v>
      </c>
      <c r="AU54" s="134">
        <v>57.142857142857146</v>
      </c>
      <c r="AV54" s="134">
        <v>57.142857142857146</v>
      </c>
      <c r="AW54" s="134">
        <v>57.142857142857146</v>
      </c>
      <c r="AX54" s="134">
        <v>57.142857142857146</v>
      </c>
      <c r="AY54" s="134">
        <v>57.142857142857146</v>
      </c>
    </row>
    <row r="55" spans="1:51" s="13" customFormat="1" x14ac:dyDescent="0.2">
      <c r="A55" s="127"/>
      <c r="B55" s="152"/>
      <c r="C55" s="74" t="s">
        <v>100</v>
      </c>
      <c r="D55" s="70">
        <f t="array" ref="D55:AY55">TRANSPOSE('Cohort Model'!M10:M57)</f>
        <v>115.8758634365028</v>
      </c>
      <c r="E55" s="70">
        <v>115.8758634365028</v>
      </c>
      <c r="F55" s="70">
        <v>115.8758634365028</v>
      </c>
      <c r="G55" s="70">
        <v>120.43454566084584</v>
      </c>
      <c r="H55" s="70">
        <v>121.36535076690978</v>
      </c>
      <c r="I55" s="70">
        <v>121.36535076690971</v>
      </c>
      <c r="J55" s="70">
        <v>126.11837221920784</v>
      </c>
      <c r="K55" s="70">
        <v>126.11837221920784</v>
      </c>
      <c r="L55" s="70">
        <v>126.93983288117197</v>
      </c>
      <c r="M55" s="70">
        <v>142.97265762344003</v>
      </c>
      <c r="N55" s="70">
        <v>142.97265762344009</v>
      </c>
      <c r="O55" s="70">
        <v>142.97265762344006</v>
      </c>
      <c r="P55" s="70">
        <v>187.04564525532962</v>
      </c>
      <c r="Q55" s="70">
        <v>187.04564525532962</v>
      </c>
      <c r="R55" s="70">
        <v>187.04564525532967</v>
      </c>
      <c r="S55" s="70">
        <v>192.20229211700541</v>
      </c>
      <c r="T55" s="70">
        <v>193.61848130887452</v>
      </c>
      <c r="U55" s="70">
        <v>193.61848130887452</v>
      </c>
      <c r="V55" s="70">
        <v>208.97210352007934</v>
      </c>
      <c r="W55" s="70">
        <v>208.97210352007932</v>
      </c>
      <c r="X55" s="70">
        <v>210.52998820029757</v>
      </c>
      <c r="Y55" s="70">
        <v>213.10800208230037</v>
      </c>
      <c r="Z55" s="70">
        <v>213.10800208230052</v>
      </c>
      <c r="AA55" s="70">
        <v>213.10800208230043</v>
      </c>
      <c r="AB55" s="70">
        <v>263.78738635045227</v>
      </c>
      <c r="AC55" s="70">
        <v>263.78738635045227</v>
      </c>
      <c r="AD55" s="70">
        <v>263.78738635045227</v>
      </c>
      <c r="AE55" s="70">
        <v>263.8162946931663</v>
      </c>
      <c r="AF55" s="70">
        <v>265.84640092942197</v>
      </c>
      <c r="AG55" s="70">
        <v>265.84640092942209</v>
      </c>
      <c r="AH55" s="70">
        <v>265.78842084304608</v>
      </c>
      <c r="AI55" s="70">
        <v>265.62408476938822</v>
      </c>
      <c r="AJ55" s="70">
        <v>267.63006361832726</v>
      </c>
      <c r="AK55" s="70">
        <v>267.68668529333144</v>
      </c>
      <c r="AL55" s="70">
        <v>267.54697027022775</v>
      </c>
      <c r="AM55" s="70">
        <v>267.61036969420354</v>
      </c>
      <c r="AN55" s="70">
        <v>291.11014928524349</v>
      </c>
      <c r="AO55" s="70">
        <v>291.08743966135836</v>
      </c>
      <c r="AP55" s="70">
        <v>291.08074092072837</v>
      </c>
      <c r="AQ55" s="70">
        <v>293.02252789389382</v>
      </c>
      <c r="AR55" s="70">
        <v>293.02252789389382</v>
      </c>
      <c r="AS55" s="70">
        <v>293.02252789389382</v>
      </c>
      <c r="AT55" s="70">
        <v>295.11183639987922</v>
      </c>
      <c r="AU55" s="70">
        <v>295.11183639987922</v>
      </c>
      <c r="AV55" s="70">
        <v>295.11183639987922</v>
      </c>
      <c r="AW55" s="70">
        <v>297.21474728682171</v>
      </c>
      <c r="AX55" s="70">
        <v>297.21474728682171</v>
      </c>
      <c r="AY55" s="70">
        <v>297.21474728682165</v>
      </c>
    </row>
    <row r="56" spans="1:51" s="13" customFormat="1" x14ac:dyDescent="0.2">
      <c r="A56" s="127"/>
      <c r="B56" s="152"/>
      <c r="C56" s="74" t="s">
        <v>101</v>
      </c>
      <c r="D56" s="135">
        <f t="array" ref="D56:AY56">TRANSPOSE('Cohort Model'!N10:N57)</f>
        <v>2.8980553445469353</v>
      </c>
      <c r="E56" s="135">
        <v>2.8980553445469353</v>
      </c>
      <c r="F56" s="135">
        <v>2.8980553445469353</v>
      </c>
      <c r="G56" s="135">
        <v>3.0120679869777547</v>
      </c>
      <c r="H56" s="135">
        <v>3.035347422680414</v>
      </c>
      <c r="I56" s="135">
        <v>3.0353474226804122</v>
      </c>
      <c r="J56" s="135">
        <v>3.1529593054801959</v>
      </c>
      <c r="K56" s="135">
        <v>3.1529593054801959</v>
      </c>
      <c r="L56" s="135">
        <v>3.1734958220292993</v>
      </c>
      <c r="M56" s="135">
        <v>3.5743164405860006</v>
      </c>
      <c r="N56" s="135">
        <v>3.574316440586002</v>
      </c>
      <c r="O56" s="135">
        <v>3.5743164405860015</v>
      </c>
      <c r="P56" s="135">
        <v>4.6761411313832406</v>
      </c>
      <c r="Q56" s="135">
        <v>4.6761411313832406</v>
      </c>
      <c r="R56" s="135">
        <v>4.6761411313832415</v>
      </c>
      <c r="S56" s="135">
        <v>4.8050573029251353</v>
      </c>
      <c r="T56" s="135">
        <v>4.840462032721863</v>
      </c>
      <c r="U56" s="135">
        <v>4.840462032721863</v>
      </c>
      <c r="V56" s="135">
        <v>5.2243025880019838</v>
      </c>
      <c r="W56" s="135">
        <v>5.2243025880019829</v>
      </c>
      <c r="X56" s="135">
        <v>5.2632497050074392</v>
      </c>
      <c r="Y56" s="135">
        <v>5.3277000520575095</v>
      </c>
      <c r="Z56" s="135">
        <v>5.3277000520575131</v>
      </c>
      <c r="AA56" s="135">
        <v>5.3277000520575104</v>
      </c>
      <c r="AB56" s="135">
        <v>6.5957398083067087</v>
      </c>
      <c r="AC56" s="135">
        <v>6.5957398083067087</v>
      </c>
      <c r="AD56" s="135">
        <v>6.5957398083067087</v>
      </c>
      <c r="AE56" s="135">
        <v>6.5954073673291571</v>
      </c>
      <c r="AF56" s="135">
        <v>6.6461600232355496</v>
      </c>
      <c r="AG56" s="135">
        <v>6.6461600232355522</v>
      </c>
      <c r="AH56" s="135">
        <v>6.6004124509356448</v>
      </c>
      <c r="AI56" s="135">
        <v>6.5520607576449095</v>
      </c>
      <c r="AJ56" s="135">
        <v>6.556936558649018</v>
      </c>
      <c r="AK56" s="135">
        <v>6.5131994627371723</v>
      </c>
      <c r="AL56" s="135">
        <v>5.542044384169003</v>
      </c>
      <c r="AM56" s="135">
        <v>5.5051276051379014</v>
      </c>
      <c r="AN56" s="135">
        <v>5.946652574524312</v>
      </c>
      <c r="AO56" s="135">
        <v>5.9047087135306544</v>
      </c>
      <c r="AP56" s="135">
        <v>5.8630938239957713</v>
      </c>
      <c r="AQ56" s="135">
        <v>5.861101719050974</v>
      </c>
      <c r="AR56" s="135">
        <v>5.861101719050974</v>
      </c>
      <c r="AS56" s="135">
        <v>5.861101719050974</v>
      </c>
      <c r="AT56" s="135">
        <v>5.1644571369978864</v>
      </c>
      <c r="AU56" s="135">
        <v>5.1644571369978864</v>
      </c>
      <c r="AV56" s="135">
        <v>5.1644571369978864</v>
      </c>
      <c r="AW56" s="135">
        <v>5.2012580775193795</v>
      </c>
      <c r="AX56" s="135">
        <v>5.2012580775193795</v>
      </c>
      <c r="AY56" s="135">
        <v>5.2012580775193786</v>
      </c>
    </row>
    <row r="57" spans="1:51" s="14" customFormat="1" ht="18" customHeight="1" x14ac:dyDescent="0.2">
      <c r="A57" s="83"/>
      <c r="B57" s="85"/>
      <c r="C57" s="7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 spans="1:51" x14ac:dyDescent="0.2">
      <c r="C58" s="12" t="s">
        <v>143</v>
      </c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</row>
    <row r="59" spans="1:51" x14ac:dyDescent="0.2">
      <c r="C59" s="191" t="str">
        <f>C31</f>
        <v>Marketing / Sales</v>
      </c>
      <c r="D59" s="145">
        <v>1</v>
      </c>
      <c r="E59" s="145">
        <v>1</v>
      </c>
      <c r="F59" s="145">
        <v>1</v>
      </c>
      <c r="G59" s="145">
        <v>1</v>
      </c>
      <c r="H59" s="145">
        <v>1</v>
      </c>
      <c r="I59" s="145">
        <v>1</v>
      </c>
      <c r="J59" s="145">
        <v>1</v>
      </c>
      <c r="K59" s="145">
        <v>2</v>
      </c>
      <c r="L59" s="145">
        <v>2</v>
      </c>
      <c r="M59" s="145">
        <v>2</v>
      </c>
      <c r="N59" s="145">
        <v>2</v>
      </c>
      <c r="O59" s="145">
        <v>2</v>
      </c>
      <c r="P59" s="145">
        <v>2</v>
      </c>
      <c r="Q59" s="145">
        <v>2</v>
      </c>
      <c r="R59" s="145">
        <v>2</v>
      </c>
      <c r="S59" s="145">
        <v>3</v>
      </c>
      <c r="T59" s="145">
        <v>3</v>
      </c>
      <c r="U59" s="145">
        <v>3</v>
      </c>
      <c r="V59" s="145">
        <v>3</v>
      </c>
      <c r="W59" s="145">
        <v>3</v>
      </c>
      <c r="X59" s="145">
        <v>3</v>
      </c>
      <c r="Y59" s="145">
        <v>3</v>
      </c>
      <c r="Z59" s="145">
        <v>3</v>
      </c>
      <c r="AA59" s="145">
        <v>3</v>
      </c>
      <c r="AB59" s="145">
        <v>3</v>
      </c>
      <c r="AC59" s="145">
        <v>3</v>
      </c>
      <c r="AD59" s="145">
        <v>3</v>
      </c>
      <c r="AE59" s="145">
        <v>4</v>
      </c>
      <c r="AF59" s="145">
        <v>4</v>
      </c>
      <c r="AG59" s="145">
        <v>4</v>
      </c>
      <c r="AH59" s="145">
        <v>4</v>
      </c>
      <c r="AI59" s="145">
        <v>4</v>
      </c>
      <c r="AJ59" s="145">
        <v>4</v>
      </c>
      <c r="AK59" s="145">
        <v>4</v>
      </c>
      <c r="AL59" s="145">
        <v>4</v>
      </c>
      <c r="AM59" s="145">
        <v>4</v>
      </c>
      <c r="AN59" s="145">
        <v>4</v>
      </c>
      <c r="AO59" s="145">
        <v>4</v>
      </c>
      <c r="AP59" s="145">
        <v>4</v>
      </c>
      <c r="AQ59" s="145">
        <v>5</v>
      </c>
      <c r="AR59" s="145">
        <v>5</v>
      </c>
      <c r="AS59" s="145">
        <v>5</v>
      </c>
      <c r="AT59" s="145">
        <v>5</v>
      </c>
      <c r="AU59" s="145">
        <v>5</v>
      </c>
      <c r="AV59" s="145">
        <v>5</v>
      </c>
      <c r="AW59" s="145">
        <v>5</v>
      </c>
      <c r="AX59" s="145">
        <v>5</v>
      </c>
      <c r="AY59" s="145">
        <v>5</v>
      </c>
    </row>
    <row r="60" spans="1:51" x14ac:dyDescent="0.2">
      <c r="C60" s="191" t="str">
        <f>C32</f>
        <v>Merchandising</v>
      </c>
      <c r="D60" s="145">
        <v>0</v>
      </c>
      <c r="E60" s="145">
        <v>0</v>
      </c>
      <c r="F60" s="145">
        <v>0</v>
      </c>
      <c r="G60" s="145">
        <v>0</v>
      </c>
      <c r="H60" s="145">
        <v>0</v>
      </c>
      <c r="I60" s="145">
        <v>1</v>
      </c>
      <c r="J60" s="145">
        <v>1</v>
      </c>
      <c r="K60" s="145">
        <v>1</v>
      </c>
      <c r="L60" s="145">
        <v>1</v>
      </c>
      <c r="M60" s="145">
        <v>1</v>
      </c>
      <c r="N60" s="145">
        <v>1</v>
      </c>
      <c r="O60" s="145">
        <v>1</v>
      </c>
      <c r="P60" s="145">
        <v>1</v>
      </c>
      <c r="Q60" s="145">
        <v>1</v>
      </c>
      <c r="R60" s="145">
        <v>1</v>
      </c>
      <c r="S60" s="145">
        <v>1</v>
      </c>
      <c r="T60" s="145">
        <v>1</v>
      </c>
      <c r="U60" s="145">
        <v>1</v>
      </c>
      <c r="V60" s="145">
        <v>2</v>
      </c>
      <c r="W60" s="145">
        <v>2</v>
      </c>
      <c r="X60" s="145">
        <v>2</v>
      </c>
      <c r="Y60" s="145">
        <v>2</v>
      </c>
      <c r="Z60" s="145">
        <v>2</v>
      </c>
      <c r="AA60" s="145">
        <v>2</v>
      </c>
      <c r="AB60" s="145">
        <v>2</v>
      </c>
      <c r="AC60" s="145">
        <v>2</v>
      </c>
      <c r="AD60" s="145">
        <v>2</v>
      </c>
      <c r="AE60" s="145">
        <v>2</v>
      </c>
      <c r="AF60" s="145">
        <v>2</v>
      </c>
      <c r="AG60" s="145">
        <v>2</v>
      </c>
      <c r="AH60" s="145">
        <v>3</v>
      </c>
      <c r="AI60" s="145">
        <v>3</v>
      </c>
      <c r="AJ60" s="145">
        <v>3</v>
      </c>
      <c r="AK60" s="145">
        <v>3</v>
      </c>
      <c r="AL60" s="145">
        <v>3</v>
      </c>
      <c r="AM60" s="145">
        <v>3</v>
      </c>
      <c r="AN60" s="145">
        <v>3</v>
      </c>
      <c r="AO60" s="145">
        <v>3</v>
      </c>
      <c r="AP60" s="145">
        <v>3</v>
      </c>
      <c r="AQ60" s="145">
        <v>3</v>
      </c>
      <c r="AR60" s="145">
        <v>3</v>
      </c>
      <c r="AS60" s="145">
        <v>3</v>
      </c>
      <c r="AT60" s="145">
        <v>4</v>
      </c>
      <c r="AU60" s="145">
        <v>4</v>
      </c>
      <c r="AV60" s="145">
        <v>4</v>
      </c>
      <c r="AW60" s="145">
        <v>4</v>
      </c>
      <c r="AX60" s="145">
        <v>4</v>
      </c>
      <c r="AY60" s="145">
        <v>4</v>
      </c>
    </row>
    <row r="61" spans="1:51" x14ac:dyDescent="0.2">
      <c r="C61" s="191" t="str">
        <f>C33</f>
        <v>Product Mgmt</v>
      </c>
      <c r="D61" s="145">
        <v>0</v>
      </c>
      <c r="E61" s="145">
        <v>0</v>
      </c>
      <c r="F61" s="145">
        <v>0</v>
      </c>
      <c r="G61" s="145">
        <v>0</v>
      </c>
      <c r="H61" s="145">
        <v>0</v>
      </c>
      <c r="I61" s="145">
        <v>1</v>
      </c>
      <c r="J61" s="145">
        <v>1</v>
      </c>
      <c r="K61" s="145">
        <v>1</v>
      </c>
      <c r="L61" s="145">
        <v>1</v>
      </c>
      <c r="M61" s="145">
        <v>1</v>
      </c>
      <c r="N61" s="145">
        <v>1</v>
      </c>
      <c r="O61" s="145">
        <v>1</v>
      </c>
      <c r="P61" s="145">
        <v>1</v>
      </c>
      <c r="Q61" s="145">
        <v>1</v>
      </c>
      <c r="R61" s="145">
        <v>1</v>
      </c>
      <c r="S61" s="145">
        <v>1</v>
      </c>
      <c r="T61" s="145">
        <v>1</v>
      </c>
      <c r="U61" s="145">
        <v>1</v>
      </c>
      <c r="V61" s="145">
        <v>1</v>
      </c>
      <c r="W61" s="145">
        <v>1</v>
      </c>
      <c r="X61" s="145">
        <v>1</v>
      </c>
      <c r="Y61" s="145">
        <v>1</v>
      </c>
      <c r="Z61" s="145">
        <v>1</v>
      </c>
      <c r="AA61" s="145">
        <v>1</v>
      </c>
      <c r="AB61" s="145">
        <v>2</v>
      </c>
      <c r="AC61" s="145">
        <v>2</v>
      </c>
      <c r="AD61" s="145">
        <v>2</v>
      </c>
      <c r="AE61" s="145">
        <v>2</v>
      </c>
      <c r="AF61" s="145">
        <v>2</v>
      </c>
      <c r="AG61" s="145">
        <v>2</v>
      </c>
      <c r="AH61" s="145">
        <v>2</v>
      </c>
      <c r="AI61" s="145">
        <v>2</v>
      </c>
      <c r="AJ61" s="145">
        <v>2</v>
      </c>
      <c r="AK61" s="145">
        <v>2</v>
      </c>
      <c r="AL61" s="145">
        <v>2</v>
      </c>
      <c r="AM61" s="145">
        <v>2</v>
      </c>
      <c r="AN61" s="145">
        <v>2</v>
      </c>
      <c r="AO61" s="145">
        <v>2</v>
      </c>
      <c r="AP61" s="145">
        <v>2</v>
      </c>
      <c r="AQ61" s="145">
        <v>2</v>
      </c>
      <c r="AR61" s="145">
        <v>2</v>
      </c>
      <c r="AS61" s="145">
        <v>2</v>
      </c>
      <c r="AT61" s="145">
        <v>2</v>
      </c>
      <c r="AU61" s="145">
        <v>2</v>
      </c>
      <c r="AV61" s="145">
        <v>2</v>
      </c>
      <c r="AW61" s="145">
        <v>2</v>
      </c>
      <c r="AX61" s="145">
        <v>2</v>
      </c>
      <c r="AY61" s="145">
        <v>2</v>
      </c>
    </row>
    <row r="62" spans="1:51" x14ac:dyDescent="0.2">
      <c r="C62" s="191" t="str">
        <f>C34</f>
        <v>Product Creative</v>
      </c>
      <c r="D62" s="145">
        <v>0</v>
      </c>
      <c r="E62" s="145">
        <v>0</v>
      </c>
      <c r="F62" s="145">
        <v>0</v>
      </c>
      <c r="G62" s="145">
        <v>0</v>
      </c>
      <c r="H62" s="145">
        <v>0</v>
      </c>
      <c r="I62" s="145">
        <v>1</v>
      </c>
      <c r="J62" s="145">
        <v>1</v>
      </c>
      <c r="K62" s="145">
        <v>1</v>
      </c>
      <c r="L62" s="145">
        <v>1</v>
      </c>
      <c r="M62" s="145">
        <v>1</v>
      </c>
      <c r="N62" s="145">
        <v>1</v>
      </c>
      <c r="O62" s="145">
        <v>1</v>
      </c>
      <c r="P62" s="145">
        <v>1</v>
      </c>
      <c r="Q62" s="145">
        <v>1</v>
      </c>
      <c r="R62" s="145">
        <v>1</v>
      </c>
      <c r="S62" s="145">
        <v>1</v>
      </c>
      <c r="T62" s="145">
        <v>1</v>
      </c>
      <c r="U62" s="145">
        <v>1</v>
      </c>
      <c r="V62" s="145">
        <v>1</v>
      </c>
      <c r="W62" s="145">
        <v>1</v>
      </c>
      <c r="X62" s="145">
        <v>1</v>
      </c>
      <c r="Y62" s="145">
        <v>1</v>
      </c>
      <c r="Z62" s="145">
        <v>1</v>
      </c>
      <c r="AA62" s="145">
        <v>1</v>
      </c>
      <c r="AB62" s="145">
        <v>2</v>
      </c>
      <c r="AC62" s="145">
        <v>2</v>
      </c>
      <c r="AD62" s="145">
        <v>2</v>
      </c>
      <c r="AE62" s="145">
        <v>2</v>
      </c>
      <c r="AF62" s="145">
        <v>2</v>
      </c>
      <c r="AG62" s="145">
        <v>2</v>
      </c>
      <c r="AH62" s="145">
        <v>2</v>
      </c>
      <c r="AI62" s="145">
        <v>2</v>
      </c>
      <c r="AJ62" s="145">
        <v>2</v>
      </c>
      <c r="AK62" s="145">
        <v>2</v>
      </c>
      <c r="AL62" s="145">
        <v>2</v>
      </c>
      <c r="AM62" s="145">
        <v>2</v>
      </c>
      <c r="AN62" s="145">
        <v>2</v>
      </c>
      <c r="AO62" s="145">
        <v>2</v>
      </c>
      <c r="AP62" s="145">
        <v>2</v>
      </c>
      <c r="AQ62" s="145">
        <v>2</v>
      </c>
      <c r="AR62" s="145">
        <v>2</v>
      </c>
      <c r="AS62" s="145">
        <v>2</v>
      </c>
      <c r="AT62" s="145">
        <v>2</v>
      </c>
      <c r="AU62" s="145">
        <v>2</v>
      </c>
      <c r="AV62" s="145">
        <v>2</v>
      </c>
      <c r="AW62" s="145">
        <v>2</v>
      </c>
      <c r="AX62" s="145">
        <v>2</v>
      </c>
      <c r="AY62" s="145">
        <v>2</v>
      </c>
    </row>
    <row r="63" spans="1:51" x14ac:dyDescent="0.2">
      <c r="C63" s="191" t="str">
        <f>C35</f>
        <v>Technology</v>
      </c>
      <c r="D63" s="145">
        <v>1</v>
      </c>
      <c r="E63" s="145">
        <v>1</v>
      </c>
      <c r="F63" s="145">
        <v>1</v>
      </c>
      <c r="G63" s="145">
        <v>1</v>
      </c>
      <c r="H63" s="145">
        <v>1</v>
      </c>
      <c r="I63" s="145">
        <v>2</v>
      </c>
      <c r="J63" s="145">
        <v>2</v>
      </c>
      <c r="K63" s="145">
        <v>2</v>
      </c>
      <c r="L63" s="145">
        <v>2</v>
      </c>
      <c r="M63" s="145">
        <v>2</v>
      </c>
      <c r="N63" s="145">
        <v>2</v>
      </c>
      <c r="O63" s="145">
        <v>2</v>
      </c>
      <c r="P63" s="145">
        <v>3</v>
      </c>
      <c r="Q63" s="145">
        <v>3</v>
      </c>
      <c r="R63" s="145">
        <v>3</v>
      </c>
      <c r="S63" s="145">
        <v>3</v>
      </c>
      <c r="T63" s="145">
        <v>3</v>
      </c>
      <c r="U63" s="145">
        <v>3</v>
      </c>
      <c r="V63" s="145">
        <v>4</v>
      </c>
      <c r="W63" s="145">
        <v>4</v>
      </c>
      <c r="X63" s="145">
        <v>4</v>
      </c>
      <c r="Y63" s="145">
        <v>4</v>
      </c>
      <c r="Z63" s="145">
        <v>4</v>
      </c>
      <c r="AA63" s="145">
        <v>4</v>
      </c>
      <c r="AB63" s="145">
        <v>5</v>
      </c>
      <c r="AC63" s="145">
        <v>5</v>
      </c>
      <c r="AD63" s="145">
        <v>5</v>
      </c>
      <c r="AE63" s="145">
        <v>5</v>
      </c>
      <c r="AF63" s="145">
        <v>5</v>
      </c>
      <c r="AG63" s="145">
        <v>5</v>
      </c>
      <c r="AH63" s="145">
        <v>6</v>
      </c>
      <c r="AI63" s="145">
        <v>6</v>
      </c>
      <c r="AJ63" s="145">
        <v>6</v>
      </c>
      <c r="AK63" s="145">
        <v>6</v>
      </c>
      <c r="AL63" s="145">
        <v>6</v>
      </c>
      <c r="AM63" s="145">
        <v>6</v>
      </c>
      <c r="AN63" s="145">
        <v>6</v>
      </c>
      <c r="AO63" s="145">
        <v>6</v>
      </c>
      <c r="AP63" s="145">
        <v>6</v>
      </c>
      <c r="AQ63" s="145">
        <v>6</v>
      </c>
      <c r="AR63" s="145">
        <v>6</v>
      </c>
      <c r="AS63" s="145">
        <v>6</v>
      </c>
      <c r="AT63" s="145">
        <v>6</v>
      </c>
      <c r="AU63" s="145">
        <v>6</v>
      </c>
      <c r="AV63" s="145">
        <v>6</v>
      </c>
      <c r="AW63" s="145">
        <v>6</v>
      </c>
      <c r="AX63" s="145">
        <v>6</v>
      </c>
      <c r="AY63" s="145">
        <v>6</v>
      </c>
    </row>
    <row r="64" spans="1:51" x14ac:dyDescent="0.2">
      <c r="C64" s="191" t="s">
        <v>93</v>
      </c>
      <c r="D64" s="145">
        <v>2</v>
      </c>
      <c r="E64" s="145">
        <v>2</v>
      </c>
      <c r="F64" s="145">
        <v>2</v>
      </c>
      <c r="G64" s="145">
        <v>2</v>
      </c>
      <c r="H64" s="145">
        <v>2</v>
      </c>
      <c r="I64" s="145">
        <v>2</v>
      </c>
      <c r="J64" s="145">
        <v>2</v>
      </c>
      <c r="K64" s="145">
        <v>2</v>
      </c>
      <c r="L64" s="145">
        <v>2</v>
      </c>
      <c r="M64" s="145">
        <v>3</v>
      </c>
      <c r="N64" s="145">
        <v>3</v>
      </c>
      <c r="O64" s="145">
        <v>3</v>
      </c>
      <c r="P64" s="145">
        <v>3</v>
      </c>
      <c r="Q64" s="145">
        <v>3</v>
      </c>
      <c r="R64" s="145">
        <v>3</v>
      </c>
      <c r="S64" s="145">
        <v>4</v>
      </c>
      <c r="T64" s="145">
        <v>4</v>
      </c>
      <c r="U64" s="145">
        <v>4</v>
      </c>
      <c r="V64" s="145">
        <v>4</v>
      </c>
      <c r="W64" s="145">
        <v>4</v>
      </c>
      <c r="X64" s="145">
        <v>4</v>
      </c>
      <c r="Y64" s="145">
        <v>4</v>
      </c>
      <c r="Z64" s="145">
        <v>4</v>
      </c>
      <c r="AA64" s="145">
        <v>4</v>
      </c>
      <c r="AB64" s="145">
        <v>4</v>
      </c>
      <c r="AC64" s="145">
        <v>4</v>
      </c>
      <c r="AD64" s="145">
        <v>4</v>
      </c>
      <c r="AE64" s="145">
        <v>5</v>
      </c>
      <c r="AF64" s="145">
        <v>5</v>
      </c>
      <c r="AG64" s="145">
        <v>5</v>
      </c>
      <c r="AH64" s="145">
        <v>5</v>
      </c>
      <c r="AI64" s="145">
        <v>5</v>
      </c>
      <c r="AJ64" s="145">
        <v>5</v>
      </c>
      <c r="AK64" s="145">
        <v>5</v>
      </c>
      <c r="AL64" s="145">
        <v>5</v>
      </c>
      <c r="AM64" s="145">
        <v>5</v>
      </c>
      <c r="AN64" s="145">
        <v>6</v>
      </c>
      <c r="AO64" s="145">
        <v>6</v>
      </c>
      <c r="AP64" s="145">
        <v>6</v>
      </c>
      <c r="AQ64" s="145">
        <v>6</v>
      </c>
      <c r="AR64" s="145">
        <v>6</v>
      </c>
      <c r="AS64" s="145">
        <v>6</v>
      </c>
      <c r="AT64" s="145">
        <v>6</v>
      </c>
      <c r="AU64" s="145">
        <v>6</v>
      </c>
      <c r="AV64" s="145">
        <v>6</v>
      </c>
      <c r="AW64" s="145">
        <v>6</v>
      </c>
      <c r="AX64" s="145">
        <v>6</v>
      </c>
      <c r="AY64" s="145">
        <v>6</v>
      </c>
    </row>
    <row r="65" spans="1:51" s="110" customFormat="1" ht="16" thickBot="1" x14ac:dyDescent="0.25">
      <c r="A65" s="85"/>
      <c r="B65" s="85"/>
      <c r="C65" s="136" t="s">
        <v>131</v>
      </c>
      <c r="D65" s="137">
        <f>SUM(D59:D64)</f>
        <v>4</v>
      </c>
      <c r="E65" s="137">
        <f t="shared" ref="E65:AY65" si="79">SUM(E59:E64)</f>
        <v>4</v>
      </c>
      <c r="F65" s="137">
        <f t="shared" si="79"/>
        <v>4</v>
      </c>
      <c r="G65" s="137">
        <f t="shared" si="79"/>
        <v>4</v>
      </c>
      <c r="H65" s="137">
        <f t="shared" si="79"/>
        <v>4</v>
      </c>
      <c r="I65" s="137">
        <f t="shared" si="79"/>
        <v>8</v>
      </c>
      <c r="J65" s="137">
        <f t="shared" si="79"/>
        <v>8</v>
      </c>
      <c r="K65" s="137">
        <f t="shared" si="79"/>
        <v>9</v>
      </c>
      <c r="L65" s="137">
        <f t="shared" si="79"/>
        <v>9</v>
      </c>
      <c r="M65" s="137">
        <f t="shared" si="79"/>
        <v>10</v>
      </c>
      <c r="N65" s="137">
        <f t="shared" si="79"/>
        <v>10</v>
      </c>
      <c r="O65" s="137">
        <f t="shared" si="79"/>
        <v>10</v>
      </c>
      <c r="P65" s="137">
        <f t="shared" si="79"/>
        <v>11</v>
      </c>
      <c r="Q65" s="137">
        <f t="shared" si="79"/>
        <v>11</v>
      </c>
      <c r="R65" s="137">
        <f t="shared" si="79"/>
        <v>11</v>
      </c>
      <c r="S65" s="137">
        <f t="shared" si="79"/>
        <v>13</v>
      </c>
      <c r="T65" s="137">
        <f t="shared" si="79"/>
        <v>13</v>
      </c>
      <c r="U65" s="137">
        <f t="shared" si="79"/>
        <v>13</v>
      </c>
      <c r="V65" s="137">
        <f t="shared" si="79"/>
        <v>15</v>
      </c>
      <c r="W65" s="137">
        <f t="shared" si="79"/>
        <v>15</v>
      </c>
      <c r="X65" s="137">
        <f t="shared" si="79"/>
        <v>15</v>
      </c>
      <c r="Y65" s="137">
        <f t="shared" si="79"/>
        <v>15</v>
      </c>
      <c r="Z65" s="137">
        <f t="shared" si="79"/>
        <v>15</v>
      </c>
      <c r="AA65" s="137">
        <f t="shared" si="79"/>
        <v>15</v>
      </c>
      <c r="AB65" s="137">
        <f t="shared" si="79"/>
        <v>18</v>
      </c>
      <c r="AC65" s="137">
        <f t="shared" si="79"/>
        <v>18</v>
      </c>
      <c r="AD65" s="137">
        <f t="shared" si="79"/>
        <v>18</v>
      </c>
      <c r="AE65" s="137">
        <f t="shared" si="79"/>
        <v>20</v>
      </c>
      <c r="AF65" s="137">
        <f t="shared" si="79"/>
        <v>20</v>
      </c>
      <c r="AG65" s="137">
        <f t="shared" si="79"/>
        <v>20</v>
      </c>
      <c r="AH65" s="137">
        <f t="shared" si="79"/>
        <v>22</v>
      </c>
      <c r="AI65" s="137">
        <f t="shared" si="79"/>
        <v>22</v>
      </c>
      <c r="AJ65" s="137">
        <f t="shared" si="79"/>
        <v>22</v>
      </c>
      <c r="AK65" s="137">
        <f t="shared" si="79"/>
        <v>22</v>
      </c>
      <c r="AL65" s="137">
        <f t="shared" si="79"/>
        <v>22</v>
      </c>
      <c r="AM65" s="137">
        <f t="shared" si="79"/>
        <v>22</v>
      </c>
      <c r="AN65" s="137">
        <f t="shared" si="79"/>
        <v>23</v>
      </c>
      <c r="AO65" s="137">
        <f t="shared" si="79"/>
        <v>23</v>
      </c>
      <c r="AP65" s="137">
        <f t="shared" si="79"/>
        <v>23</v>
      </c>
      <c r="AQ65" s="137">
        <f t="shared" si="79"/>
        <v>24</v>
      </c>
      <c r="AR65" s="137">
        <f t="shared" si="79"/>
        <v>24</v>
      </c>
      <c r="AS65" s="137">
        <f t="shared" si="79"/>
        <v>24</v>
      </c>
      <c r="AT65" s="137">
        <f t="shared" si="79"/>
        <v>25</v>
      </c>
      <c r="AU65" s="137">
        <f t="shared" si="79"/>
        <v>25</v>
      </c>
      <c r="AV65" s="137">
        <f t="shared" si="79"/>
        <v>25</v>
      </c>
      <c r="AW65" s="137">
        <f t="shared" si="79"/>
        <v>25</v>
      </c>
      <c r="AX65" s="137">
        <f t="shared" si="79"/>
        <v>25</v>
      </c>
      <c r="AY65" s="137">
        <f t="shared" si="79"/>
        <v>25</v>
      </c>
    </row>
    <row r="66" spans="1:51" ht="16" thickTop="1" x14ac:dyDescent="0.2"/>
    <row r="67" spans="1:51" x14ac:dyDescent="0.2">
      <c r="C67" s="101" t="s">
        <v>28</v>
      </c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</row>
    <row r="68" spans="1:51" x14ac:dyDescent="0.2">
      <c r="A68" s="85"/>
      <c r="C68" s="139" t="s">
        <v>67</v>
      </c>
    </row>
    <row r="69" spans="1:51" x14ac:dyDescent="0.2">
      <c r="A69" s="85"/>
      <c r="C69" s="115" t="s">
        <v>133</v>
      </c>
      <c r="D69" s="71">
        <f t="shared" ref="D69:AY69" si="80">D$53*D83</f>
        <v>35</v>
      </c>
      <c r="E69" s="71">
        <f t="shared" si="80"/>
        <v>35</v>
      </c>
      <c r="F69" s="71">
        <f t="shared" si="80"/>
        <v>35</v>
      </c>
      <c r="G69" s="71">
        <f t="shared" si="80"/>
        <v>35</v>
      </c>
      <c r="H69" s="71">
        <f t="shared" si="80"/>
        <v>35</v>
      </c>
      <c r="I69" s="71">
        <f t="shared" si="80"/>
        <v>35</v>
      </c>
      <c r="J69" s="71">
        <f t="shared" si="80"/>
        <v>35</v>
      </c>
      <c r="K69" s="71">
        <f t="shared" si="80"/>
        <v>35</v>
      </c>
      <c r="L69" s="71">
        <f t="shared" si="80"/>
        <v>35</v>
      </c>
      <c r="M69" s="71">
        <f t="shared" si="80"/>
        <v>35</v>
      </c>
      <c r="N69" s="71">
        <f t="shared" si="80"/>
        <v>35</v>
      </c>
      <c r="O69" s="71">
        <f t="shared" si="80"/>
        <v>35</v>
      </c>
      <c r="P69" s="71">
        <f t="shared" si="80"/>
        <v>33</v>
      </c>
      <c r="Q69" s="71">
        <f t="shared" si="80"/>
        <v>33</v>
      </c>
      <c r="R69" s="71">
        <f t="shared" si="80"/>
        <v>33</v>
      </c>
      <c r="S69" s="71">
        <f t="shared" si="80"/>
        <v>33</v>
      </c>
      <c r="T69" s="71">
        <f t="shared" si="80"/>
        <v>33</v>
      </c>
      <c r="U69" s="71">
        <f t="shared" si="80"/>
        <v>33</v>
      </c>
      <c r="V69" s="71">
        <f t="shared" si="80"/>
        <v>33</v>
      </c>
      <c r="W69" s="71">
        <f t="shared" si="80"/>
        <v>33</v>
      </c>
      <c r="X69" s="71">
        <f t="shared" si="80"/>
        <v>33</v>
      </c>
      <c r="Y69" s="71">
        <f t="shared" si="80"/>
        <v>33</v>
      </c>
      <c r="Z69" s="71">
        <f t="shared" si="80"/>
        <v>33</v>
      </c>
      <c r="AA69" s="71">
        <f t="shared" si="80"/>
        <v>33</v>
      </c>
      <c r="AB69" s="71">
        <f t="shared" si="80"/>
        <v>30</v>
      </c>
      <c r="AC69" s="71">
        <f t="shared" si="80"/>
        <v>30</v>
      </c>
      <c r="AD69" s="71">
        <f t="shared" si="80"/>
        <v>30</v>
      </c>
      <c r="AE69" s="71">
        <f t="shared" si="80"/>
        <v>30</v>
      </c>
      <c r="AF69" s="71">
        <f t="shared" si="80"/>
        <v>30</v>
      </c>
      <c r="AG69" s="71">
        <f t="shared" si="80"/>
        <v>30</v>
      </c>
      <c r="AH69" s="71">
        <f t="shared" si="80"/>
        <v>30</v>
      </c>
      <c r="AI69" s="71">
        <f t="shared" si="80"/>
        <v>30</v>
      </c>
      <c r="AJ69" s="71">
        <f t="shared" si="80"/>
        <v>30</v>
      </c>
      <c r="AK69" s="71">
        <f t="shared" si="80"/>
        <v>30</v>
      </c>
      <c r="AL69" s="71">
        <f t="shared" si="80"/>
        <v>30</v>
      </c>
      <c r="AM69" s="71">
        <f t="shared" si="80"/>
        <v>30</v>
      </c>
      <c r="AN69" s="71">
        <f t="shared" si="80"/>
        <v>32.5</v>
      </c>
      <c r="AO69" s="71">
        <f t="shared" si="80"/>
        <v>32.5</v>
      </c>
      <c r="AP69" s="71">
        <f t="shared" si="80"/>
        <v>32.5</v>
      </c>
      <c r="AQ69" s="71">
        <f t="shared" si="80"/>
        <v>32.5</v>
      </c>
      <c r="AR69" s="71">
        <f t="shared" si="80"/>
        <v>32.5</v>
      </c>
      <c r="AS69" s="71">
        <f t="shared" si="80"/>
        <v>32.5</v>
      </c>
      <c r="AT69" s="71">
        <f t="shared" si="80"/>
        <v>32.5</v>
      </c>
      <c r="AU69" s="71">
        <f t="shared" si="80"/>
        <v>32.5</v>
      </c>
      <c r="AV69" s="71">
        <f t="shared" si="80"/>
        <v>32.5</v>
      </c>
      <c r="AW69" s="71">
        <f t="shared" si="80"/>
        <v>32.5</v>
      </c>
      <c r="AX69" s="71">
        <f t="shared" si="80"/>
        <v>32.5</v>
      </c>
      <c r="AY69" s="71">
        <f t="shared" si="80"/>
        <v>32.5</v>
      </c>
    </row>
    <row r="70" spans="1:51" x14ac:dyDescent="0.2">
      <c r="A70" s="85"/>
      <c r="C70" s="115" t="s">
        <v>83</v>
      </c>
      <c r="D70" s="71">
        <f t="shared" ref="D70:AY70" si="81">D$53*D84</f>
        <v>7.5</v>
      </c>
      <c r="E70" s="71">
        <f t="shared" si="81"/>
        <v>7.5</v>
      </c>
      <c r="F70" s="71">
        <f t="shared" si="81"/>
        <v>7.5</v>
      </c>
      <c r="G70" s="71">
        <f t="shared" si="81"/>
        <v>7.5</v>
      </c>
      <c r="H70" s="71">
        <f t="shared" si="81"/>
        <v>7.5</v>
      </c>
      <c r="I70" s="71">
        <f t="shared" si="81"/>
        <v>7.5</v>
      </c>
      <c r="J70" s="71">
        <f t="shared" si="81"/>
        <v>7.5</v>
      </c>
      <c r="K70" s="71">
        <f t="shared" si="81"/>
        <v>7.5</v>
      </c>
      <c r="L70" s="71">
        <f t="shared" si="81"/>
        <v>7.5</v>
      </c>
      <c r="M70" s="71">
        <f t="shared" si="81"/>
        <v>7.5</v>
      </c>
      <c r="N70" s="71">
        <f t="shared" si="81"/>
        <v>7.5</v>
      </c>
      <c r="O70" s="71">
        <f t="shared" si="81"/>
        <v>7.5</v>
      </c>
      <c r="P70" s="71">
        <f t="shared" si="81"/>
        <v>8.25</v>
      </c>
      <c r="Q70" s="71">
        <f t="shared" si="81"/>
        <v>8.25</v>
      </c>
      <c r="R70" s="71">
        <f t="shared" si="81"/>
        <v>8.25</v>
      </c>
      <c r="S70" s="71">
        <f t="shared" si="81"/>
        <v>8.25</v>
      </c>
      <c r="T70" s="71">
        <f t="shared" si="81"/>
        <v>8.25</v>
      </c>
      <c r="U70" s="71">
        <f t="shared" si="81"/>
        <v>8.25</v>
      </c>
      <c r="V70" s="71">
        <f t="shared" si="81"/>
        <v>5.5</v>
      </c>
      <c r="W70" s="71">
        <f t="shared" si="81"/>
        <v>5.5</v>
      </c>
      <c r="X70" s="71">
        <f t="shared" si="81"/>
        <v>5.5</v>
      </c>
      <c r="Y70" s="71">
        <f t="shared" si="81"/>
        <v>5.5</v>
      </c>
      <c r="Z70" s="71">
        <f t="shared" si="81"/>
        <v>5.5</v>
      </c>
      <c r="AA70" s="71">
        <f t="shared" si="81"/>
        <v>5.5</v>
      </c>
      <c r="AB70" s="71">
        <f t="shared" si="81"/>
        <v>6</v>
      </c>
      <c r="AC70" s="71">
        <f t="shared" si="81"/>
        <v>6</v>
      </c>
      <c r="AD70" s="71">
        <f t="shared" si="81"/>
        <v>6</v>
      </c>
      <c r="AE70" s="71">
        <f t="shared" si="81"/>
        <v>6</v>
      </c>
      <c r="AF70" s="71">
        <f t="shared" si="81"/>
        <v>6</v>
      </c>
      <c r="AG70" s="71">
        <f t="shared" si="81"/>
        <v>6</v>
      </c>
      <c r="AH70" s="71">
        <f t="shared" si="81"/>
        <v>6</v>
      </c>
      <c r="AI70" s="71">
        <f t="shared" si="81"/>
        <v>6</v>
      </c>
      <c r="AJ70" s="71">
        <f t="shared" si="81"/>
        <v>6</v>
      </c>
      <c r="AK70" s="71">
        <f t="shared" si="81"/>
        <v>6</v>
      </c>
      <c r="AL70" s="71">
        <f t="shared" si="81"/>
        <v>6</v>
      </c>
      <c r="AM70" s="71">
        <f t="shared" si="81"/>
        <v>6</v>
      </c>
      <c r="AN70" s="71">
        <f t="shared" si="81"/>
        <v>6.5</v>
      </c>
      <c r="AO70" s="71">
        <f t="shared" si="81"/>
        <v>6.5</v>
      </c>
      <c r="AP70" s="71">
        <f t="shared" si="81"/>
        <v>6.5</v>
      </c>
      <c r="AQ70" s="71">
        <f t="shared" si="81"/>
        <v>6.5</v>
      </c>
      <c r="AR70" s="71">
        <f t="shared" si="81"/>
        <v>6.5</v>
      </c>
      <c r="AS70" s="71">
        <f t="shared" si="81"/>
        <v>6.5</v>
      </c>
      <c r="AT70" s="71">
        <f t="shared" si="81"/>
        <v>6.5</v>
      </c>
      <c r="AU70" s="71">
        <f t="shared" si="81"/>
        <v>6.5</v>
      </c>
      <c r="AV70" s="71">
        <f t="shared" si="81"/>
        <v>6.5</v>
      </c>
      <c r="AW70" s="71">
        <f t="shared" si="81"/>
        <v>6.5</v>
      </c>
      <c r="AX70" s="71">
        <f t="shared" si="81"/>
        <v>6.5</v>
      </c>
      <c r="AY70" s="71">
        <f t="shared" si="81"/>
        <v>6.5</v>
      </c>
    </row>
    <row r="71" spans="1:51" x14ac:dyDescent="0.2">
      <c r="A71" s="85"/>
      <c r="C71" s="115" t="s">
        <v>82</v>
      </c>
      <c r="D71" s="71">
        <f t="shared" ref="D71:AY71" si="82">D$53*D85</f>
        <v>7.5</v>
      </c>
      <c r="E71" s="71">
        <f t="shared" si="82"/>
        <v>7.5</v>
      </c>
      <c r="F71" s="71">
        <f t="shared" si="82"/>
        <v>7.5</v>
      </c>
      <c r="G71" s="71">
        <f t="shared" si="82"/>
        <v>7.0000000000000009</v>
      </c>
      <c r="H71" s="71">
        <f t="shared" si="82"/>
        <v>7.0000000000000009</v>
      </c>
      <c r="I71" s="71">
        <f t="shared" si="82"/>
        <v>7.0000000000000009</v>
      </c>
      <c r="J71" s="71">
        <f t="shared" si="82"/>
        <v>6.5</v>
      </c>
      <c r="K71" s="71">
        <f t="shared" si="82"/>
        <v>6.5</v>
      </c>
      <c r="L71" s="71">
        <f t="shared" si="82"/>
        <v>6.5</v>
      </c>
      <c r="M71" s="71">
        <f t="shared" si="82"/>
        <v>6</v>
      </c>
      <c r="N71" s="71">
        <f t="shared" si="82"/>
        <v>6</v>
      </c>
      <c r="O71" s="71">
        <f t="shared" si="82"/>
        <v>6</v>
      </c>
      <c r="P71" s="71">
        <f t="shared" si="82"/>
        <v>6.05</v>
      </c>
      <c r="Q71" s="71">
        <f t="shared" si="82"/>
        <v>6.05</v>
      </c>
      <c r="R71" s="71">
        <f t="shared" si="82"/>
        <v>6.05</v>
      </c>
      <c r="S71" s="71">
        <f t="shared" si="82"/>
        <v>5.5</v>
      </c>
      <c r="T71" s="71">
        <f t="shared" si="82"/>
        <v>5.5</v>
      </c>
      <c r="U71" s="71">
        <f t="shared" si="82"/>
        <v>5.5</v>
      </c>
      <c r="V71" s="71">
        <f t="shared" si="82"/>
        <v>5.5</v>
      </c>
      <c r="W71" s="71">
        <f t="shared" si="82"/>
        <v>5.5</v>
      </c>
      <c r="X71" s="71">
        <f t="shared" si="82"/>
        <v>5.5</v>
      </c>
      <c r="Y71" s="71">
        <f t="shared" si="82"/>
        <v>5.5</v>
      </c>
      <c r="Z71" s="71">
        <f t="shared" si="82"/>
        <v>5.5</v>
      </c>
      <c r="AA71" s="71">
        <f t="shared" si="82"/>
        <v>5.5</v>
      </c>
      <c r="AB71" s="71">
        <f t="shared" si="82"/>
        <v>6</v>
      </c>
      <c r="AC71" s="71">
        <f t="shared" si="82"/>
        <v>6</v>
      </c>
      <c r="AD71" s="71">
        <f t="shared" si="82"/>
        <v>6</v>
      </c>
      <c r="AE71" s="71">
        <f t="shared" si="82"/>
        <v>6</v>
      </c>
      <c r="AF71" s="71">
        <f t="shared" si="82"/>
        <v>6</v>
      </c>
      <c r="AG71" s="71">
        <f t="shared" si="82"/>
        <v>6</v>
      </c>
      <c r="AH71" s="71">
        <f t="shared" si="82"/>
        <v>6</v>
      </c>
      <c r="AI71" s="71">
        <f t="shared" si="82"/>
        <v>6</v>
      </c>
      <c r="AJ71" s="71">
        <f t="shared" si="82"/>
        <v>6</v>
      </c>
      <c r="AK71" s="71">
        <f t="shared" si="82"/>
        <v>6</v>
      </c>
      <c r="AL71" s="71">
        <f t="shared" si="82"/>
        <v>6</v>
      </c>
      <c r="AM71" s="71">
        <f t="shared" si="82"/>
        <v>6</v>
      </c>
      <c r="AN71" s="71">
        <f t="shared" si="82"/>
        <v>6.5</v>
      </c>
      <c r="AO71" s="71">
        <f t="shared" si="82"/>
        <v>6.5</v>
      </c>
      <c r="AP71" s="71">
        <f t="shared" si="82"/>
        <v>6.5</v>
      </c>
      <c r="AQ71" s="71">
        <f t="shared" si="82"/>
        <v>6.5</v>
      </c>
      <c r="AR71" s="71">
        <f t="shared" si="82"/>
        <v>6.5</v>
      </c>
      <c r="AS71" s="71">
        <f t="shared" si="82"/>
        <v>6.5</v>
      </c>
      <c r="AT71" s="71">
        <f t="shared" si="82"/>
        <v>6.5</v>
      </c>
      <c r="AU71" s="71">
        <f t="shared" si="82"/>
        <v>6.5</v>
      </c>
      <c r="AV71" s="71">
        <f t="shared" si="82"/>
        <v>6.5</v>
      </c>
      <c r="AW71" s="71">
        <f t="shared" si="82"/>
        <v>6.5</v>
      </c>
      <c r="AX71" s="71">
        <f t="shared" si="82"/>
        <v>6.5</v>
      </c>
      <c r="AY71" s="71">
        <f t="shared" si="82"/>
        <v>6.5</v>
      </c>
    </row>
    <row r="72" spans="1:51" x14ac:dyDescent="0.2">
      <c r="A72" s="85"/>
      <c r="C72" s="115" t="s">
        <v>1</v>
      </c>
      <c r="D72" s="71">
        <f t="shared" ref="D72:AY72" si="83">D$53*D86</f>
        <v>3</v>
      </c>
      <c r="E72" s="71">
        <f t="shared" si="83"/>
        <v>3</v>
      </c>
      <c r="F72" s="71">
        <f t="shared" si="83"/>
        <v>3</v>
      </c>
      <c r="G72" s="71">
        <f t="shared" si="83"/>
        <v>3</v>
      </c>
      <c r="H72" s="71">
        <f t="shared" si="83"/>
        <v>3</v>
      </c>
      <c r="I72" s="71">
        <f t="shared" si="83"/>
        <v>3</v>
      </c>
      <c r="J72" s="71">
        <f t="shared" si="83"/>
        <v>3</v>
      </c>
      <c r="K72" s="71">
        <f t="shared" si="83"/>
        <v>3</v>
      </c>
      <c r="L72" s="71">
        <f t="shared" si="83"/>
        <v>3</v>
      </c>
      <c r="M72" s="71">
        <f t="shared" si="83"/>
        <v>3</v>
      </c>
      <c r="N72" s="71">
        <f t="shared" si="83"/>
        <v>3</v>
      </c>
      <c r="O72" s="71">
        <f t="shared" si="83"/>
        <v>3</v>
      </c>
      <c r="P72" s="71">
        <f t="shared" si="83"/>
        <v>3.3</v>
      </c>
      <c r="Q72" s="71">
        <f t="shared" si="83"/>
        <v>3.3</v>
      </c>
      <c r="R72" s="71">
        <f t="shared" si="83"/>
        <v>3.3</v>
      </c>
      <c r="S72" s="71">
        <f t="shared" si="83"/>
        <v>3.3</v>
      </c>
      <c r="T72" s="71">
        <f t="shared" si="83"/>
        <v>3.3</v>
      </c>
      <c r="U72" s="71">
        <f t="shared" si="83"/>
        <v>3.3</v>
      </c>
      <c r="V72" s="71">
        <f t="shared" si="83"/>
        <v>3.3</v>
      </c>
      <c r="W72" s="71">
        <f t="shared" si="83"/>
        <v>3.3</v>
      </c>
      <c r="X72" s="71">
        <f t="shared" si="83"/>
        <v>3.3</v>
      </c>
      <c r="Y72" s="71">
        <f t="shared" si="83"/>
        <v>3.3</v>
      </c>
      <c r="Z72" s="71">
        <f t="shared" si="83"/>
        <v>3.3</v>
      </c>
      <c r="AA72" s="71">
        <f t="shared" si="83"/>
        <v>3.3</v>
      </c>
      <c r="AB72" s="71">
        <f t="shared" si="83"/>
        <v>3.5999999999999996</v>
      </c>
      <c r="AC72" s="71">
        <f t="shared" si="83"/>
        <v>3.5999999999999996</v>
      </c>
      <c r="AD72" s="71">
        <f t="shared" si="83"/>
        <v>3.5999999999999996</v>
      </c>
      <c r="AE72" s="71">
        <f t="shared" si="83"/>
        <v>3.5999999999999996</v>
      </c>
      <c r="AF72" s="71">
        <f t="shared" si="83"/>
        <v>3.5999999999999996</v>
      </c>
      <c r="AG72" s="71">
        <f t="shared" si="83"/>
        <v>3.5999999999999996</v>
      </c>
      <c r="AH72" s="71">
        <f t="shared" si="83"/>
        <v>3.5999999999999996</v>
      </c>
      <c r="AI72" s="71">
        <f t="shared" si="83"/>
        <v>3.5999999999999996</v>
      </c>
      <c r="AJ72" s="71">
        <f t="shared" si="83"/>
        <v>3.5999999999999996</v>
      </c>
      <c r="AK72" s="71">
        <f t="shared" si="83"/>
        <v>3.5999999999999996</v>
      </c>
      <c r="AL72" s="71">
        <f t="shared" si="83"/>
        <v>3.5999999999999996</v>
      </c>
      <c r="AM72" s="71">
        <f t="shared" si="83"/>
        <v>3.5999999999999996</v>
      </c>
      <c r="AN72" s="71">
        <f t="shared" si="83"/>
        <v>3.9</v>
      </c>
      <c r="AO72" s="71">
        <f t="shared" si="83"/>
        <v>3.9</v>
      </c>
      <c r="AP72" s="71">
        <f t="shared" si="83"/>
        <v>3.9</v>
      </c>
      <c r="AQ72" s="71">
        <f t="shared" si="83"/>
        <v>3.9</v>
      </c>
      <c r="AR72" s="71">
        <f t="shared" si="83"/>
        <v>3.9</v>
      </c>
      <c r="AS72" s="71">
        <f t="shared" si="83"/>
        <v>3.9</v>
      </c>
      <c r="AT72" s="71">
        <f t="shared" si="83"/>
        <v>3.9</v>
      </c>
      <c r="AU72" s="71">
        <f t="shared" si="83"/>
        <v>3.9</v>
      </c>
      <c r="AV72" s="71">
        <f t="shared" si="83"/>
        <v>3.9</v>
      </c>
      <c r="AW72" s="71">
        <f t="shared" si="83"/>
        <v>3.9</v>
      </c>
      <c r="AX72" s="71">
        <f t="shared" si="83"/>
        <v>3.9</v>
      </c>
      <c r="AY72" s="71">
        <f t="shared" si="83"/>
        <v>3.9</v>
      </c>
    </row>
    <row r="73" spans="1:51" x14ac:dyDescent="0.2">
      <c r="A73" s="85"/>
      <c r="C73" s="115" t="s">
        <v>140</v>
      </c>
      <c r="D73" s="71">
        <f t="shared" ref="D73:AY73" si="84">D$53*D87</f>
        <v>6</v>
      </c>
      <c r="E73" s="71">
        <f t="shared" si="84"/>
        <v>6</v>
      </c>
      <c r="F73" s="71">
        <f t="shared" si="84"/>
        <v>6</v>
      </c>
      <c r="G73" s="71">
        <f t="shared" si="84"/>
        <v>5.5</v>
      </c>
      <c r="H73" s="71">
        <f t="shared" si="84"/>
        <v>5.5</v>
      </c>
      <c r="I73" s="71">
        <f t="shared" si="84"/>
        <v>5.5</v>
      </c>
      <c r="J73" s="71">
        <f t="shared" si="84"/>
        <v>5</v>
      </c>
      <c r="K73" s="71">
        <f t="shared" si="84"/>
        <v>5</v>
      </c>
      <c r="L73" s="71">
        <f t="shared" si="84"/>
        <v>5</v>
      </c>
      <c r="M73" s="71">
        <f t="shared" si="84"/>
        <v>4.5</v>
      </c>
      <c r="N73" s="71">
        <f t="shared" si="84"/>
        <v>4.5</v>
      </c>
      <c r="O73" s="71">
        <f t="shared" si="84"/>
        <v>4.5</v>
      </c>
      <c r="P73" s="71">
        <f t="shared" si="84"/>
        <v>4.4000000000000004</v>
      </c>
      <c r="Q73" s="71">
        <f t="shared" si="84"/>
        <v>4.4000000000000004</v>
      </c>
      <c r="R73" s="71">
        <f t="shared" si="84"/>
        <v>4.4000000000000004</v>
      </c>
      <c r="S73" s="71">
        <f t="shared" si="84"/>
        <v>3.8500000000000005</v>
      </c>
      <c r="T73" s="71">
        <f t="shared" si="84"/>
        <v>3.8500000000000005</v>
      </c>
      <c r="U73" s="71">
        <f t="shared" si="84"/>
        <v>3.8500000000000005</v>
      </c>
      <c r="V73" s="71">
        <f t="shared" si="84"/>
        <v>3.3</v>
      </c>
      <c r="W73" s="71">
        <f t="shared" si="84"/>
        <v>3.3</v>
      </c>
      <c r="X73" s="71">
        <f t="shared" si="84"/>
        <v>3.3</v>
      </c>
      <c r="Y73" s="71">
        <f t="shared" si="84"/>
        <v>2.75</v>
      </c>
      <c r="Z73" s="71">
        <f t="shared" si="84"/>
        <v>2.75</v>
      </c>
      <c r="AA73" s="71">
        <f t="shared" si="84"/>
        <v>2.75</v>
      </c>
      <c r="AB73" s="71">
        <f t="shared" si="84"/>
        <v>2.4</v>
      </c>
      <c r="AC73" s="71">
        <f t="shared" si="84"/>
        <v>2.4</v>
      </c>
      <c r="AD73" s="71">
        <f t="shared" si="84"/>
        <v>2.4</v>
      </c>
      <c r="AE73" s="71">
        <f t="shared" si="84"/>
        <v>2.4</v>
      </c>
      <c r="AF73" s="71">
        <f t="shared" si="84"/>
        <v>2.4</v>
      </c>
      <c r="AG73" s="71">
        <f t="shared" si="84"/>
        <v>2.4</v>
      </c>
      <c r="AH73" s="71">
        <f t="shared" si="84"/>
        <v>2.4</v>
      </c>
      <c r="AI73" s="71">
        <f t="shared" si="84"/>
        <v>2.4</v>
      </c>
      <c r="AJ73" s="71">
        <f t="shared" si="84"/>
        <v>2.4</v>
      </c>
      <c r="AK73" s="71">
        <f t="shared" si="84"/>
        <v>2.4</v>
      </c>
      <c r="AL73" s="71">
        <f t="shared" si="84"/>
        <v>2.4</v>
      </c>
      <c r="AM73" s="71">
        <f t="shared" si="84"/>
        <v>2.4</v>
      </c>
      <c r="AN73" s="71">
        <f t="shared" si="84"/>
        <v>2.6</v>
      </c>
      <c r="AO73" s="71">
        <f t="shared" si="84"/>
        <v>2.6</v>
      </c>
      <c r="AP73" s="71">
        <f t="shared" si="84"/>
        <v>2.6</v>
      </c>
      <c r="AQ73" s="71">
        <f t="shared" si="84"/>
        <v>2.6</v>
      </c>
      <c r="AR73" s="71">
        <f t="shared" si="84"/>
        <v>2.6</v>
      </c>
      <c r="AS73" s="71">
        <f t="shared" si="84"/>
        <v>2.6</v>
      </c>
      <c r="AT73" s="71">
        <f t="shared" si="84"/>
        <v>2.6</v>
      </c>
      <c r="AU73" s="71">
        <f t="shared" si="84"/>
        <v>2.6</v>
      </c>
      <c r="AV73" s="71">
        <f t="shared" si="84"/>
        <v>2.6</v>
      </c>
      <c r="AW73" s="71">
        <f t="shared" si="84"/>
        <v>2.6</v>
      </c>
      <c r="AX73" s="71">
        <f t="shared" si="84"/>
        <v>2.6</v>
      </c>
      <c r="AY73" s="71">
        <f t="shared" si="84"/>
        <v>2.6</v>
      </c>
    </row>
    <row r="74" spans="1:51" x14ac:dyDescent="0.2">
      <c r="A74" s="85"/>
      <c r="C74" s="118" t="s">
        <v>141</v>
      </c>
      <c r="D74" s="140">
        <f t="shared" ref="D74:AY74" si="85">D$53*D88</f>
        <v>7.5</v>
      </c>
      <c r="E74" s="140">
        <f t="shared" si="85"/>
        <v>7.5</v>
      </c>
      <c r="F74" s="140">
        <f t="shared" si="85"/>
        <v>7.5</v>
      </c>
      <c r="G74" s="140">
        <f t="shared" si="85"/>
        <v>7.5</v>
      </c>
      <c r="H74" s="140">
        <f t="shared" si="85"/>
        <v>7.5</v>
      </c>
      <c r="I74" s="140">
        <f t="shared" si="85"/>
        <v>7.5</v>
      </c>
      <c r="J74" s="140">
        <f t="shared" si="85"/>
        <v>7.5</v>
      </c>
      <c r="K74" s="140">
        <f t="shared" si="85"/>
        <v>7.5</v>
      </c>
      <c r="L74" s="140">
        <f t="shared" si="85"/>
        <v>7.5</v>
      </c>
      <c r="M74" s="140">
        <f t="shared" si="85"/>
        <v>5</v>
      </c>
      <c r="N74" s="140">
        <f t="shared" si="85"/>
        <v>5</v>
      </c>
      <c r="O74" s="140">
        <f t="shared" si="85"/>
        <v>5</v>
      </c>
      <c r="P74" s="140">
        <f t="shared" si="85"/>
        <v>5.5</v>
      </c>
      <c r="Q74" s="140">
        <f t="shared" si="85"/>
        <v>5.5</v>
      </c>
      <c r="R74" s="140">
        <f t="shared" si="85"/>
        <v>5.5</v>
      </c>
      <c r="S74" s="140">
        <f t="shared" si="85"/>
        <v>5.5</v>
      </c>
      <c r="T74" s="140">
        <f t="shared" si="85"/>
        <v>5.5</v>
      </c>
      <c r="U74" s="140">
        <f t="shared" si="85"/>
        <v>5.5</v>
      </c>
      <c r="V74" s="140">
        <f t="shared" si="85"/>
        <v>5.5</v>
      </c>
      <c r="W74" s="140">
        <f t="shared" si="85"/>
        <v>5.5</v>
      </c>
      <c r="X74" s="140">
        <f t="shared" si="85"/>
        <v>5.5</v>
      </c>
      <c r="Y74" s="140">
        <f t="shared" si="85"/>
        <v>5.5</v>
      </c>
      <c r="Z74" s="140">
        <f t="shared" si="85"/>
        <v>5.5</v>
      </c>
      <c r="AA74" s="140">
        <f t="shared" si="85"/>
        <v>5.5</v>
      </c>
      <c r="AB74" s="140">
        <f t="shared" si="85"/>
        <v>6</v>
      </c>
      <c r="AC74" s="140">
        <f t="shared" si="85"/>
        <v>6</v>
      </c>
      <c r="AD74" s="140">
        <f t="shared" si="85"/>
        <v>6</v>
      </c>
      <c r="AE74" s="140">
        <f t="shared" si="85"/>
        <v>6</v>
      </c>
      <c r="AF74" s="140">
        <f t="shared" si="85"/>
        <v>6</v>
      </c>
      <c r="AG74" s="140">
        <f t="shared" si="85"/>
        <v>6</v>
      </c>
      <c r="AH74" s="140">
        <f t="shared" si="85"/>
        <v>6</v>
      </c>
      <c r="AI74" s="140">
        <f t="shared" si="85"/>
        <v>6</v>
      </c>
      <c r="AJ74" s="140">
        <f t="shared" si="85"/>
        <v>6</v>
      </c>
      <c r="AK74" s="140">
        <f t="shared" si="85"/>
        <v>6</v>
      </c>
      <c r="AL74" s="140">
        <f t="shared" si="85"/>
        <v>6</v>
      </c>
      <c r="AM74" s="140">
        <f t="shared" si="85"/>
        <v>6</v>
      </c>
      <c r="AN74" s="140">
        <f t="shared" si="85"/>
        <v>6.5</v>
      </c>
      <c r="AO74" s="140">
        <f t="shared" si="85"/>
        <v>6.5</v>
      </c>
      <c r="AP74" s="140">
        <f t="shared" si="85"/>
        <v>6.5</v>
      </c>
      <c r="AQ74" s="140">
        <f t="shared" si="85"/>
        <v>6.5</v>
      </c>
      <c r="AR74" s="140">
        <f t="shared" si="85"/>
        <v>6.5</v>
      </c>
      <c r="AS74" s="140">
        <f t="shared" si="85"/>
        <v>6.5</v>
      </c>
      <c r="AT74" s="140">
        <f t="shared" si="85"/>
        <v>6.5</v>
      </c>
      <c r="AU74" s="140">
        <f t="shared" si="85"/>
        <v>6.5</v>
      </c>
      <c r="AV74" s="140">
        <f t="shared" si="85"/>
        <v>6.5</v>
      </c>
      <c r="AW74" s="140">
        <f t="shared" si="85"/>
        <v>6.5</v>
      </c>
      <c r="AX74" s="140">
        <f t="shared" si="85"/>
        <v>6.5</v>
      </c>
      <c r="AY74" s="140">
        <f t="shared" si="85"/>
        <v>6.5</v>
      </c>
    </row>
    <row r="75" spans="1:51" x14ac:dyDescent="0.2">
      <c r="A75" s="85"/>
      <c r="C75" s="141" t="s">
        <v>54</v>
      </c>
      <c r="D75" s="142">
        <f>SUM(D69:D74)</f>
        <v>66.5</v>
      </c>
      <c r="E75" s="142">
        <f t="shared" ref="E75:AY75" si="86">SUM(E69:E74)</f>
        <v>66.5</v>
      </c>
      <c r="F75" s="142">
        <f t="shared" si="86"/>
        <v>66.5</v>
      </c>
      <c r="G75" s="142">
        <f t="shared" si="86"/>
        <v>65.5</v>
      </c>
      <c r="H75" s="142">
        <f t="shared" si="86"/>
        <v>65.5</v>
      </c>
      <c r="I75" s="142">
        <f t="shared" si="86"/>
        <v>65.5</v>
      </c>
      <c r="J75" s="142">
        <f t="shared" si="86"/>
        <v>64.5</v>
      </c>
      <c r="K75" s="142">
        <f t="shared" si="86"/>
        <v>64.5</v>
      </c>
      <c r="L75" s="142">
        <f t="shared" si="86"/>
        <v>64.5</v>
      </c>
      <c r="M75" s="142">
        <f t="shared" si="86"/>
        <v>61</v>
      </c>
      <c r="N75" s="142">
        <f t="shared" si="86"/>
        <v>61</v>
      </c>
      <c r="O75" s="142">
        <f t="shared" si="86"/>
        <v>61</v>
      </c>
      <c r="P75" s="142">
        <f t="shared" si="86"/>
        <v>60.499999999999993</v>
      </c>
      <c r="Q75" s="142">
        <f t="shared" si="86"/>
        <v>60.499999999999993</v>
      </c>
      <c r="R75" s="142">
        <f t="shared" si="86"/>
        <v>60.499999999999993</v>
      </c>
      <c r="S75" s="142">
        <f t="shared" si="86"/>
        <v>59.4</v>
      </c>
      <c r="T75" s="142">
        <f t="shared" si="86"/>
        <v>59.4</v>
      </c>
      <c r="U75" s="142">
        <f t="shared" si="86"/>
        <v>59.4</v>
      </c>
      <c r="V75" s="142">
        <f t="shared" si="86"/>
        <v>56.099999999999994</v>
      </c>
      <c r="W75" s="142">
        <f t="shared" si="86"/>
        <v>56.099999999999994</v>
      </c>
      <c r="X75" s="142">
        <f t="shared" si="86"/>
        <v>56.099999999999994</v>
      </c>
      <c r="Y75" s="142">
        <f t="shared" si="86"/>
        <v>55.55</v>
      </c>
      <c r="Z75" s="142">
        <f t="shared" si="86"/>
        <v>55.55</v>
      </c>
      <c r="AA75" s="142">
        <f t="shared" si="86"/>
        <v>55.55</v>
      </c>
      <c r="AB75" s="142">
        <f t="shared" si="86"/>
        <v>54</v>
      </c>
      <c r="AC75" s="142">
        <f t="shared" si="86"/>
        <v>54</v>
      </c>
      <c r="AD75" s="142">
        <f t="shared" si="86"/>
        <v>54</v>
      </c>
      <c r="AE75" s="142">
        <f t="shared" si="86"/>
        <v>54</v>
      </c>
      <c r="AF75" s="142">
        <f t="shared" si="86"/>
        <v>54</v>
      </c>
      <c r="AG75" s="142">
        <f t="shared" si="86"/>
        <v>54</v>
      </c>
      <c r="AH75" s="142">
        <f t="shared" si="86"/>
        <v>54</v>
      </c>
      <c r="AI75" s="142">
        <f t="shared" si="86"/>
        <v>54</v>
      </c>
      <c r="AJ75" s="142">
        <f t="shared" si="86"/>
        <v>54</v>
      </c>
      <c r="AK75" s="142">
        <f t="shared" si="86"/>
        <v>54</v>
      </c>
      <c r="AL75" s="142">
        <f t="shared" si="86"/>
        <v>54</v>
      </c>
      <c r="AM75" s="142">
        <f t="shared" si="86"/>
        <v>54</v>
      </c>
      <c r="AN75" s="142">
        <f t="shared" si="86"/>
        <v>58.5</v>
      </c>
      <c r="AO75" s="142">
        <f t="shared" si="86"/>
        <v>58.5</v>
      </c>
      <c r="AP75" s="142">
        <f t="shared" si="86"/>
        <v>58.5</v>
      </c>
      <c r="AQ75" s="142">
        <f t="shared" si="86"/>
        <v>58.5</v>
      </c>
      <c r="AR75" s="142">
        <f t="shared" si="86"/>
        <v>58.5</v>
      </c>
      <c r="AS75" s="142">
        <f t="shared" si="86"/>
        <v>58.5</v>
      </c>
      <c r="AT75" s="142">
        <f t="shared" si="86"/>
        <v>58.5</v>
      </c>
      <c r="AU75" s="142">
        <f t="shared" si="86"/>
        <v>58.5</v>
      </c>
      <c r="AV75" s="142">
        <f t="shared" si="86"/>
        <v>58.5</v>
      </c>
      <c r="AW75" s="142">
        <f t="shared" si="86"/>
        <v>58.5</v>
      </c>
      <c r="AX75" s="142">
        <f t="shared" si="86"/>
        <v>58.5</v>
      </c>
      <c r="AY75" s="142">
        <f t="shared" si="86"/>
        <v>58.5</v>
      </c>
    </row>
    <row r="76" spans="1:51" x14ac:dyDescent="0.2">
      <c r="A76" s="85"/>
      <c r="C76" s="82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</row>
    <row r="77" spans="1:51" x14ac:dyDescent="0.2">
      <c r="A77" s="85"/>
      <c r="C77" s="143" t="s">
        <v>84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</row>
    <row r="78" spans="1:51" x14ac:dyDescent="0.2">
      <c r="A78" s="85"/>
      <c r="C78" s="115" t="s">
        <v>0</v>
      </c>
      <c r="D78" s="71">
        <f t="shared" ref="D78:AY78" si="87">D$53*D92</f>
        <v>7.5</v>
      </c>
      <c r="E78" s="71">
        <f t="shared" si="87"/>
        <v>7.5</v>
      </c>
      <c r="F78" s="71">
        <f t="shared" si="87"/>
        <v>7.5</v>
      </c>
      <c r="G78" s="71">
        <f t="shared" si="87"/>
        <v>7.0000000000000009</v>
      </c>
      <c r="H78" s="71">
        <f t="shared" si="87"/>
        <v>7.0000000000000009</v>
      </c>
      <c r="I78" s="71">
        <f t="shared" si="87"/>
        <v>7.0000000000000009</v>
      </c>
      <c r="J78" s="71">
        <f t="shared" si="87"/>
        <v>6.5</v>
      </c>
      <c r="K78" s="71">
        <f t="shared" si="87"/>
        <v>6.5</v>
      </c>
      <c r="L78" s="71">
        <f t="shared" si="87"/>
        <v>6.5</v>
      </c>
      <c r="M78" s="71">
        <f t="shared" si="87"/>
        <v>6</v>
      </c>
      <c r="N78" s="71">
        <f t="shared" si="87"/>
        <v>6</v>
      </c>
      <c r="O78" s="71">
        <f t="shared" si="87"/>
        <v>6</v>
      </c>
      <c r="P78" s="71">
        <f t="shared" si="87"/>
        <v>6.05</v>
      </c>
      <c r="Q78" s="71">
        <f t="shared" si="87"/>
        <v>6.05</v>
      </c>
      <c r="R78" s="71">
        <f t="shared" si="87"/>
        <v>6.05</v>
      </c>
      <c r="S78" s="71">
        <f t="shared" si="87"/>
        <v>5.5</v>
      </c>
      <c r="T78" s="71">
        <f t="shared" si="87"/>
        <v>5.5</v>
      </c>
      <c r="U78" s="71">
        <f t="shared" si="87"/>
        <v>5.5</v>
      </c>
      <c r="V78" s="71">
        <f t="shared" si="87"/>
        <v>5.5</v>
      </c>
      <c r="W78" s="71">
        <f t="shared" si="87"/>
        <v>5.5</v>
      </c>
      <c r="X78" s="71">
        <f t="shared" si="87"/>
        <v>5.5</v>
      </c>
      <c r="Y78" s="71">
        <f t="shared" si="87"/>
        <v>5.5</v>
      </c>
      <c r="Z78" s="71">
        <f t="shared" si="87"/>
        <v>5.5</v>
      </c>
      <c r="AA78" s="71">
        <f t="shared" si="87"/>
        <v>5.5</v>
      </c>
      <c r="AB78" s="71">
        <f t="shared" si="87"/>
        <v>6</v>
      </c>
      <c r="AC78" s="71">
        <f t="shared" si="87"/>
        <v>6</v>
      </c>
      <c r="AD78" s="71">
        <f t="shared" si="87"/>
        <v>6</v>
      </c>
      <c r="AE78" s="71">
        <f t="shared" si="87"/>
        <v>6</v>
      </c>
      <c r="AF78" s="71">
        <f t="shared" si="87"/>
        <v>6</v>
      </c>
      <c r="AG78" s="71">
        <f t="shared" si="87"/>
        <v>6</v>
      </c>
      <c r="AH78" s="71">
        <f t="shared" si="87"/>
        <v>6</v>
      </c>
      <c r="AI78" s="71">
        <f t="shared" si="87"/>
        <v>6</v>
      </c>
      <c r="AJ78" s="71">
        <f t="shared" si="87"/>
        <v>6</v>
      </c>
      <c r="AK78" s="71">
        <f t="shared" si="87"/>
        <v>6</v>
      </c>
      <c r="AL78" s="71">
        <f t="shared" si="87"/>
        <v>6</v>
      </c>
      <c r="AM78" s="71">
        <f t="shared" si="87"/>
        <v>6</v>
      </c>
      <c r="AN78" s="71">
        <f t="shared" si="87"/>
        <v>6.5</v>
      </c>
      <c r="AO78" s="71">
        <f t="shared" si="87"/>
        <v>6.5</v>
      </c>
      <c r="AP78" s="71">
        <f t="shared" si="87"/>
        <v>6.5</v>
      </c>
      <c r="AQ78" s="71">
        <f t="shared" si="87"/>
        <v>6.5</v>
      </c>
      <c r="AR78" s="71">
        <f t="shared" si="87"/>
        <v>6.5</v>
      </c>
      <c r="AS78" s="71">
        <f t="shared" si="87"/>
        <v>6.5</v>
      </c>
      <c r="AT78" s="71">
        <f t="shared" si="87"/>
        <v>6.5</v>
      </c>
      <c r="AU78" s="71">
        <f t="shared" si="87"/>
        <v>6.5</v>
      </c>
      <c r="AV78" s="71">
        <f t="shared" si="87"/>
        <v>6.5</v>
      </c>
      <c r="AW78" s="71">
        <f t="shared" si="87"/>
        <v>6.5</v>
      </c>
      <c r="AX78" s="71">
        <f t="shared" si="87"/>
        <v>6.5</v>
      </c>
      <c r="AY78" s="71">
        <f t="shared" si="87"/>
        <v>6.5</v>
      </c>
    </row>
    <row r="79" spans="1:51" x14ac:dyDescent="0.2">
      <c r="A79" s="85"/>
      <c r="C79" s="115" t="s">
        <v>85</v>
      </c>
      <c r="D79" s="71">
        <f t="shared" ref="D79:AY79" si="88">D$53*D93</f>
        <v>5</v>
      </c>
      <c r="E79" s="71">
        <f t="shared" si="88"/>
        <v>5</v>
      </c>
      <c r="F79" s="71">
        <f t="shared" si="88"/>
        <v>5</v>
      </c>
      <c r="G79" s="71">
        <f t="shared" si="88"/>
        <v>5</v>
      </c>
      <c r="H79" s="71">
        <f t="shared" si="88"/>
        <v>5</v>
      </c>
      <c r="I79" s="71">
        <f t="shared" si="88"/>
        <v>5</v>
      </c>
      <c r="J79" s="71">
        <f t="shared" si="88"/>
        <v>5</v>
      </c>
      <c r="K79" s="71">
        <f t="shared" si="88"/>
        <v>5</v>
      </c>
      <c r="L79" s="71">
        <f t="shared" si="88"/>
        <v>5</v>
      </c>
      <c r="M79" s="71">
        <f t="shared" si="88"/>
        <v>5</v>
      </c>
      <c r="N79" s="71">
        <f t="shared" si="88"/>
        <v>5</v>
      </c>
      <c r="O79" s="71">
        <f t="shared" si="88"/>
        <v>5</v>
      </c>
      <c r="P79" s="71">
        <f t="shared" si="88"/>
        <v>5.5</v>
      </c>
      <c r="Q79" s="71">
        <f t="shared" si="88"/>
        <v>5.5</v>
      </c>
      <c r="R79" s="71">
        <f t="shared" si="88"/>
        <v>5.5</v>
      </c>
      <c r="S79" s="71">
        <f t="shared" si="88"/>
        <v>5.5</v>
      </c>
      <c r="T79" s="71">
        <f t="shared" si="88"/>
        <v>5.5</v>
      </c>
      <c r="U79" s="71">
        <f t="shared" si="88"/>
        <v>5.5</v>
      </c>
      <c r="V79" s="71">
        <f t="shared" si="88"/>
        <v>5.5</v>
      </c>
      <c r="W79" s="71">
        <f t="shared" si="88"/>
        <v>5.5</v>
      </c>
      <c r="X79" s="71">
        <f t="shared" si="88"/>
        <v>5.5</v>
      </c>
      <c r="Y79" s="71">
        <f t="shared" si="88"/>
        <v>5.5</v>
      </c>
      <c r="Z79" s="71">
        <f t="shared" si="88"/>
        <v>5.5</v>
      </c>
      <c r="AA79" s="71">
        <f t="shared" si="88"/>
        <v>5.5</v>
      </c>
      <c r="AB79" s="71">
        <f t="shared" si="88"/>
        <v>6</v>
      </c>
      <c r="AC79" s="71">
        <f t="shared" si="88"/>
        <v>6</v>
      </c>
      <c r="AD79" s="71">
        <f t="shared" si="88"/>
        <v>6</v>
      </c>
      <c r="AE79" s="71">
        <f t="shared" si="88"/>
        <v>6</v>
      </c>
      <c r="AF79" s="71">
        <f t="shared" si="88"/>
        <v>6</v>
      </c>
      <c r="AG79" s="71">
        <f t="shared" si="88"/>
        <v>6</v>
      </c>
      <c r="AH79" s="71">
        <f t="shared" si="88"/>
        <v>6</v>
      </c>
      <c r="AI79" s="71">
        <f t="shared" si="88"/>
        <v>6</v>
      </c>
      <c r="AJ79" s="71">
        <f t="shared" si="88"/>
        <v>6</v>
      </c>
      <c r="AK79" s="71">
        <f t="shared" si="88"/>
        <v>6</v>
      </c>
      <c r="AL79" s="71">
        <f t="shared" si="88"/>
        <v>6</v>
      </c>
      <c r="AM79" s="71">
        <f t="shared" si="88"/>
        <v>6</v>
      </c>
      <c r="AN79" s="71">
        <f t="shared" si="88"/>
        <v>6.5</v>
      </c>
      <c r="AO79" s="71">
        <f t="shared" si="88"/>
        <v>6.5</v>
      </c>
      <c r="AP79" s="71">
        <f t="shared" si="88"/>
        <v>6.5</v>
      </c>
      <c r="AQ79" s="71">
        <f t="shared" si="88"/>
        <v>6.5</v>
      </c>
      <c r="AR79" s="71">
        <f t="shared" si="88"/>
        <v>6.5</v>
      </c>
      <c r="AS79" s="71">
        <f t="shared" si="88"/>
        <v>6.5</v>
      </c>
      <c r="AT79" s="71">
        <f t="shared" si="88"/>
        <v>6.5</v>
      </c>
      <c r="AU79" s="71">
        <f t="shared" si="88"/>
        <v>6.5</v>
      </c>
      <c r="AV79" s="71">
        <f t="shared" si="88"/>
        <v>6.5</v>
      </c>
      <c r="AW79" s="71">
        <f t="shared" si="88"/>
        <v>6.5</v>
      </c>
      <c r="AX79" s="71">
        <f t="shared" si="88"/>
        <v>6.5</v>
      </c>
      <c r="AY79" s="71">
        <f t="shared" si="88"/>
        <v>6.5</v>
      </c>
    </row>
    <row r="80" spans="1:51" x14ac:dyDescent="0.2">
      <c r="A80" s="85"/>
      <c r="C80" s="115" t="s">
        <v>142</v>
      </c>
      <c r="D80" s="71">
        <f t="shared" ref="D80:AY80" si="89">D$69*D94</f>
        <v>17.5</v>
      </c>
      <c r="E80" s="71">
        <f t="shared" si="89"/>
        <v>17.5</v>
      </c>
      <c r="F80" s="71">
        <f t="shared" si="89"/>
        <v>17.5</v>
      </c>
      <c r="G80" s="71">
        <f t="shared" si="89"/>
        <v>17.5</v>
      </c>
      <c r="H80" s="71">
        <f t="shared" si="89"/>
        <v>17.5</v>
      </c>
      <c r="I80" s="71">
        <f t="shared" si="89"/>
        <v>17.5</v>
      </c>
      <c r="J80" s="71">
        <f t="shared" si="89"/>
        <v>17.5</v>
      </c>
      <c r="K80" s="71">
        <f t="shared" si="89"/>
        <v>17.5</v>
      </c>
      <c r="L80" s="71">
        <f t="shared" si="89"/>
        <v>17.5</v>
      </c>
      <c r="M80" s="71">
        <f t="shared" si="89"/>
        <v>17.5</v>
      </c>
      <c r="N80" s="71">
        <f t="shared" si="89"/>
        <v>17.5</v>
      </c>
      <c r="O80" s="71">
        <f t="shared" si="89"/>
        <v>17.5</v>
      </c>
      <c r="P80" s="71">
        <f t="shared" si="89"/>
        <v>16.5</v>
      </c>
      <c r="Q80" s="71">
        <f t="shared" si="89"/>
        <v>16.5</v>
      </c>
      <c r="R80" s="71">
        <f t="shared" si="89"/>
        <v>16.5</v>
      </c>
      <c r="S80" s="71">
        <f t="shared" si="89"/>
        <v>16.5</v>
      </c>
      <c r="T80" s="71">
        <f t="shared" si="89"/>
        <v>16.5</v>
      </c>
      <c r="U80" s="71">
        <f t="shared" si="89"/>
        <v>16.5</v>
      </c>
      <c r="V80" s="71">
        <f t="shared" si="89"/>
        <v>16.5</v>
      </c>
      <c r="W80" s="71">
        <f t="shared" si="89"/>
        <v>16.5</v>
      </c>
      <c r="X80" s="71">
        <f t="shared" si="89"/>
        <v>16.5</v>
      </c>
      <c r="Y80" s="71">
        <f t="shared" si="89"/>
        <v>16.5</v>
      </c>
      <c r="Z80" s="71">
        <f t="shared" si="89"/>
        <v>16.5</v>
      </c>
      <c r="AA80" s="71">
        <f t="shared" si="89"/>
        <v>16.5</v>
      </c>
      <c r="AB80" s="71">
        <f t="shared" si="89"/>
        <v>15</v>
      </c>
      <c r="AC80" s="71">
        <f t="shared" si="89"/>
        <v>15</v>
      </c>
      <c r="AD80" s="71">
        <f t="shared" si="89"/>
        <v>15</v>
      </c>
      <c r="AE80" s="71">
        <f t="shared" si="89"/>
        <v>15</v>
      </c>
      <c r="AF80" s="71">
        <f t="shared" si="89"/>
        <v>15</v>
      </c>
      <c r="AG80" s="71">
        <f t="shared" si="89"/>
        <v>15</v>
      </c>
      <c r="AH80" s="71">
        <f t="shared" si="89"/>
        <v>15</v>
      </c>
      <c r="AI80" s="71">
        <f t="shared" si="89"/>
        <v>15</v>
      </c>
      <c r="AJ80" s="71">
        <f t="shared" si="89"/>
        <v>15</v>
      </c>
      <c r="AK80" s="71">
        <f t="shared" si="89"/>
        <v>15</v>
      </c>
      <c r="AL80" s="71">
        <f t="shared" si="89"/>
        <v>15</v>
      </c>
      <c r="AM80" s="71">
        <f t="shared" si="89"/>
        <v>15</v>
      </c>
      <c r="AN80" s="71">
        <f t="shared" si="89"/>
        <v>16.25</v>
      </c>
      <c r="AO80" s="71">
        <f t="shared" si="89"/>
        <v>16.25</v>
      </c>
      <c r="AP80" s="71">
        <f t="shared" si="89"/>
        <v>16.25</v>
      </c>
      <c r="AQ80" s="71">
        <f t="shared" si="89"/>
        <v>16.25</v>
      </c>
      <c r="AR80" s="71">
        <f t="shared" si="89"/>
        <v>16.25</v>
      </c>
      <c r="AS80" s="71">
        <f t="shared" si="89"/>
        <v>16.25</v>
      </c>
      <c r="AT80" s="71">
        <f t="shared" si="89"/>
        <v>16.25</v>
      </c>
      <c r="AU80" s="71">
        <f t="shared" si="89"/>
        <v>16.25</v>
      </c>
      <c r="AV80" s="71">
        <f t="shared" si="89"/>
        <v>16.25</v>
      </c>
      <c r="AW80" s="71">
        <f t="shared" si="89"/>
        <v>16.25</v>
      </c>
      <c r="AX80" s="71">
        <f t="shared" si="89"/>
        <v>16.25</v>
      </c>
      <c r="AY80" s="71">
        <f t="shared" si="89"/>
        <v>16.25</v>
      </c>
    </row>
    <row r="81" spans="1:51" x14ac:dyDescent="0.2">
      <c r="A81" s="85"/>
    </row>
    <row r="82" spans="1:51" x14ac:dyDescent="0.2">
      <c r="A82" s="85"/>
      <c r="C82" s="139" t="s">
        <v>134</v>
      </c>
    </row>
    <row r="83" spans="1:51" x14ac:dyDescent="0.2">
      <c r="A83" s="85"/>
      <c r="C83" s="115" t="s">
        <v>133</v>
      </c>
      <c r="D83" s="144">
        <v>0.35</v>
      </c>
      <c r="E83" s="144">
        <v>0.35</v>
      </c>
      <c r="F83" s="144">
        <v>0.35</v>
      </c>
      <c r="G83" s="144">
        <v>0.35</v>
      </c>
      <c r="H83" s="144">
        <v>0.35</v>
      </c>
      <c r="I83" s="144">
        <v>0.35</v>
      </c>
      <c r="J83" s="144">
        <v>0.35</v>
      </c>
      <c r="K83" s="144">
        <v>0.35</v>
      </c>
      <c r="L83" s="144">
        <v>0.35</v>
      </c>
      <c r="M83" s="144">
        <v>0.35</v>
      </c>
      <c r="N83" s="144">
        <v>0.35</v>
      </c>
      <c r="O83" s="144">
        <v>0.35</v>
      </c>
      <c r="P83" s="144">
        <v>0.3</v>
      </c>
      <c r="Q83" s="144">
        <v>0.3</v>
      </c>
      <c r="R83" s="144">
        <v>0.3</v>
      </c>
      <c r="S83" s="144">
        <v>0.3</v>
      </c>
      <c r="T83" s="144">
        <v>0.3</v>
      </c>
      <c r="U83" s="144">
        <v>0.3</v>
      </c>
      <c r="V83" s="144">
        <v>0.3</v>
      </c>
      <c r="W83" s="144">
        <v>0.3</v>
      </c>
      <c r="X83" s="144">
        <v>0.3</v>
      </c>
      <c r="Y83" s="144">
        <v>0.3</v>
      </c>
      <c r="Z83" s="144">
        <v>0.3</v>
      </c>
      <c r="AA83" s="144">
        <v>0.3</v>
      </c>
      <c r="AB83" s="144">
        <v>0.25</v>
      </c>
      <c r="AC83" s="144">
        <v>0.25</v>
      </c>
      <c r="AD83" s="144">
        <v>0.25</v>
      </c>
      <c r="AE83" s="144">
        <v>0.25</v>
      </c>
      <c r="AF83" s="144">
        <v>0.25</v>
      </c>
      <c r="AG83" s="144">
        <v>0.25</v>
      </c>
      <c r="AH83" s="144">
        <v>0.25</v>
      </c>
      <c r="AI83" s="144">
        <v>0.25</v>
      </c>
      <c r="AJ83" s="144">
        <v>0.25</v>
      </c>
      <c r="AK83" s="144">
        <v>0.25</v>
      </c>
      <c r="AL83" s="144">
        <v>0.25</v>
      </c>
      <c r="AM83" s="144">
        <v>0.25</v>
      </c>
      <c r="AN83" s="144">
        <v>0.25</v>
      </c>
      <c r="AO83" s="144">
        <v>0.25</v>
      </c>
      <c r="AP83" s="144">
        <v>0.25</v>
      </c>
      <c r="AQ83" s="144">
        <v>0.25</v>
      </c>
      <c r="AR83" s="144">
        <v>0.25</v>
      </c>
      <c r="AS83" s="144">
        <v>0.25</v>
      </c>
      <c r="AT83" s="144">
        <v>0.25</v>
      </c>
      <c r="AU83" s="144">
        <v>0.25</v>
      </c>
      <c r="AV83" s="144">
        <v>0.25</v>
      </c>
      <c r="AW83" s="144">
        <v>0.25</v>
      </c>
      <c r="AX83" s="144">
        <v>0.25</v>
      </c>
      <c r="AY83" s="144">
        <v>0.25</v>
      </c>
    </row>
    <row r="84" spans="1:51" x14ac:dyDescent="0.2">
      <c r="A84" s="85"/>
      <c r="C84" s="115" t="s">
        <v>83</v>
      </c>
      <c r="D84" s="144">
        <v>7.4999999999999997E-2</v>
      </c>
      <c r="E84" s="144">
        <v>7.4999999999999997E-2</v>
      </c>
      <c r="F84" s="144">
        <v>7.4999999999999997E-2</v>
      </c>
      <c r="G84" s="144">
        <v>7.4999999999999997E-2</v>
      </c>
      <c r="H84" s="144">
        <v>7.4999999999999997E-2</v>
      </c>
      <c r="I84" s="144">
        <v>7.4999999999999997E-2</v>
      </c>
      <c r="J84" s="144">
        <v>7.4999999999999997E-2</v>
      </c>
      <c r="K84" s="144">
        <v>7.4999999999999997E-2</v>
      </c>
      <c r="L84" s="144">
        <v>7.4999999999999997E-2</v>
      </c>
      <c r="M84" s="144">
        <v>7.4999999999999997E-2</v>
      </c>
      <c r="N84" s="144">
        <v>7.4999999999999997E-2</v>
      </c>
      <c r="O84" s="144">
        <v>7.4999999999999997E-2</v>
      </c>
      <c r="P84" s="144">
        <v>7.4999999999999997E-2</v>
      </c>
      <c r="Q84" s="144">
        <v>7.4999999999999997E-2</v>
      </c>
      <c r="R84" s="144">
        <v>7.4999999999999997E-2</v>
      </c>
      <c r="S84" s="144">
        <v>7.4999999999999997E-2</v>
      </c>
      <c r="T84" s="144">
        <v>7.4999999999999997E-2</v>
      </c>
      <c r="U84" s="144">
        <v>7.4999999999999997E-2</v>
      </c>
      <c r="V84" s="144">
        <v>0.05</v>
      </c>
      <c r="W84" s="144">
        <v>0.05</v>
      </c>
      <c r="X84" s="144">
        <v>0.05</v>
      </c>
      <c r="Y84" s="144">
        <v>0.05</v>
      </c>
      <c r="Z84" s="144">
        <v>0.05</v>
      </c>
      <c r="AA84" s="144">
        <v>0.05</v>
      </c>
      <c r="AB84" s="144">
        <v>0.05</v>
      </c>
      <c r="AC84" s="144">
        <v>0.05</v>
      </c>
      <c r="AD84" s="144">
        <v>0.05</v>
      </c>
      <c r="AE84" s="144">
        <v>0.05</v>
      </c>
      <c r="AF84" s="144">
        <v>0.05</v>
      </c>
      <c r="AG84" s="144">
        <v>0.05</v>
      </c>
      <c r="AH84" s="144">
        <v>0.05</v>
      </c>
      <c r="AI84" s="144">
        <v>0.05</v>
      </c>
      <c r="AJ84" s="144">
        <v>0.05</v>
      </c>
      <c r="AK84" s="144">
        <v>0.05</v>
      </c>
      <c r="AL84" s="144">
        <v>0.05</v>
      </c>
      <c r="AM84" s="144">
        <v>0.05</v>
      </c>
      <c r="AN84" s="144">
        <v>0.05</v>
      </c>
      <c r="AO84" s="144">
        <v>0.05</v>
      </c>
      <c r="AP84" s="144">
        <v>0.05</v>
      </c>
      <c r="AQ84" s="144">
        <v>0.05</v>
      </c>
      <c r="AR84" s="144">
        <v>0.05</v>
      </c>
      <c r="AS84" s="144">
        <v>0.05</v>
      </c>
      <c r="AT84" s="144">
        <v>0.05</v>
      </c>
      <c r="AU84" s="144">
        <v>0.05</v>
      </c>
      <c r="AV84" s="144">
        <v>0.05</v>
      </c>
      <c r="AW84" s="144">
        <v>0.05</v>
      </c>
      <c r="AX84" s="144">
        <v>0.05</v>
      </c>
      <c r="AY84" s="144">
        <v>0.05</v>
      </c>
    </row>
    <row r="85" spans="1:51" x14ac:dyDescent="0.2">
      <c r="A85" s="85"/>
      <c r="C85" s="115" t="s">
        <v>82</v>
      </c>
      <c r="D85" s="144">
        <v>7.4999999999999997E-2</v>
      </c>
      <c r="E85" s="144">
        <v>7.4999999999999997E-2</v>
      </c>
      <c r="F85" s="144">
        <v>7.4999999999999997E-2</v>
      </c>
      <c r="G85" s="144">
        <v>7.0000000000000007E-2</v>
      </c>
      <c r="H85" s="144">
        <v>7.0000000000000007E-2</v>
      </c>
      <c r="I85" s="144">
        <v>7.0000000000000007E-2</v>
      </c>
      <c r="J85" s="144">
        <v>6.5000000000000002E-2</v>
      </c>
      <c r="K85" s="144">
        <v>6.5000000000000002E-2</v>
      </c>
      <c r="L85" s="144">
        <v>6.5000000000000002E-2</v>
      </c>
      <c r="M85" s="144">
        <v>0.06</v>
      </c>
      <c r="N85" s="144">
        <v>0.06</v>
      </c>
      <c r="O85" s="144">
        <v>0.06</v>
      </c>
      <c r="P85" s="144">
        <v>5.5E-2</v>
      </c>
      <c r="Q85" s="144">
        <v>5.5E-2</v>
      </c>
      <c r="R85" s="144">
        <v>5.5E-2</v>
      </c>
      <c r="S85" s="144">
        <v>0.05</v>
      </c>
      <c r="T85" s="144">
        <v>0.05</v>
      </c>
      <c r="U85" s="144">
        <v>0.05</v>
      </c>
      <c r="V85" s="144">
        <v>0.05</v>
      </c>
      <c r="W85" s="144">
        <v>0.05</v>
      </c>
      <c r="X85" s="144">
        <v>0.05</v>
      </c>
      <c r="Y85" s="144">
        <v>0.05</v>
      </c>
      <c r="Z85" s="144">
        <v>0.05</v>
      </c>
      <c r="AA85" s="144">
        <v>0.05</v>
      </c>
      <c r="AB85" s="144">
        <v>0.05</v>
      </c>
      <c r="AC85" s="144">
        <v>0.05</v>
      </c>
      <c r="AD85" s="144">
        <v>0.05</v>
      </c>
      <c r="AE85" s="144">
        <v>0.05</v>
      </c>
      <c r="AF85" s="144">
        <v>0.05</v>
      </c>
      <c r="AG85" s="144">
        <v>0.05</v>
      </c>
      <c r="AH85" s="144">
        <v>0.05</v>
      </c>
      <c r="AI85" s="144">
        <v>0.05</v>
      </c>
      <c r="AJ85" s="144">
        <v>0.05</v>
      </c>
      <c r="AK85" s="144">
        <v>0.05</v>
      </c>
      <c r="AL85" s="144">
        <v>0.05</v>
      </c>
      <c r="AM85" s="144">
        <v>0.05</v>
      </c>
      <c r="AN85" s="144">
        <v>0.05</v>
      </c>
      <c r="AO85" s="144">
        <v>0.05</v>
      </c>
      <c r="AP85" s="144">
        <v>0.05</v>
      </c>
      <c r="AQ85" s="144">
        <v>0.05</v>
      </c>
      <c r="AR85" s="144">
        <v>0.05</v>
      </c>
      <c r="AS85" s="144">
        <v>0.05</v>
      </c>
      <c r="AT85" s="144">
        <v>0.05</v>
      </c>
      <c r="AU85" s="144">
        <v>0.05</v>
      </c>
      <c r="AV85" s="144">
        <v>0.05</v>
      </c>
      <c r="AW85" s="144">
        <v>0.05</v>
      </c>
      <c r="AX85" s="144">
        <v>0.05</v>
      </c>
      <c r="AY85" s="144">
        <v>0.05</v>
      </c>
    </row>
    <row r="86" spans="1:51" x14ac:dyDescent="0.2">
      <c r="A86" s="85"/>
      <c r="C86" s="115" t="s">
        <v>1</v>
      </c>
      <c r="D86" s="144">
        <v>0.03</v>
      </c>
      <c r="E86" s="144">
        <v>0.03</v>
      </c>
      <c r="F86" s="144">
        <v>0.03</v>
      </c>
      <c r="G86" s="144">
        <v>0.03</v>
      </c>
      <c r="H86" s="144">
        <v>0.03</v>
      </c>
      <c r="I86" s="144">
        <v>0.03</v>
      </c>
      <c r="J86" s="144">
        <v>0.03</v>
      </c>
      <c r="K86" s="144">
        <v>0.03</v>
      </c>
      <c r="L86" s="144">
        <v>0.03</v>
      </c>
      <c r="M86" s="144">
        <v>0.03</v>
      </c>
      <c r="N86" s="144">
        <v>0.03</v>
      </c>
      <c r="O86" s="144">
        <v>0.03</v>
      </c>
      <c r="P86" s="144">
        <v>0.03</v>
      </c>
      <c r="Q86" s="144">
        <v>0.03</v>
      </c>
      <c r="R86" s="144">
        <v>0.03</v>
      </c>
      <c r="S86" s="144">
        <v>0.03</v>
      </c>
      <c r="T86" s="144">
        <v>0.03</v>
      </c>
      <c r="U86" s="144">
        <v>0.03</v>
      </c>
      <c r="V86" s="144">
        <v>0.03</v>
      </c>
      <c r="W86" s="144">
        <v>0.03</v>
      </c>
      <c r="X86" s="144">
        <v>0.03</v>
      </c>
      <c r="Y86" s="144">
        <v>0.03</v>
      </c>
      <c r="Z86" s="144">
        <v>0.03</v>
      </c>
      <c r="AA86" s="144">
        <v>0.03</v>
      </c>
      <c r="AB86" s="144">
        <v>0.03</v>
      </c>
      <c r="AC86" s="144">
        <v>0.03</v>
      </c>
      <c r="AD86" s="144">
        <v>0.03</v>
      </c>
      <c r="AE86" s="144">
        <v>0.03</v>
      </c>
      <c r="AF86" s="144">
        <v>0.03</v>
      </c>
      <c r="AG86" s="144">
        <v>0.03</v>
      </c>
      <c r="AH86" s="144">
        <v>0.03</v>
      </c>
      <c r="AI86" s="144">
        <v>0.03</v>
      </c>
      <c r="AJ86" s="144">
        <v>0.03</v>
      </c>
      <c r="AK86" s="144">
        <v>0.03</v>
      </c>
      <c r="AL86" s="144">
        <v>0.03</v>
      </c>
      <c r="AM86" s="144">
        <v>0.03</v>
      </c>
      <c r="AN86" s="144">
        <v>0.03</v>
      </c>
      <c r="AO86" s="144">
        <v>0.03</v>
      </c>
      <c r="AP86" s="144">
        <v>0.03</v>
      </c>
      <c r="AQ86" s="144">
        <v>0.03</v>
      </c>
      <c r="AR86" s="144">
        <v>0.03</v>
      </c>
      <c r="AS86" s="144">
        <v>0.03</v>
      </c>
      <c r="AT86" s="144">
        <v>0.03</v>
      </c>
      <c r="AU86" s="144">
        <v>0.03</v>
      </c>
      <c r="AV86" s="144">
        <v>0.03</v>
      </c>
      <c r="AW86" s="144">
        <v>0.03</v>
      </c>
      <c r="AX86" s="144">
        <v>0.03</v>
      </c>
      <c r="AY86" s="144">
        <v>0.03</v>
      </c>
    </row>
    <row r="87" spans="1:51" x14ac:dyDescent="0.2">
      <c r="A87" s="85"/>
      <c r="C87" s="115" t="s">
        <v>140</v>
      </c>
      <c r="D87" s="144">
        <v>0.06</v>
      </c>
      <c r="E87" s="144">
        <v>0.06</v>
      </c>
      <c r="F87" s="144">
        <v>0.06</v>
      </c>
      <c r="G87" s="144">
        <v>5.5E-2</v>
      </c>
      <c r="H87" s="144">
        <v>5.5E-2</v>
      </c>
      <c r="I87" s="144">
        <v>5.5E-2</v>
      </c>
      <c r="J87" s="144">
        <v>0.05</v>
      </c>
      <c r="K87" s="144">
        <v>0.05</v>
      </c>
      <c r="L87" s="144">
        <v>0.05</v>
      </c>
      <c r="M87" s="144">
        <v>4.4999999999999998E-2</v>
      </c>
      <c r="N87" s="144">
        <v>4.4999999999999998E-2</v>
      </c>
      <c r="O87" s="144">
        <v>4.4999999999999998E-2</v>
      </c>
      <c r="P87" s="144">
        <v>0.04</v>
      </c>
      <c r="Q87" s="144">
        <v>0.04</v>
      </c>
      <c r="R87" s="144">
        <v>0.04</v>
      </c>
      <c r="S87" s="144">
        <v>3.5000000000000003E-2</v>
      </c>
      <c r="T87" s="144">
        <v>3.5000000000000003E-2</v>
      </c>
      <c r="U87" s="144">
        <v>3.5000000000000003E-2</v>
      </c>
      <c r="V87" s="144">
        <v>0.03</v>
      </c>
      <c r="W87" s="144">
        <v>0.03</v>
      </c>
      <c r="X87" s="144">
        <v>0.03</v>
      </c>
      <c r="Y87" s="144">
        <v>2.5000000000000001E-2</v>
      </c>
      <c r="Z87" s="144">
        <v>2.5000000000000001E-2</v>
      </c>
      <c r="AA87" s="144">
        <v>2.5000000000000001E-2</v>
      </c>
      <c r="AB87" s="144">
        <v>0.02</v>
      </c>
      <c r="AC87" s="144">
        <v>0.02</v>
      </c>
      <c r="AD87" s="144">
        <v>0.02</v>
      </c>
      <c r="AE87" s="144">
        <v>0.02</v>
      </c>
      <c r="AF87" s="144">
        <v>0.02</v>
      </c>
      <c r="AG87" s="144">
        <v>0.02</v>
      </c>
      <c r="AH87" s="144">
        <v>0.02</v>
      </c>
      <c r="AI87" s="144">
        <v>0.02</v>
      </c>
      <c r="AJ87" s="144">
        <v>0.02</v>
      </c>
      <c r="AK87" s="144">
        <v>0.02</v>
      </c>
      <c r="AL87" s="144">
        <v>0.02</v>
      </c>
      <c r="AM87" s="144">
        <v>0.02</v>
      </c>
      <c r="AN87" s="144">
        <v>0.02</v>
      </c>
      <c r="AO87" s="144">
        <v>0.02</v>
      </c>
      <c r="AP87" s="144">
        <v>0.02</v>
      </c>
      <c r="AQ87" s="144">
        <v>0.02</v>
      </c>
      <c r="AR87" s="144">
        <v>0.02</v>
      </c>
      <c r="AS87" s="144">
        <v>0.02</v>
      </c>
      <c r="AT87" s="144">
        <v>0.02</v>
      </c>
      <c r="AU87" s="144">
        <v>0.02</v>
      </c>
      <c r="AV87" s="144">
        <v>0.02</v>
      </c>
      <c r="AW87" s="144">
        <v>0.02</v>
      </c>
      <c r="AX87" s="144">
        <v>0.02</v>
      </c>
      <c r="AY87" s="144">
        <v>0.02</v>
      </c>
    </row>
    <row r="88" spans="1:51" x14ac:dyDescent="0.2">
      <c r="A88" s="85"/>
      <c r="C88" s="118" t="s">
        <v>141</v>
      </c>
      <c r="D88" s="144">
        <v>7.4999999999999997E-2</v>
      </c>
      <c r="E88" s="144">
        <v>7.4999999999999997E-2</v>
      </c>
      <c r="F88" s="144">
        <v>7.4999999999999997E-2</v>
      </c>
      <c r="G88" s="144">
        <v>7.4999999999999997E-2</v>
      </c>
      <c r="H88" s="144">
        <v>7.4999999999999997E-2</v>
      </c>
      <c r="I88" s="144">
        <v>7.4999999999999997E-2</v>
      </c>
      <c r="J88" s="144">
        <v>7.4999999999999997E-2</v>
      </c>
      <c r="K88" s="144">
        <v>7.4999999999999997E-2</v>
      </c>
      <c r="L88" s="144">
        <v>7.4999999999999997E-2</v>
      </c>
      <c r="M88" s="144">
        <v>0.05</v>
      </c>
      <c r="N88" s="144">
        <v>0.05</v>
      </c>
      <c r="O88" s="144">
        <v>0.05</v>
      </c>
      <c r="P88" s="144">
        <v>0.05</v>
      </c>
      <c r="Q88" s="144">
        <v>0.05</v>
      </c>
      <c r="R88" s="144">
        <v>0.05</v>
      </c>
      <c r="S88" s="144">
        <v>0.05</v>
      </c>
      <c r="T88" s="144">
        <v>0.05</v>
      </c>
      <c r="U88" s="144">
        <v>0.05</v>
      </c>
      <c r="V88" s="144">
        <v>0.05</v>
      </c>
      <c r="W88" s="144">
        <v>0.05</v>
      </c>
      <c r="X88" s="144">
        <v>0.05</v>
      </c>
      <c r="Y88" s="144">
        <v>0.05</v>
      </c>
      <c r="Z88" s="144">
        <v>0.05</v>
      </c>
      <c r="AA88" s="144">
        <v>0.05</v>
      </c>
      <c r="AB88" s="144">
        <v>0.05</v>
      </c>
      <c r="AC88" s="144">
        <v>0.05</v>
      </c>
      <c r="AD88" s="144">
        <v>0.05</v>
      </c>
      <c r="AE88" s="144">
        <v>0.05</v>
      </c>
      <c r="AF88" s="144">
        <v>0.05</v>
      </c>
      <c r="AG88" s="144">
        <v>0.05</v>
      </c>
      <c r="AH88" s="144">
        <v>0.05</v>
      </c>
      <c r="AI88" s="144">
        <v>0.05</v>
      </c>
      <c r="AJ88" s="144">
        <v>0.05</v>
      </c>
      <c r="AK88" s="144">
        <v>0.05</v>
      </c>
      <c r="AL88" s="144">
        <v>0.05</v>
      </c>
      <c r="AM88" s="144">
        <v>0.05</v>
      </c>
      <c r="AN88" s="144">
        <v>0.05</v>
      </c>
      <c r="AO88" s="144">
        <v>0.05</v>
      </c>
      <c r="AP88" s="144">
        <v>0.05</v>
      </c>
      <c r="AQ88" s="144">
        <v>0.05</v>
      </c>
      <c r="AR88" s="144">
        <v>0.05</v>
      </c>
      <c r="AS88" s="144">
        <v>0.05</v>
      </c>
      <c r="AT88" s="144">
        <v>0.05</v>
      </c>
      <c r="AU88" s="144">
        <v>0.05</v>
      </c>
      <c r="AV88" s="144">
        <v>0.05</v>
      </c>
      <c r="AW88" s="144">
        <v>0.05</v>
      </c>
      <c r="AX88" s="144">
        <v>0.05</v>
      </c>
      <c r="AY88" s="144">
        <v>0.05</v>
      </c>
    </row>
    <row r="89" spans="1:51" s="27" customFormat="1" x14ac:dyDescent="0.2">
      <c r="A89" s="84"/>
      <c r="B89" s="84"/>
      <c r="C89" s="158" t="s">
        <v>54</v>
      </c>
      <c r="D89" s="159">
        <f>SUM(D83:D88)</f>
        <v>0.66500000000000004</v>
      </c>
      <c r="E89" s="159">
        <f t="shared" ref="E89:AY89" si="90">SUM(E83:E88)</f>
        <v>0.66500000000000004</v>
      </c>
      <c r="F89" s="159">
        <f t="shared" si="90"/>
        <v>0.66500000000000004</v>
      </c>
      <c r="G89" s="159">
        <f t="shared" si="90"/>
        <v>0.65500000000000003</v>
      </c>
      <c r="H89" s="159">
        <f t="shared" si="90"/>
        <v>0.65500000000000003</v>
      </c>
      <c r="I89" s="159">
        <f t="shared" si="90"/>
        <v>0.65500000000000003</v>
      </c>
      <c r="J89" s="159">
        <f t="shared" si="90"/>
        <v>0.64500000000000002</v>
      </c>
      <c r="K89" s="159">
        <f t="shared" si="90"/>
        <v>0.64500000000000002</v>
      </c>
      <c r="L89" s="159">
        <f t="shared" si="90"/>
        <v>0.64500000000000002</v>
      </c>
      <c r="M89" s="159">
        <f t="shared" si="90"/>
        <v>0.6100000000000001</v>
      </c>
      <c r="N89" s="159">
        <f t="shared" si="90"/>
        <v>0.6100000000000001</v>
      </c>
      <c r="O89" s="159">
        <f t="shared" si="90"/>
        <v>0.6100000000000001</v>
      </c>
      <c r="P89" s="159">
        <f t="shared" si="90"/>
        <v>0.54999999999999993</v>
      </c>
      <c r="Q89" s="159">
        <f t="shared" si="90"/>
        <v>0.54999999999999993</v>
      </c>
      <c r="R89" s="159">
        <f t="shared" si="90"/>
        <v>0.54999999999999993</v>
      </c>
      <c r="S89" s="159">
        <f t="shared" si="90"/>
        <v>0.54</v>
      </c>
      <c r="T89" s="159">
        <f t="shared" si="90"/>
        <v>0.54</v>
      </c>
      <c r="U89" s="159">
        <f t="shared" si="90"/>
        <v>0.54</v>
      </c>
      <c r="V89" s="159">
        <f t="shared" si="90"/>
        <v>0.51</v>
      </c>
      <c r="W89" s="159">
        <f t="shared" si="90"/>
        <v>0.51</v>
      </c>
      <c r="X89" s="159">
        <f t="shared" si="90"/>
        <v>0.51</v>
      </c>
      <c r="Y89" s="159">
        <f t="shared" si="90"/>
        <v>0.505</v>
      </c>
      <c r="Z89" s="159">
        <f t="shared" si="90"/>
        <v>0.505</v>
      </c>
      <c r="AA89" s="159">
        <f t="shared" si="90"/>
        <v>0.505</v>
      </c>
      <c r="AB89" s="159">
        <f t="shared" si="90"/>
        <v>0.45</v>
      </c>
      <c r="AC89" s="159">
        <f t="shared" si="90"/>
        <v>0.45</v>
      </c>
      <c r="AD89" s="159">
        <f t="shared" si="90"/>
        <v>0.45</v>
      </c>
      <c r="AE89" s="159">
        <f t="shared" si="90"/>
        <v>0.45</v>
      </c>
      <c r="AF89" s="159">
        <f t="shared" si="90"/>
        <v>0.45</v>
      </c>
      <c r="AG89" s="159">
        <f t="shared" si="90"/>
        <v>0.45</v>
      </c>
      <c r="AH89" s="159">
        <f t="shared" si="90"/>
        <v>0.45</v>
      </c>
      <c r="AI89" s="159">
        <f t="shared" si="90"/>
        <v>0.45</v>
      </c>
      <c r="AJ89" s="159">
        <f t="shared" si="90"/>
        <v>0.45</v>
      </c>
      <c r="AK89" s="159">
        <f t="shared" si="90"/>
        <v>0.45</v>
      </c>
      <c r="AL89" s="159">
        <f t="shared" si="90"/>
        <v>0.45</v>
      </c>
      <c r="AM89" s="159">
        <f t="shared" si="90"/>
        <v>0.45</v>
      </c>
      <c r="AN89" s="159">
        <f t="shared" si="90"/>
        <v>0.45</v>
      </c>
      <c r="AO89" s="159">
        <f t="shared" si="90"/>
        <v>0.45</v>
      </c>
      <c r="AP89" s="159">
        <f t="shared" si="90"/>
        <v>0.45</v>
      </c>
      <c r="AQ89" s="159">
        <f t="shared" si="90"/>
        <v>0.45</v>
      </c>
      <c r="AR89" s="159">
        <f t="shared" si="90"/>
        <v>0.45</v>
      </c>
      <c r="AS89" s="159">
        <f t="shared" si="90"/>
        <v>0.45</v>
      </c>
      <c r="AT89" s="159">
        <f t="shared" si="90"/>
        <v>0.45</v>
      </c>
      <c r="AU89" s="159">
        <f t="shared" si="90"/>
        <v>0.45</v>
      </c>
      <c r="AV89" s="159">
        <f t="shared" si="90"/>
        <v>0.45</v>
      </c>
      <c r="AW89" s="159">
        <f t="shared" si="90"/>
        <v>0.45</v>
      </c>
      <c r="AX89" s="159">
        <f t="shared" si="90"/>
        <v>0.45</v>
      </c>
      <c r="AY89" s="159">
        <f t="shared" si="90"/>
        <v>0.45</v>
      </c>
    </row>
    <row r="90" spans="1:51" x14ac:dyDescent="0.2">
      <c r="A90" s="85"/>
      <c r="C90" s="82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</row>
    <row r="91" spans="1:51" x14ac:dyDescent="0.2">
      <c r="A91" s="85"/>
      <c r="C91" s="143" t="s">
        <v>135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</row>
    <row r="92" spans="1:51" x14ac:dyDescent="0.2">
      <c r="A92" s="85"/>
      <c r="C92" s="115" t="s">
        <v>0</v>
      </c>
      <c r="D92" s="144">
        <v>7.4999999999999997E-2</v>
      </c>
      <c r="E92" s="144">
        <v>7.4999999999999997E-2</v>
      </c>
      <c r="F92" s="144">
        <v>7.4999999999999997E-2</v>
      </c>
      <c r="G92" s="144">
        <v>7.0000000000000007E-2</v>
      </c>
      <c r="H92" s="144">
        <v>7.0000000000000007E-2</v>
      </c>
      <c r="I92" s="144">
        <v>7.0000000000000007E-2</v>
      </c>
      <c r="J92" s="144">
        <v>6.5000000000000002E-2</v>
      </c>
      <c r="K92" s="144">
        <v>6.5000000000000002E-2</v>
      </c>
      <c r="L92" s="144">
        <v>6.5000000000000002E-2</v>
      </c>
      <c r="M92" s="144">
        <v>0.06</v>
      </c>
      <c r="N92" s="144">
        <v>0.06</v>
      </c>
      <c r="O92" s="144">
        <v>0.06</v>
      </c>
      <c r="P92" s="144">
        <v>5.5E-2</v>
      </c>
      <c r="Q92" s="144">
        <v>5.5E-2</v>
      </c>
      <c r="R92" s="144">
        <v>5.5E-2</v>
      </c>
      <c r="S92" s="144">
        <v>0.05</v>
      </c>
      <c r="T92" s="144">
        <v>0.05</v>
      </c>
      <c r="U92" s="144">
        <v>0.05</v>
      </c>
      <c r="V92" s="144">
        <v>0.05</v>
      </c>
      <c r="W92" s="144">
        <v>0.05</v>
      </c>
      <c r="X92" s="144">
        <v>0.05</v>
      </c>
      <c r="Y92" s="144">
        <v>0.05</v>
      </c>
      <c r="Z92" s="144">
        <v>0.05</v>
      </c>
      <c r="AA92" s="144">
        <v>0.05</v>
      </c>
      <c r="AB92" s="144">
        <v>0.05</v>
      </c>
      <c r="AC92" s="144">
        <v>0.05</v>
      </c>
      <c r="AD92" s="144">
        <v>0.05</v>
      </c>
      <c r="AE92" s="144">
        <v>0.05</v>
      </c>
      <c r="AF92" s="144">
        <v>0.05</v>
      </c>
      <c r="AG92" s="144">
        <v>0.05</v>
      </c>
      <c r="AH92" s="144">
        <v>0.05</v>
      </c>
      <c r="AI92" s="144">
        <v>0.05</v>
      </c>
      <c r="AJ92" s="144">
        <v>0.05</v>
      </c>
      <c r="AK92" s="144">
        <v>0.05</v>
      </c>
      <c r="AL92" s="144">
        <v>0.05</v>
      </c>
      <c r="AM92" s="144">
        <v>0.05</v>
      </c>
      <c r="AN92" s="144">
        <v>0.05</v>
      </c>
      <c r="AO92" s="144">
        <v>0.05</v>
      </c>
      <c r="AP92" s="144">
        <v>0.05</v>
      </c>
      <c r="AQ92" s="144">
        <v>0.05</v>
      </c>
      <c r="AR92" s="144">
        <v>0.05</v>
      </c>
      <c r="AS92" s="144">
        <v>0.05</v>
      </c>
      <c r="AT92" s="144">
        <v>0.05</v>
      </c>
      <c r="AU92" s="144">
        <v>0.05</v>
      </c>
      <c r="AV92" s="144">
        <v>0.05</v>
      </c>
      <c r="AW92" s="144">
        <v>0.05</v>
      </c>
      <c r="AX92" s="144">
        <v>0.05</v>
      </c>
      <c r="AY92" s="144">
        <v>0.05</v>
      </c>
    </row>
    <row r="93" spans="1:51" x14ac:dyDescent="0.2">
      <c r="A93" s="85"/>
      <c r="C93" s="115" t="s">
        <v>85</v>
      </c>
      <c r="D93" s="144">
        <v>0.05</v>
      </c>
      <c r="E93" s="144">
        <v>0.05</v>
      </c>
      <c r="F93" s="144">
        <v>0.05</v>
      </c>
      <c r="G93" s="144">
        <v>0.05</v>
      </c>
      <c r="H93" s="144">
        <v>0.05</v>
      </c>
      <c r="I93" s="144">
        <v>0.05</v>
      </c>
      <c r="J93" s="144">
        <v>0.05</v>
      </c>
      <c r="K93" s="144">
        <v>0.05</v>
      </c>
      <c r="L93" s="144">
        <v>0.05</v>
      </c>
      <c r="M93" s="144">
        <v>0.05</v>
      </c>
      <c r="N93" s="144">
        <v>0.05</v>
      </c>
      <c r="O93" s="144">
        <v>0.05</v>
      </c>
      <c r="P93" s="144">
        <v>0.05</v>
      </c>
      <c r="Q93" s="144">
        <v>0.05</v>
      </c>
      <c r="R93" s="144">
        <v>0.05</v>
      </c>
      <c r="S93" s="144">
        <v>0.05</v>
      </c>
      <c r="T93" s="144">
        <v>0.05</v>
      </c>
      <c r="U93" s="144">
        <v>0.05</v>
      </c>
      <c r="V93" s="144">
        <v>0.05</v>
      </c>
      <c r="W93" s="144">
        <v>0.05</v>
      </c>
      <c r="X93" s="144">
        <v>0.05</v>
      </c>
      <c r="Y93" s="144">
        <v>0.05</v>
      </c>
      <c r="Z93" s="144">
        <v>0.05</v>
      </c>
      <c r="AA93" s="144">
        <v>0.05</v>
      </c>
      <c r="AB93" s="144">
        <v>0.05</v>
      </c>
      <c r="AC93" s="144">
        <v>0.05</v>
      </c>
      <c r="AD93" s="144">
        <v>0.05</v>
      </c>
      <c r="AE93" s="144">
        <v>0.05</v>
      </c>
      <c r="AF93" s="144">
        <v>0.05</v>
      </c>
      <c r="AG93" s="144">
        <v>0.05</v>
      </c>
      <c r="AH93" s="144">
        <v>0.05</v>
      </c>
      <c r="AI93" s="144">
        <v>0.05</v>
      </c>
      <c r="AJ93" s="144">
        <v>0.05</v>
      </c>
      <c r="AK93" s="144">
        <v>0.05</v>
      </c>
      <c r="AL93" s="144">
        <v>0.05</v>
      </c>
      <c r="AM93" s="144">
        <v>0.05</v>
      </c>
      <c r="AN93" s="144">
        <v>0.05</v>
      </c>
      <c r="AO93" s="144">
        <v>0.05</v>
      </c>
      <c r="AP93" s="144">
        <v>0.05</v>
      </c>
      <c r="AQ93" s="144">
        <v>0.05</v>
      </c>
      <c r="AR93" s="144">
        <v>0.05</v>
      </c>
      <c r="AS93" s="144">
        <v>0.05</v>
      </c>
      <c r="AT93" s="144">
        <v>0.05</v>
      </c>
      <c r="AU93" s="144">
        <v>0.05</v>
      </c>
      <c r="AV93" s="144">
        <v>0.05</v>
      </c>
      <c r="AW93" s="144">
        <v>0.05</v>
      </c>
      <c r="AX93" s="144">
        <v>0.05</v>
      </c>
      <c r="AY93" s="144">
        <v>0.05</v>
      </c>
    </row>
    <row r="94" spans="1:51" x14ac:dyDescent="0.2">
      <c r="A94" s="85"/>
      <c r="C94" s="115" t="s">
        <v>142</v>
      </c>
      <c r="D94" s="144">
        <v>0.5</v>
      </c>
      <c r="E94" s="144">
        <v>0.5</v>
      </c>
      <c r="F94" s="144">
        <v>0.5</v>
      </c>
      <c r="G94" s="144">
        <v>0.5</v>
      </c>
      <c r="H94" s="144">
        <v>0.5</v>
      </c>
      <c r="I94" s="144">
        <v>0.5</v>
      </c>
      <c r="J94" s="144">
        <v>0.5</v>
      </c>
      <c r="K94" s="144">
        <v>0.5</v>
      </c>
      <c r="L94" s="144">
        <v>0.5</v>
      </c>
      <c r="M94" s="144">
        <v>0.5</v>
      </c>
      <c r="N94" s="144">
        <v>0.5</v>
      </c>
      <c r="O94" s="144">
        <v>0.5</v>
      </c>
      <c r="P94" s="144">
        <v>0.5</v>
      </c>
      <c r="Q94" s="144">
        <v>0.5</v>
      </c>
      <c r="R94" s="144">
        <v>0.5</v>
      </c>
      <c r="S94" s="144">
        <v>0.5</v>
      </c>
      <c r="T94" s="144">
        <v>0.5</v>
      </c>
      <c r="U94" s="144">
        <v>0.5</v>
      </c>
      <c r="V94" s="144">
        <v>0.5</v>
      </c>
      <c r="W94" s="144">
        <v>0.5</v>
      </c>
      <c r="X94" s="144">
        <v>0.5</v>
      </c>
      <c r="Y94" s="144">
        <v>0.5</v>
      </c>
      <c r="Z94" s="144">
        <v>0.5</v>
      </c>
      <c r="AA94" s="144">
        <v>0.5</v>
      </c>
      <c r="AB94" s="144">
        <v>0.5</v>
      </c>
      <c r="AC94" s="144">
        <v>0.5</v>
      </c>
      <c r="AD94" s="144">
        <v>0.5</v>
      </c>
      <c r="AE94" s="144">
        <v>0.5</v>
      </c>
      <c r="AF94" s="144">
        <v>0.5</v>
      </c>
      <c r="AG94" s="144">
        <v>0.5</v>
      </c>
      <c r="AH94" s="144">
        <v>0.5</v>
      </c>
      <c r="AI94" s="144">
        <v>0.5</v>
      </c>
      <c r="AJ94" s="144">
        <v>0.5</v>
      </c>
      <c r="AK94" s="144">
        <v>0.5</v>
      </c>
      <c r="AL94" s="144">
        <v>0.5</v>
      </c>
      <c r="AM94" s="144">
        <v>0.5</v>
      </c>
      <c r="AN94" s="144">
        <v>0.5</v>
      </c>
      <c r="AO94" s="144">
        <v>0.5</v>
      </c>
      <c r="AP94" s="144">
        <v>0.5</v>
      </c>
      <c r="AQ94" s="144">
        <v>0.5</v>
      </c>
      <c r="AR94" s="144">
        <v>0.5</v>
      </c>
      <c r="AS94" s="144">
        <v>0.5</v>
      </c>
      <c r="AT94" s="144">
        <v>0.5</v>
      </c>
      <c r="AU94" s="144">
        <v>0.5</v>
      </c>
      <c r="AV94" s="144">
        <v>0.5</v>
      </c>
      <c r="AW94" s="144">
        <v>0.5</v>
      </c>
      <c r="AX94" s="144">
        <v>0.5</v>
      </c>
      <c r="AY94" s="144">
        <v>0.5</v>
      </c>
    </row>
  </sheetData>
  <mergeCells count="4">
    <mergeCell ref="D6:O6"/>
    <mergeCell ref="P6:AA6"/>
    <mergeCell ref="AB6:AM6"/>
    <mergeCell ref="AN6:AY6"/>
  </mergeCells>
  <phoneticPr fontId="5" type="noConversion"/>
  <pageMargins left="0.32" right="0.7" top="0.75" bottom="0.75" header="0.3" footer="0.3"/>
  <pageSetup scale="36" fitToWidth="4" orientation="portrait" r:id="rId1"/>
  <colBreaks count="3" manualBreakCount="3">
    <brk id="15" max="1048575" man="1"/>
    <brk id="27" max="1048575" man="1"/>
    <brk id="39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8"/>
  <sheetViews>
    <sheetView showGridLines="0" zoomScale="90" zoomScaleNormal="90" zoomScaleSheetLayoutView="8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K13" sqref="K13"/>
    </sheetView>
  </sheetViews>
  <sheetFormatPr baseColWidth="10" defaultColWidth="9.1640625" defaultRowHeight="15" x14ac:dyDescent="0.2"/>
  <cols>
    <col min="1" max="1" width="19.5" style="198" customWidth="1"/>
    <col min="2" max="2" width="8.83203125" style="28" customWidth="1"/>
    <col min="3" max="3" width="17.33203125" style="29" customWidth="1"/>
    <col min="4" max="4" width="11.83203125" style="28" customWidth="1"/>
    <col min="5" max="5" width="10.6640625" style="30" customWidth="1"/>
    <col min="6" max="6" width="10.1640625" style="30" customWidth="1"/>
    <col min="7" max="7" width="10.5" style="30" customWidth="1"/>
    <col min="8" max="10" width="9.83203125" style="30" customWidth="1"/>
    <col min="11" max="11" width="11.83203125" style="30" customWidth="1"/>
    <col min="12" max="12" width="11" style="30" customWidth="1"/>
    <col min="13" max="13" width="9.83203125" style="30" customWidth="1"/>
    <col min="14" max="14" width="11.5" style="30" customWidth="1"/>
    <col min="15" max="15" width="11" style="30" customWidth="1"/>
    <col min="16" max="16" width="1.83203125" style="30" customWidth="1"/>
    <col min="17" max="17" width="15.83203125" style="30" customWidth="1"/>
    <col min="18" max="18" width="9.6640625" style="30" customWidth="1"/>
    <col min="19" max="65" width="9.6640625" style="30" bestFit="1" customWidth="1"/>
    <col min="66" max="16384" width="9.1640625" style="30"/>
  </cols>
  <sheetData>
    <row r="1" spans="1:66" s="194" customFormat="1" ht="19" x14ac:dyDescent="0.25">
      <c r="A1" s="196" t="s">
        <v>144</v>
      </c>
      <c r="B1" s="192"/>
      <c r="C1" s="193"/>
      <c r="D1" s="192"/>
    </row>
    <row r="2" spans="1:66" x14ac:dyDescent="0.2">
      <c r="A2" s="195"/>
    </row>
    <row r="3" spans="1:66" x14ac:dyDescent="0.2">
      <c r="A3" s="197"/>
      <c r="M3" s="31"/>
      <c r="Q3" s="72" t="s">
        <v>113</v>
      </c>
      <c r="R3" s="41">
        <v>1</v>
      </c>
      <c r="S3" s="41">
        <f>R3+1</f>
        <v>2</v>
      </c>
      <c r="T3" s="41">
        <f t="shared" ref="T3:BM3" si="0">S3+1</f>
        <v>3</v>
      </c>
      <c r="U3" s="41">
        <f t="shared" si="0"/>
        <v>4</v>
      </c>
      <c r="V3" s="41">
        <f t="shared" si="0"/>
        <v>5</v>
      </c>
      <c r="W3" s="41">
        <f t="shared" si="0"/>
        <v>6</v>
      </c>
      <c r="X3" s="41">
        <f t="shared" si="0"/>
        <v>7</v>
      </c>
      <c r="Y3" s="41">
        <f t="shared" si="0"/>
        <v>8</v>
      </c>
      <c r="Z3" s="41">
        <f t="shared" si="0"/>
        <v>9</v>
      </c>
      <c r="AA3" s="41">
        <f t="shared" si="0"/>
        <v>10</v>
      </c>
      <c r="AB3" s="41">
        <f t="shared" si="0"/>
        <v>11</v>
      </c>
      <c r="AC3" s="41">
        <f t="shared" si="0"/>
        <v>12</v>
      </c>
      <c r="AD3" s="41">
        <f t="shared" si="0"/>
        <v>13</v>
      </c>
      <c r="AE3" s="41">
        <f t="shared" si="0"/>
        <v>14</v>
      </c>
      <c r="AF3" s="41">
        <f t="shared" si="0"/>
        <v>15</v>
      </c>
      <c r="AG3" s="41">
        <f t="shared" si="0"/>
        <v>16</v>
      </c>
      <c r="AH3" s="41">
        <f t="shared" si="0"/>
        <v>17</v>
      </c>
      <c r="AI3" s="41">
        <f t="shared" si="0"/>
        <v>18</v>
      </c>
      <c r="AJ3" s="41">
        <f t="shared" si="0"/>
        <v>19</v>
      </c>
      <c r="AK3" s="41">
        <f t="shared" si="0"/>
        <v>20</v>
      </c>
      <c r="AL3" s="41">
        <f t="shared" si="0"/>
        <v>21</v>
      </c>
      <c r="AM3" s="41">
        <f t="shared" si="0"/>
        <v>22</v>
      </c>
      <c r="AN3" s="41">
        <f t="shared" si="0"/>
        <v>23</v>
      </c>
      <c r="AO3" s="41">
        <f t="shared" si="0"/>
        <v>24</v>
      </c>
      <c r="AP3" s="41">
        <f t="shared" si="0"/>
        <v>25</v>
      </c>
      <c r="AQ3" s="41">
        <f t="shared" si="0"/>
        <v>26</v>
      </c>
      <c r="AR3" s="41">
        <f t="shared" si="0"/>
        <v>27</v>
      </c>
      <c r="AS3" s="41">
        <f t="shared" si="0"/>
        <v>28</v>
      </c>
      <c r="AT3" s="41">
        <f t="shared" si="0"/>
        <v>29</v>
      </c>
      <c r="AU3" s="41">
        <f t="shared" si="0"/>
        <v>30</v>
      </c>
      <c r="AV3" s="41">
        <f t="shared" si="0"/>
        <v>31</v>
      </c>
      <c r="AW3" s="41">
        <f t="shared" si="0"/>
        <v>32</v>
      </c>
      <c r="AX3" s="41">
        <f t="shared" si="0"/>
        <v>33</v>
      </c>
      <c r="AY3" s="41">
        <f t="shared" si="0"/>
        <v>34</v>
      </c>
      <c r="AZ3" s="41">
        <f t="shared" si="0"/>
        <v>35</v>
      </c>
      <c r="BA3" s="41">
        <f t="shared" si="0"/>
        <v>36</v>
      </c>
      <c r="BB3" s="41">
        <f t="shared" si="0"/>
        <v>37</v>
      </c>
      <c r="BC3" s="41">
        <f t="shared" si="0"/>
        <v>38</v>
      </c>
      <c r="BD3" s="41">
        <f t="shared" si="0"/>
        <v>39</v>
      </c>
      <c r="BE3" s="41">
        <f t="shared" si="0"/>
        <v>40</v>
      </c>
      <c r="BF3" s="41">
        <f t="shared" si="0"/>
        <v>41</v>
      </c>
      <c r="BG3" s="41">
        <f t="shared" si="0"/>
        <v>42</v>
      </c>
      <c r="BH3" s="41">
        <f t="shared" si="0"/>
        <v>43</v>
      </c>
      <c r="BI3" s="41">
        <f t="shared" si="0"/>
        <v>44</v>
      </c>
      <c r="BJ3" s="41">
        <f t="shared" si="0"/>
        <v>45</v>
      </c>
      <c r="BK3" s="41">
        <f t="shared" si="0"/>
        <v>46</v>
      </c>
      <c r="BL3" s="41">
        <f t="shared" si="0"/>
        <v>47</v>
      </c>
      <c r="BM3" s="41">
        <f t="shared" si="0"/>
        <v>48</v>
      </c>
    </row>
    <row r="4" spans="1:66" x14ac:dyDescent="0.2">
      <c r="A4" s="203" t="s">
        <v>145</v>
      </c>
      <c r="B4" s="202"/>
      <c r="K4" s="1"/>
      <c r="L4" s="57"/>
      <c r="M4" s="108"/>
      <c r="N4" s="1"/>
      <c r="O4" s="57"/>
      <c r="P4" s="42"/>
      <c r="Q4" s="43" t="s">
        <v>111</v>
      </c>
      <c r="R4" s="44">
        <v>0.25</v>
      </c>
      <c r="S4" s="45">
        <v>0.15</v>
      </c>
      <c r="T4" s="45">
        <v>0.12</v>
      </c>
      <c r="U4" s="45">
        <v>0.11</v>
      </c>
      <c r="V4" s="45">
        <v>0.1</v>
      </c>
      <c r="W4" s="45">
        <v>0.09</v>
      </c>
      <c r="X4" s="45">
        <v>0.08</v>
      </c>
      <c r="Y4" s="45">
        <v>0.08</v>
      </c>
      <c r="Z4" s="45">
        <v>0.08</v>
      </c>
      <c r="AA4" s="45">
        <v>0.08</v>
      </c>
      <c r="AB4" s="45">
        <v>0.08</v>
      </c>
      <c r="AC4" s="45">
        <v>0.08</v>
      </c>
      <c r="AD4" s="45">
        <v>0.08</v>
      </c>
      <c r="AE4" s="45">
        <v>0.08</v>
      </c>
      <c r="AF4" s="45">
        <v>0.08</v>
      </c>
      <c r="AG4" s="45">
        <v>0.08</v>
      </c>
      <c r="AH4" s="45">
        <v>0.08</v>
      </c>
      <c r="AI4" s="45">
        <v>0.08</v>
      </c>
      <c r="AJ4" s="45">
        <v>0.08</v>
      </c>
      <c r="AK4" s="45">
        <v>0.08</v>
      </c>
      <c r="AL4" s="45">
        <v>0.08</v>
      </c>
      <c r="AM4" s="45">
        <v>0.08</v>
      </c>
      <c r="AN4" s="45">
        <v>0.08</v>
      </c>
      <c r="AO4" s="45">
        <v>0.08</v>
      </c>
      <c r="AP4" s="45">
        <v>0.08</v>
      </c>
      <c r="AQ4" s="45">
        <v>0.08</v>
      </c>
      <c r="AR4" s="45">
        <v>0.08</v>
      </c>
      <c r="AS4" s="45">
        <v>0.08</v>
      </c>
      <c r="AT4" s="45">
        <v>0.08</v>
      </c>
      <c r="AU4" s="45">
        <v>0.08</v>
      </c>
      <c r="AV4" s="45">
        <v>0.08</v>
      </c>
      <c r="AW4" s="45">
        <v>0.08</v>
      </c>
      <c r="AX4" s="45">
        <v>0.08</v>
      </c>
      <c r="AY4" s="45">
        <v>0.08</v>
      </c>
      <c r="AZ4" s="45">
        <v>0.08</v>
      </c>
      <c r="BA4" s="45">
        <v>0.08</v>
      </c>
      <c r="BB4" s="45">
        <v>0.08</v>
      </c>
      <c r="BC4" s="45">
        <v>0.08</v>
      </c>
      <c r="BD4" s="45">
        <v>0.08</v>
      </c>
      <c r="BE4" s="45">
        <v>0.08</v>
      </c>
      <c r="BF4" s="45">
        <v>0.08</v>
      </c>
      <c r="BG4" s="45">
        <v>0.08</v>
      </c>
      <c r="BH4" s="45">
        <v>0.08</v>
      </c>
      <c r="BI4" s="45">
        <v>0.08</v>
      </c>
      <c r="BJ4" s="45">
        <v>0.08</v>
      </c>
      <c r="BK4" s="45">
        <v>0.08</v>
      </c>
      <c r="BL4" s="45">
        <v>0.08</v>
      </c>
      <c r="BM4" s="46">
        <v>0.08</v>
      </c>
    </row>
    <row r="5" spans="1:66" x14ac:dyDescent="0.2">
      <c r="A5" s="50" t="s">
        <v>114</v>
      </c>
      <c r="B5" s="51">
        <v>10000</v>
      </c>
      <c r="K5" s="1"/>
      <c r="L5" s="57"/>
      <c r="M5" s="108"/>
      <c r="N5" s="1"/>
      <c r="O5" s="57"/>
      <c r="P5" s="42"/>
      <c r="Q5" s="43" t="s">
        <v>112</v>
      </c>
      <c r="R5" s="47">
        <v>0.1</v>
      </c>
      <c r="S5" s="48">
        <v>0.09</v>
      </c>
      <c r="T5" s="48">
        <v>0.08</v>
      </c>
      <c r="U5" s="48">
        <v>0.08</v>
      </c>
      <c r="V5" s="48">
        <v>0.08</v>
      </c>
      <c r="W5" s="48">
        <v>0.08</v>
      </c>
      <c r="X5" s="48">
        <v>0.08</v>
      </c>
      <c r="Y5" s="48">
        <v>0.08</v>
      </c>
      <c r="Z5" s="48">
        <v>0.08</v>
      </c>
      <c r="AA5" s="48">
        <v>0.08</v>
      </c>
      <c r="AB5" s="48">
        <v>0.08</v>
      </c>
      <c r="AC5" s="48">
        <v>0.08</v>
      </c>
      <c r="AD5" s="48">
        <v>0.08</v>
      </c>
      <c r="AE5" s="48">
        <v>0.08</v>
      </c>
      <c r="AF5" s="48">
        <v>0.08</v>
      </c>
      <c r="AG5" s="48">
        <v>0.08</v>
      </c>
      <c r="AH5" s="48">
        <v>0.08</v>
      </c>
      <c r="AI5" s="48">
        <v>0.08</v>
      </c>
      <c r="AJ5" s="48">
        <v>0.08</v>
      </c>
      <c r="AK5" s="48">
        <v>0.08</v>
      </c>
      <c r="AL5" s="48">
        <v>0.08</v>
      </c>
      <c r="AM5" s="48">
        <v>0.08</v>
      </c>
      <c r="AN5" s="48">
        <v>0.08</v>
      </c>
      <c r="AO5" s="48">
        <v>0.08</v>
      </c>
      <c r="AP5" s="48">
        <v>0.08</v>
      </c>
      <c r="AQ5" s="48">
        <v>0.08</v>
      </c>
      <c r="AR5" s="48">
        <v>0.08</v>
      </c>
      <c r="AS5" s="48">
        <v>0.08</v>
      </c>
      <c r="AT5" s="48">
        <v>0.08</v>
      </c>
      <c r="AU5" s="48">
        <v>0.08</v>
      </c>
      <c r="AV5" s="48">
        <v>0.08</v>
      </c>
      <c r="AW5" s="48">
        <v>0.08</v>
      </c>
      <c r="AX5" s="48">
        <v>0.08</v>
      </c>
      <c r="AY5" s="48">
        <v>0.08</v>
      </c>
      <c r="AZ5" s="48">
        <v>0.08</v>
      </c>
      <c r="BA5" s="48">
        <v>0.08</v>
      </c>
      <c r="BB5" s="48">
        <v>0.08</v>
      </c>
      <c r="BC5" s="48">
        <v>0.08</v>
      </c>
      <c r="BD5" s="48">
        <v>0.08</v>
      </c>
      <c r="BE5" s="48">
        <v>0.08</v>
      </c>
      <c r="BF5" s="48">
        <v>0.08</v>
      </c>
      <c r="BG5" s="48">
        <v>0.08</v>
      </c>
      <c r="BH5" s="48">
        <v>0.08</v>
      </c>
      <c r="BI5" s="48">
        <v>0.08</v>
      </c>
      <c r="BJ5" s="48">
        <v>0.08</v>
      </c>
      <c r="BK5" s="48">
        <v>0.08</v>
      </c>
      <c r="BL5" s="48">
        <v>0.08</v>
      </c>
      <c r="BM5" s="49">
        <v>0.08</v>
      </c>
    </row>
    <row r="6" spans="1:66" s="60" customFormat="1" x14ac:dyDescent="0.2">
      <c r="A6" s="199"/>
      <c r="B6" s="58"/>
      <c r="C6" s="59"/>
      <c r="D6" s="58"/>
      <c r="K6" s="61"/>
      <c r="L6" s="62"/>
      <c r="M6" s="109"/>
      <c r="N6" s="61"/>
      <c r="O6" s="62"/>
      <c r="P6" s="62"/>
      <c r="Q6" s="63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6" s="60" customFormat="1" x14ac:dyDescent="0.2">
      <c r="A7" s="199"/>
      <c r="B7" s="58"/>
      <c r="C7" s="59"/>
      <c r="D7" s="58"/>
      <c r="K7" s="61"/>
      <c r="L7" s="62"/>
      <c r="N7" s="61"/>
      <c r="O7" s="62"/>
      <c r="P7" s="62"/>
      <c r="Q7" s="68" t="s">
        <v>118</v>
      </c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205"/>
      <c r="BN7" s="206"/>
    </row>
    <row r="8" spans="1:66" ht="32" x14ac:dyDescent="0.2">
      <c r="A8" s="201" t="s">
        <v>110</v>
      </c>
      <c r="B8" s="106" t="s">
        <v>64</v>
      </c>
      <c r="C8" s="16" t="s">
        <v>119</v>
      </c>
      <c r="D8" s="106" t="s">
        <v>87</v>
      </c>
      <c r="E8" s="16" t="s">
        <v>107</v>
      </c>
      <c r="F8" s="19" t="s">
        <v>60</v>
      </c>
      <c r="G8" s="18" t="s">
        <v>115</v>
      </c>
      <c r="H8" s="19" t="s">
        <v>61</v>
      </c>
      <c r="I8" s="19" t="s">
        <v>62</v>
      </c>
      <c r="J8" s="19" t="s">
        <v>116</v>
      </c>
      <c r="K8" s="19" t="s">
        <v>97</v>
      </c>
      <c r="L8" s="19" t="s">
        <v>124</v>
      </c>
      <c r="M8" s="19" t="s">
        <v>109</v>
      </c>
      <c r="N8" s="19" t="s">
        <v>101</v>
      </c>
      <c r="O8" s="19" t="s">
        <v>117</v>
      </c>
      <c r="P8" s="19"/>
      <c r="Q8" s="66" t="s">
        <v>63</v>
      </c>
      <c r="R8" s="67" t="s">
        <v>4</v>
      </c>
      <c r="S8" s="67" t="s">
        <v>5</v>
      </c>
      <c r="T8" s="67" t="s">
        <v>6</v>
      </c>
      <c r="U8" s="67" t="s">
        <v>7</v>
      </c>
      <c r="V8" s="67" t="s">
        <v>8</v>
      </c>
      <c r="W8" s="67" t="s">
        <v>9</v>
      </c>
      <c r="X8" s="67" t="s">
        <v>10</v>
      </c>
      <c r="Y8" s="67" t="s">
        <v>11</v>
      </c>
      <c r="Z8" s="67" t="s">
        <v>12</v>
      </c>
      <c r="AA8" s="67" t="s">
        <v>13</v>
      </c>
      <c r="AB8" s="67" t="s">
        <v>14</v>
      </c>
      <c r="AC8" s="67" t="s">
        <v>15</v>
      </c>
      <c r="AD8" s="67" t="s">
        <v>16</v>
      </c>
      <c r="AE8" s="67" t="s">
        <v>17</v>
      </c>
      <c r="AF8" s="67" t="s">
        <v>18</v>
      </c>
      <c r="AG8" s="67" t="s">
        <v>19</v>
      </c>
      <c r="AH8" s="67" t="s">
        <v>20</v>
      </c>
      <c r="AI8" s="67" t="s">
        <v>21</v>
      </c>
      <c r="AJ8" s="67" t="s">
        <v>22</v>
      </c>
      <c r="AK8" s="67" t="s">
        <v>23</v>
      </c>
      <c r="AL8" s="67" t="s">
        <v>24</v>
      </c>
      <c r="AM8" s="67" t="s">
        <v>25</v>
      </c>
      <c r="AN8" s="67" t="s">
        <v>26</v>
      </c>
      <c r="AO8" s="67" t="s">
        <v>27</v>
      </c>
      <c r="AP8" s="67" t="s">
        <v>42</v>
      </c>
      <c r="AQ8" s="67" t="s">
        <v>43</v>
      </c>
      <c r="AR8" s="67" t="s">
        <v>44</v>
      </c>
      <c r="AS8" s="67" t="s">
        <v>45</v>
      </c>
      <c r="AT8" s="67" t="s">
        <v>46</v>
      </c>
      <c r="AU8" s="67" t="s">
        <v>47</v>
      </c>
      <c r="AV8" s="67" t="s">
        <v>48</v>
      </c>
      <c r="AW8" s="67" t="s">
        <v>49</v>
      </c>
      <c r="AX8" s="67" t="s">
        <v>50</v>
      </c>
      <c r="AY8" s="67" t="s">
        <v>51</v>
      </c>
      <c r="AZ8" s="67" t="s">
        <v>52</v>
      </c>
      <c r="BA8" s="67" t="s">
        <v>53</v>
      </c>
      <c r="BB8" s="67" t="s">
        <v>68</v>
      </c>
      <c r="BC8" s="67" t="s">
        <v>69</v>
      </c>
      <c r="BD8" s="67" t="s">
        <v>70</v>
      </c>
      <c r="BE8" s="67" t="s">
        <v>71</v>
      </c>
      <c r="BF8" s="67" t="s">
        <v>72</v>
      </c>
      <c r="BG8" s="67" t="s">
        <v>73</v>
      </c>
      <c r="BH8" s="67" t="s">
        <v>74</v>
      </c>
      <c r="BI8" s="67" t="s">
        <v>75</v>
      </c>
      <c r="BJ8" s="67" t="s">
        <v>76</v>
      </c>
      <c r="BK8" s="67" t="s">
        <v>77</v>
      </c>
      <c r="BL8" s="67" t="s">
        <v>78</v>
      </c>
      <c r="BM8" s="205" t="s">
        <v>79</v>
      </c>
      <c r="BN8" s="206"/>
    </row>
    <row r="9" spans="1:66" x14ac:dyDescent="0.2">
      <c r="A9" s="200" t="s">
        <v>80</v>
      </c>
      <c r="B9" s="7"/>
      <c r="C9" s="17"/>
      <c r="D9" s="7"/>
      <c r="E9" s="7"/>
      <c r="F9" s="32"/>
      <c r="G9" s="2"/>
      <c r="H9" s="6"/>
      <c r="I9" s="40"/>
      <c r="J9" s="24"/>
      <c r="K9" s="32"/>
      <c r="L9" s="34"/>
      <c r="M9" s="33"/>
      <c r="N9" s="33"/>
      <c r="O9" s="34" t="s">
        <v>41</v>
      </c>
      <c r="P9" s="34"/>
      <c r="Q9" s="52">
        <f>$B$5</f>
        <v>10000</v>
      </c>
      <c r="R9" s="11">
        <f>ROUND($Q9*R5,0)</f>
        <v>1000</v>
      </c>
      <c r="S9" s="11">
        <f t="shared" ref="S9:BM9" si="1">ROUND($Q9*S5,0)</f>
        <v>900</v>
      </c>
      <c r="T9" s="11">
        <f t="shared" si="1"/>
        <v>800</v>
      </c>
      <c r="U9" s="11">
        <f t="shared" si="1"/>
        <v>800</v>
      </c>
      <c r="V9" s="11">
        <f t="shared" si="1"/>
        <v>800</v>
      </c>
      <c r="W9" s="11">
        <f t="shared" si="1"/>
        <v>800</v>
      </c>
      <c r="X9" s="11">
        <f t="shared" si="1"/>
        <v>800</v>
      </c>
      <c r="Y9" s="11">
        <f t="shared" si="1"/>
        <v>800</v>
      </c>
      <c r="Z9" s="11">
        <f t="shared" si="1"/>
        <v>800</v>
      </c>
      <c r="AA9" s="11">
        <f t="shared" si="1"/>
        <v>800</v>
      </c>
      <c r="AB9" s="11">
        <f t="shared" si="1"/>
        <v>800</v>
      </c>
      <c r="AC9" s="11">
        <f t="shared" si="1"/>
        <v>800</v>
      </c>
      <c r="AD9" s="11">
        <f t="shared" si="1"/>
        <v>800</v>
      </c>
      <c r="AE9" s="11">
        <f t="shared" si="1"/>
        <v>800</v>
      </c>
      <c r="AF9" s="11">
        <f t="shared" si="1"/>
        <v>800</v>
      </c>
      <c r="AG9" s="11">
        <f t="shared" si="1"/>
        <v>800</v>
      </c>
      <c r="AH9" s="11">
        <f t="shared" si="1"/>
        <v>800</v>
      </c>
      <c r="AI9" s="11">
        <f t="shared" si="1"/>
        <v>800</v>
      </c>
      <c r="AJ9" s="11">
        <f t="shared" si="1"/>
        <v>800</v>
      </c>
      <c r="AK9" s="11">
        <f t="shared" si="1"/>
        <v>800</v>
      </c>
      <c r="AL9" s="11">
        <f t="shared" si="1"/>
        <v>800</v>
      </c>
      <c r="AM9" s="11">
        <f t="shared" si="1"/>
        <v>800</v>
      </c>
      <c r="AN9" s="11">
        <f t="shared" si="1"/>
        <v>800</v>
      </c>
      <c r="AO9" s="11">
        <f t="shared" si="1"/>
        <v>800</v>
      </c>
      <c r="AP9" s="11">
        <f t="shared" si="1"/>
        <v>800</v>
      </c>
      <c r="AQ9" s="11">
        <f t="shared" si="1"/>
        <v>800</v>
      </c>
      <c r="AR9" s="11">
        <f t="shared" si="1"/>
        <v>800</v>
      </c>
      <c r="AS9" s="11">
        <f t="shared" si="1"/>
        <v>800</v>
      </c>
      <c r="AT9" s="11">
        <f t="shared" si="1"/>
        <v>800</v>
      </c>
      <c r="AU9" s="11">
        <f t="shared" si="1"/>
        <v>800</v>
      </c>
      <c r="AV9" s="11">
        <f t="shared" si="1"/>
        <v>800</v>
      </c>
      <c r="AW9" s="11">
        <f t="shared" si="1"/>
        <v>800</v>
      </c>
      <c r="AX9" s="11">
        <f t="shared" si="1"/>
        <v>800</v>
      </c>
      <c r="AY9" s="11">
        <f t="shared" si="1"/>
        <v>800</v>
      </c>
      <c r="AZ9" s="11">
        <f t="shared" si="1"/>
        <v>800</v>
      </c>
      <c r="BA9" s="11">
        <f t="shared" si="1"/>
        <v>800</v>
      </c>
      <c r="BB9" s="11">
        <f t="shared" si="1"/>
        <v>800</v>
      </c>
      <c r="BC9" s="11">
        <f t="shared" si="1"/>
        <v>800</v>
      </c>
      <c r="BD9" s="11">
        <f t="shared" si="1"/>
        <v>800</v>
      </c>
      <c r="BE9" s="11">
        <f t="shared" si="1"/>
        <v>800</v>
      </c>
      <c r="BF9" s="11">
        <f t="shared" si="1"/>
        <v>800</v>
      </c>
      <c r="BG9" s="11">
        <f t="shared" si="1"/>
        <v>800</v>
      </c>
      <c r="BH9" s="11">
        <f t="shared" si="1"/>
        <v>800</v>
      </c>
      <c r="BI9" s="11">
        <f t="shared" si="1"/>
        <v>800</v>
      </c>
      <c r="BJ9" s="11">
        <f t="shared" si="1"/>
        <v>800</v>
      </c>
      <c r="BK9" s="11">
        <f t="shared" si="1"/>
        <v>800</v>
      </c>
      <c r="BL9" s="11">
        <f t="shared" si="1"/>
        <v>800</v>
      </c>
      <c r="BM9" s="11">
        <f t="shared" si="1"/>
        <v>800</v>
      </c>
    </row>
    <row r="10" spans="1:66" x14ac:dyDescent="0.2">
      <c r="A10" s="39">
        <v>43101</v>
      </c>
      <c r="B10" s="53">
        <v>100</v>
      </c>
      <c r="C10" s="54">
        <v>0</v>
      </c>
      <c r="D10" s="53">
        <v>100000</v>
      </c>
      <c r="E10" s="53">
        <v>60</v>
      </c>
      <c r="F10" s="32">
        <f t="shared" ref="F10:F45" si="2">ROUND(D10/E10,0)</f>
        <v>1667</v>
      </c>
      <c r="G10" s="54">
        <v>0.5</v>
      </c>
      <c r="H10" s="6">
        <f t="shared" ref="H10:H57" si="3">ROUND(F10*G10,0)</f>
        <v>834</v>
      </c>
      <c r="I10" s="32">
        <f t="shared" ref="I10:I57" si="4">F10+H10</f>
        <v>2501</v>
      </c>
      <c r="J10" s="24">
        <f t="shared" ref="J10:J57" si="5">D10/I10</f>
        <v>39.984006397441021</v>
      </c>
      <c r="K10" s="105">
        <f>Q10+R9</f>
        <v>3501</v>
      </c>
      <c r="L10" s="107">
        <f t="shared" ref="L10:L57" si="6">SUM(Q10:AZ10)</f>
        <v>10351</v>
      </c>
      <c r="M10" s="55">
        <f t="shared" ref="M10:M57" si="7">HLOOKUP(A10,IS_Rev_COGS,21)*B10*L10/Q10</f>
        <v>115.8758634365028</v>
      </c>
      <c r="N10" s="56">
        <f t="shared" ref="N10:N57" si="8">M10/J10</f>
        <v>2.8980553445469353</v>
      </c>
      <c r="O10" s="34">
        <f t="shared" ref="O10:O57" si="9">(K10-I10)/K10</f>
        <v>0.28563267637817769</v>
      </c>
      <c r="P10" s="34"/>
      <c r="Q10" s="35">
        <f t="shared" ref="Q10:Q57" si="10">I10</f>
        <v>2501</v>
      </c>
      <c r="R10" s="11">
        <f t="shared" ref="R10:AA19" si="11">ROUND($Q10*R$4*(1+$C10),0)</f>
        <v>625</v>
      </c>
      <c r="S10" s="11">
        <f t="shared" si="11"/>
        <v>375</v>
      </c>
      <c r="T10" s="11">
        <f t="shared" si="11"/>
        <v>300</v>
      </c>
      <c r="U10" s="11">
        <f t="shared" si="11"/>
        <v>275</v>
      </c>
      <c r="V10" s="11">
        <f t="shared" si="11"/>
        <v>250</v>
      </c>
      <c r="W10" s="11">
        <f t="shared" si="11"/>
        <v>225</v>
      </c>
      <c r="X10" s="11">
        <f t="shared" si="11"/>
        <v>200</v>
      </c>
      <c r="Y10" s="11">
        <f t="shared" si="11"/>
        <v>200</v>
      </c>
      <c r="Z10" s="11">
        <f t="shared" si="11"/>
        <v>200</v>
      </c>
      <c r="AA10" s="11">
        <f t="shared" si="11"/>
        <v>200</v>
      </c>
      <c r="AB10" s="11">
        <f t="shared" ref="AB10:AK19" si="12">ROUND($Q10*AB$4*(1+$C10),0)</f>
        <v>200</v>
      </c>
      <c r="AC10" s="11">
        <f t="shared" si="12"/>
        <v>200</v>
      </c>
      <c r="AD10" s="11">
        <f t="shared" si="12"/>
        <v>200</v>
      </c>
      <c r="AE10" s="11">
        <f t="shared" si="12"/>
        <v>200</v>
      </c>
      <c r="AF10" s="11">
        <f t="shared" si="12"/>
        <v>200</v>
      </c>
      <c r="AG10" s="11">
        <f t="shared" si="12"/>
        <v>200</v>
      </c>
      <c r="AH10" s="11">
        <f t="shared" si="12"/>
        <v>200</v>
      </c>
      <c r="AI10" s="11">
        <f t="shared" si="12"/>
        <v>200</v>
      </c>
      <c r="AJ10" s="11">
        <f t="shared" si="12"/>
        <v>200</v>
      </c>
      <c r="AK10" s="11">
        <f t="shared" si="12"/>
        <v>200</v>
      </c>
      <c r="AL10" s="11">
        <f t="shared" ref="AL10:AU19" si="13">ROUND($Q10*AL$4*(1+$C10),0)</f>
        <v>200</v>
      </c>
      <c r="AM10" s="11">
        <f t="shared" si="13"/>
        <v>200</v>
      </c>
      <c r="AN10" s="11">
        <f t="shared" si="13"/>
        <v>200</v>
      </c>
      <c r="AO10" s="11">
        <f t="shared" si="13"/>
        <v>200</v>
      </c>
      <c r="AP10" s="11">
        <f t="shared" si="13"/>
        <v>200</v>
      </c>
      <c r="AQ10" s="11">
        <f t="shared" si="13"/>
        <v>200</v>
      </c>
      <c r="AR10" s="11">
        <f t="shared" si="13"/>
        <v>200</v>
      </c>
      <c r="AS10" s="11">
        <f t="shared" si="13"/>
        <v>200</v>
      </c>
      <c r="AT10" s="11">
        <f t="shared" si="13"/>
        <v>200</v>
      </c>
      <c r="AU10" s="11">
        <f t="shared" si="13"/>
        <v>200</v>
      </c>
      <c r="AV10" s="11">
        <f t="shared" ref="AV10:BE19" si="14">ROUND($Q10*AV$4*(1+$C10),0)</f>
        <v>200</v>
      </c>
      <c r="AW10" s="11">
        <f t="shared" si="14"/>
        <v>200</v>
      </c>
      <c r="AX10" s="11">
        <f t="shared" si="14"/>
        <v>200</v>
      </c>
      <c r="AY10" s="11">
        <f t="shared" si="14"/>
        <v>200</v>
      </c>
      <c r="AZ10" s="11">
        <f t="shared" si="14"/>
        <v>200</v>
      </c>
      <c r="BA10" s="11">
        <f t="shared" si="14"/>
        <v>200</v>
      </c>
      <c r="BB10" s="11">
        <f t="shared" si="14"/>
        <v>200</v>
      </c>
      <c r="BC10" s="11">
        <f t="shared" si="14"/>
        <v>200</v>
      </c>
      <c r="BD10" s="11">
        <f t="shared" si="14"/>
        <v>200</v>
      </c>
      <c r="BE10" s="11">
        <f t="shared" si="14"/>
        <v>200</v>
      </c>
      <c r="BF10" s="11">
        <f t="shared" ref="BF10:BM19" si="15">ROUND($Q10*BF$4*(1+$C10),0)</f>
        <v>200</v>
      </c>
      <c r="BG10" s="11">
        <f t="shared" si="15"/>
        <v>200</v>
      </c>
      <c r="BH10" s="11">
        <f t="shared" si="15"/>
        <v>200</v>
      </c>
      <c r="BI10" s="11">
        <f t="shared" si="15"/>
        <v>200</v>
      </c>
      <c r="BJ10" s="11">
        <f t="shared" si="15"/>
        <v>200</v>
      </c>
      <c r="BK10" s="11">
        <f t="shared" si="15"/>
        <v>200</v>
      </c>
      <c r="BL10" s="11">
        <f t="shared" si="15"/>
        <v>200</v>
      </c>
      <c r="BM10" s="10">
        <f t="shared" si="15"/>
        <v>200</v>
      </c>
    </row>
    <row r="11" spans="1:66" x14ac:dyDescent="0.2">
      <c r="A11" s="39">
        <v>43132</v>
      </c>
      <c r="B11" s="53">
        <v>100</v>
      </c>
      <c r="C11" s="54">
        <v>0</v>
      </c>
      <c r="D11" s="53">
        <v>100000</v>
      </c>
      <c r="E11" s="53">
        <v>60</v>
      </c>
      <c r="F11" s="32">
        <f t="shared" si="2"/>
        <v>1667</v>
      </c>
      <c r="G11" s="54">
        <v>0.5</v>
      </c>
      <c r="H11" s="6">
        <f t="shared" si="3"/>
        <v>834</v>
      </c>
      <c r="I11" s="32">
        <f t="shared" si="4"/>
        <v>2501</v>
      </c>
      <c r="J11" s="24">
        <f t="shared" si="5"/>
        <v>39.984006397441021</v>
      </c>
      <c r="K11" s="105">
        <f>Q11+R10+S9</f>
        <v>4026</v>
      </c>
      <c r="L11" s="107">
        <f t="shared" si="6"/>
        <v>10351</v>
      </c>
      <c r="M11" s="55">
        <f t="shared" si="7"/>
        <v>115.8758634365028</v>
      </c>
      <c r="N11" s="56">
        <f t="shared" si="8"/>
        <v>2.8980553445469353</v>
      </c>
      <c r="O11" s="34">
        <f t="shared" si="9"/>
        <v>0.37878787878787878</v>
      </c>
      <c r="P11" s="34"/>
      <c r="Q11" s="35">
        <f t="shared" si="10"/>
        <v>2501</v>
      </c>
      <c r="R11" s="11">
        <f t="shared" si="11"/>
        <v>625</v>
      </c>
      <c r="S11" s="11">
        <f t="shared" si="11"/>
        <v>375</v>
      </c>
      <c r="T11" s="11">
        <f t="shared" si="11"/>
        <v>300</v>
      </c>
      <c r="U11" s="11">
        <f t="shared" si="11"/>
        <v>275</v>
      </c>
      <c r="V11" s="11">
        <f t="shared" si="11"/>
        <v>250</v>
      </c>
      <c r="W11" s="11">
        <f t="shared" si="11"/>
        <v>225</v>
      </c>
      <c r="X11" s="11">
        <f t="shared" si="11"/>
        <v>200</v>
      </c>
      <c r="Y11" s="11">
        <f t="shared" si="11"/>
        <v>200</v>
      </c>
      <c r="Z11" s="11">
        <f t="shared" si="11"/>
        <v>200</v>
      </c>
      <c r="AA11" s="11">
        <f t="shared" si="11"/>
        <v>200</v>
      </c>
      <c r="AB11" s="11">
        <f t="shared" si="12"/>
        <v>200</v>
      </c>
      <c r="AC11" s="11">
        <f t="shared" si="12"/>
        <v>200</v>
      </c>
      <c r="AD11" s="11">
        <f t="shared" si="12"/>
        <v>200</v>
      </c>
      <c r="AE11" s="11">
        <f t="shared" si="12"/>
        <v>200</v>
      </c>
      <c r="AF11" s="11">
        <f t="shared" si="12"/>
        <v>200</v>
      </c>
      <c r="AG11" s="11">
        <f t="shared" si="12"/>
        <v>200</v>
      </c>
      <c r="AH11" s="11">
        <f t="shared" si="12"/>
        <v>200</v>
      </c>
      <c r="AI11" s="11">
        <f t="shared" si="12"/>
        <v>200</v>
      </c>
      <c r="AJ11" s="11">
        <f t="shared" si="12"/>
        <v>200</v>
      </c>
      <c r="AK11" s="11">
        <f t="shared" si="12"/>
        <v>200</v>
      </c>
      <c r="AL11" s="11">
        <f t="shared" si="13"/>
        <v>200</v>
      </c>
      <c r="AM11" s="11">
        <f t="shared" si="13"/>
        <v>200</v>
      </c>
      <c r="AN11" s="11">
        <f t="shared" si="13"/>
        <v>200</v>
      </c>
      <c r="AO11" s="11">
        <f t="shared" si="13"/>
        <v>200</v>
      </c>
      <c r="AP11" s="11">
        <f t="shared" si="13"/>
        <v>200</v>
      </c>
      <c r="AQ11" s="11">
        <f t="shared" si="13"/>
        <v>200</v>
      </c>
      <c r="AR11" s="11">
        <f t="shared" si="13"/>
        <v>200</v>
      </c>
      <c r="AS11" s="11">
        <f t="shared" si="13"/>
        <v>200</v>
      </c>
      <c r="AT11" s="11">
        <f t="shared" si="13"/>
        <v>200</v>
      </c>
      <c r="AU11" s="11">
        <f t="shared" si="13"/>
        <v>200</v>
      </c>
      <c r="AV11" s="11">
        <f t="shared" si="14"/>
        <v>200</v>
      </c>
      <c r="AW11" s="11">
        <f t="shared" si="14"/>
        <v>200</v>
      </c>
      <c r="AX11" s="11">
        <f t="shared" si="14"/>
        <v>200</v>
      </c>
      <c r="AY11" s="11">
        <f t="shared" si="14"/>
        <v>200</v>
      </c>
      <c r="AZ11" s="11">
        <f t="shared" si="14"/>
        <v>200</v>
      </c>
      <c r="BA11" s="11">
        <f t="shared" si="14"/>
        <v>200</v>
      </c>
      <c r="BB11" s="11">
        <f t="shared" si="14"/>
        <v>200</v>
      </c>
      <c r="BC11" s="11">
        <f t="shared" si="14"/>
        <v>200</v>
      </c>
      <c r="BD11" s="11">
        <f t="shared" si="14"/>
        <v>200</v>
      </c>
      <c r="BE11" s="11">
        <f t="shared" si="14"/>
        <v>200</v>
      </c>
      <c r="BF11" s="11">
        <f t="shared" si="15"/>
        <v>200</v>
      </c>
      <c r="BG11" s="11">
        <f t="shared" si="15"/>
        <v>200</v>
      </c>
      <c r="BH11" s="11">
        <f t="shared" si="15"/>
        <v>200</v>
      </c>
      <c r="BI11" s="11">
        <f t="shared" si="15"/>
        <v>200</v>
      </c>
      <c r="BJ11" s="11">
        <f t="shared" si="15"/>
        <v>200</v>
      </c>
      <c r="BK11" s="11">
        <f t="shared" si="15"/>
        <v>200</v>
      </c>
      <c r="BL11" s="10">
        <f t="shared" si="15"/>
        <v>200</v>
      </c>
      <c r="BM11" s="10">
        <f t="shared" si="15"/>
        <v>200</v>
      </c>
    </row>
    <row r="12" spans="1:66" x14ac:dyDescent="0.2">
      <c r="A12" s="39">
        <v>43160</v>
      </c>
      <c r="B12" s="53">
        <v>100</v>
      </c>
      <c r="C12" s="54">
        <v>0</v>
      </c>
      <c r="D12" s="53">
        <v>100000</v>
      </c>
      <c r="E12" s="53">
        <v>60</v>
      </c>
      <c r="F12" s="32">
        <f t="shared" si="2"/>
        <v>1667</v>
      </c>
      <c r="G12" s="54">
        <v>0.5</v>
      </c>
      <c r="H12" s="6">
        <f t="shared" si="3"/>
        <v>834</v>
      </c>
      <c r="I12" s="32">
        <f t="shared" si="4"/>
        <v>2501</v>
      </c>
      <c r="J12" s="24">
        <f t="shared" si="5"/>
        <v>39.984006397441021</v>
      </c>
      <c r="K12" s="105">
        <f>Q12+R11+S10+T9</f>
        <v>4301</v>
      </c>
      <c r="L12" s="107">
        <f t="shared" si="6"/>
        <v>10351</v>
      </c>
      <c r="M12" s="55">
        <f t="shared" si="7"/>
        <v>115.8758634365028</v>
      </c>
      <c r="N12" s="56">
        <f t="shared" si="8"/>
        <v>2.8980553445469353</v>
      </c>
      <c r="O12" s="34">
        <f t="shared" si="9"/>
        <v>0.41850732387816786</v>
      </c>
      <c r="P12" s="34"/>
      <c r="Q12" s="35">
        <f t="shared" si="10"/>
        <v>2501</v>
      </c>
      <c r="R12" s="11">
        <f t="shared" si="11"/>
        <v>625</v>
      </c>
      <c r="S12" s="11">
        <f t="shared" si="11"/>
        <v>375</v>
      </c>
      <c r="T12" s="11">
        <f t="shared" si="11"/>
        <v>300</v>
      </c>
      <c r="U12" s="11">
        <f t="shared" si="11"/>
        <v>275</v>
      </c>
      <c r="V12" s="11">
        <f t="shared" si="11"/>
        <v>250</v>
      </c>
      <c r="W12" s="11">
        <f t="shared" si="11"/>
        <v>225</v>
      </c>
      <c r="X12" s="11">
        <f t="shared" si="11"/>
        <v>200</v>
      </c>
      <c r="Y12" s="11">
        <f t="shared" si="11"/>
        <v>200</v>
      </c>
      <c r="Z12" s="11">
        <f t="shared" si="11"/>
        <v>200</v>
      </c>
      <c r="AA12" s="11">
        <f t="shared" si="11"/>
        <v>200</v>
      </c>
      <c r="AB12" s="11">
        <f t="shared" si="12"/>
        <v>200</v>
      </c>
      <c r="AC12" s="11">
        <f t="shared" si="12"/>
        <v>200</v>
      </c>
      <c r="AD12" s="11">
        <f t="shared" si="12"/>
        <v>200</v>
      </c>
      <c r="AE12" s="11">
        <f t="shared" si="12"/>
        <v>200</v>
      </c>
      <c r="AF12" s="11">
        <f t="shared" si="12"/>
        <v>200</v>
      </c>
      <c r="AG12" s="11">
        <f t="shared" si="12"/>
        <v>200</v>
      </c>
      <c r="AH12" s="11">
        <f t="shared" si="12"/>
        <v>200</v>
      </c>
      <c r="AI12" s="11">
        <f t="shared" si="12"/>
        <v>200</v>
      </c>
      <c r="AJ12" s="11">
        <f t="shared" si="12"/>
        <v>200</v>
      </c>
      <c r="AK12" s="11">
        <f t="shared" si="12"/>
        <v>200</v>
      </c>
      <c r="AL12" s="11">
        <f t="shared" si="13"/>
        <v>200</v>
      </c>
      <c r="AM12" s="11">
        <f t="shared" si="13"/>
        <v>200</v>
      </c>
      <c r="AN12" s="11">
        <f t="shared" si="13"/>
        <v>200</v>
      </c>
      <c r="AO12" s="11">
        <f t="shared" si="13"/>
        <v>200</v>
      </c>
      <c r="AP12" s="11">
        <f t="shared" si="13"/>
        <v>200</v>
      </c>
      <c r="AQ12" s="11">
        <f t="shared" si="13"/>
        <v>200</v>
      </c>
      <c r="AR12" s="11">
        <f t="shared" si="13"/>
        <v>200</v>
      </c>
      <c r="AS12" s="11">
        <f t="shared" si="13"/>
        <v>200</v>
      </c>
      <c r="AT12" s="11">
        <f t="shared" si="13"/>
        <v>200</v>
      </c>
      <c r="AU12" s="11">
        <f t="shared" si="13"/>
        <v>200</v>
      </c>
      <c r="AV12" s="11">
        <f t="shared" si="14"/>
        <v>200</v>
      </c>
      <c r="AW12" s="11">
        <f t="shared" si="14"/>
        <v>200</v>
      </c>
      <c r="AX12" s="11">
        <f t="shared" si="14"/>
        <v>200</v>
      </c>
      <c r="AY12" s="11">
        <f t="shared" si="14"/>
        <v>200</v>
      </c>
      <c r="AZ12" s="11">
        <f t="shared" si="14"/>
        <v>200</v>
      </c>
      <c r="BA12" s="11">
        <f t="shared" si="14"/>
        <v>200</v>
      </c>
      <c r="BB12" s="11">
        <f t="shared" si="14"/>
        <v>200</v>
      </c>
      <c r="BC12" s="11">
        <f t="shared" si="14"/>
        <v>200</v>
      </c>
      <c r="BD12" s="11">
        <f t="shared" si="14"/>
        <v>200</v>
      </c>
      <c r="BE12" s="11">
        <f t="shared" si="14"/>
        <v>200</v>
      </c>
      <c r="BF12" s="11">
        <f t="shared" si="15"/>
        <v>200</v>
      </c>
      <c r="BG12" s="11">
        <f t="shared" si="15"/>
        <v>200</v>
      </c>
      <c r="BH12" s="11">
        <f t="shared" si="15"/>
        <v>200</v>
      </c>
      <c r="BI12" s="11">
        <f t="shared" si="15"/>
        <v>200</v>
      </c>
      <c r="BJ12" s="11">
        <f t="shared" si="15"/>
        <v>200</v>
      </c>
      <c r="BK12" s="10">
        <f t="shared" si="15"/>
        <v>200</v>
      </c>
      <c r="BL12" s="10">
        <f t="shared" si="15"/>
        <v>200</v>
      </c>
      <c r="BM12" s="10">
        <f t="shared" si="15"/>
        <v>200</v>
      </c>
    </row>
    <row r="13" spans="1:66" x14ac:dyDescent="0.2">
      <c r="A13" s="39">
        <v>43191</v>
      </c>
      <c r="B13" s="53">
        <v>100</v>
      </c>
      <c r="C13" s="54">
        <v>0</v>
      </c>
      <c r="D13" s="53">
        <v>100000</v>
      </c>
      <c r="E13" s="53">
        <v>60</v>
      </c>
      <c r="F13" s="32">
        <f t="shared" si="2"/>
        <v>1667</v>
      </c>
      <c r="G13" s="54">
        <v>0.5</v>
      </c>
      <c r="H13" s="6">
        <f t="shared" si="3"/>
        <v>834</v>
      </c>
      <c r="I13" s="32">
        <f t="shared" si="4"/>
        <v>2501</v>
      </c>
      <c r="J13" s="24">
        <f t="shared" si="5"/>
        <v>39.984006397441021</v>
      </c>
      <c r="K13" s="105">
        <f>Q13+R12+S11+T10+U9</f>
        <v>4601</v>
      </c>
      <c r="L13" s="107">
        <f t="shared" si="6"/>
        <v>10351</v>
      </c>
      <c r="M13" s="55">
        <f t="shared" si="7"/>
        <v>120.43454566084584</v>
      </c>
      <c r="N13" s="56">
        <f t="shared" si="8"/>
        <v>3.0120679869777547</v>
      </c>
      <c r="O13" s="34">
        <f t="shared" si="9"/>
        <v>0.45642251684416429</v>
      </c>
      <c r="P13" s="34"/>
      <c r="Q13" s="35">
        <f t="shared" si="10"/>
        <v>2501</v>
      </c>
      <c r="R13" s="11">
        <f t="shared" si="11"/>
        <v>625</v>
      </c>
      <c r="S13" s="11">
        <f t="shared" si="11"/>
        <v>375</v>
      </c>
      <c r="T13" s="11">
        <f t="shared" si="11"/>
        <v>300</v>
      </c>
      <c r="U13" s="11">
        <f t="shared" si="11"/>
        <v>275</v>
      </c>
      <c r="V13" s="11">
        <f t="shared" si="11"/>
        <v>250</v>
      </c>
      <c r="W13" s="11">
        <f t="shared" si="11"/>
        <v>225</v>
      </c>
      <c r="X13" s="11">
        <f t="shared" si="11"/>
        <v>200</v>
      </c>
      <c r="Y13" s="11">
        <f t="shared" si="11"/>
        <v>200</v>
      </c>
      <c r="Z13" s="11">
        <f t="shared" si="11"/>
        <v>200</v>
      </c>
      <c r="AA13" s="11">
        <f t="shared" si="11"/>
        <v>200</v>
      </c>
      <c r="AB13" s="11">
        <f t="shared" si="12"/>
        <v>200</v>
      </c>
      <c r="AC13" s="11">
        <f t="shared" si="12"/>
        <v>200</v>
      </c>
      <c r="AD13" s="11">
        <f t="shared" si="12"/>
        <v>200</v>
      </c>
      <c r="AE13" s="11">
        <f t="shared" si="12"/>
        <v>200</v>
      </c>
      <c r="AF13" s="11">
        <f t="shared" si="12"/>
        <v>200</v>
      </c>
      <c r="AG13" s="11">
        <f t="shared" si="12"/>
        <v>200</v>
      </c>
      <c r="AH13" s="11">
        <f t="shared" si="12"/>
        <v>200</v>
      </c>
      <c r="AI13" s="11">
        <f t="shared" si="12"/>
        <v>200</v>
      </c>
      <c r="AJ13" s="11">
        <f t="shared" si="12"/>
        <v>200</v>
      </c>
      <c r="AK13" s="11">
        <f t="shared" si="12"/>
        <v>200</v>
      </c>
      <c r="AL13" s="11">
        <f t="shared" si="13"/>
        <v>200</v>
      </c>
      <c r="AM13" s="11">
        <f t="shared" si="13"/>
        <v>200</v>
      </c>
      <c r="AN13" s="11">
        <f t="shared" si="13"/>
        <v>200</v>
      </c>
      <c r="AO13" s="11">
        <f t="shared" si="13"/>
        <v>200</v>
      </c>
      <c r="AP13" s="11">
        <f t="shared" si="13"/>
        <v>200</v>
      </c>
      <c r="AQ13" s="11">
        <f t="shared" si="13"/>
        <v>200</v>
      </c>
      <c r="AR13" s="11">
        <f t="shared" si="13"/>
        <v>200</v>
      </c>
      <c r="AS13" s="11">
        <f t="shared" si="13"/>
        <v>200</v>
      </c>
      <c r="AT13" s="11">
        <f t="shared" si="13"/>
        <v>200</v>
      </c>
      <c r="AU13" s="11">
        <f t="shared" si="13"/>
        <v>200</v>
      </c>
      <c r="AV13" s="11">
        <f t="shared" si="14"/>
        <v>200</v>
      </c>
      <c r="AW13" s="11">
        <f t="shared" si="14"/>
        <v>200</v>
      </c>
      <c r="AX13" s="11">
        <f t="shared" si="14"/>
        <v>200</v>
      </c>
      <c r="AY13" s="11">
        <f t="shared" si="14"/>
        <v>200</v>
      </c>
      <c r="AZ13" s="11">
        <f t="shared" si="14"/>
        <v>200</v>
      </c>
      <c r="BA13" s="11">
        <f t="shared" si="14"/>
        <v>200</v>
      </c>
      <c r="BB13" s="11">
        <f t="shared" si="14"/>
        <v>200</v>
      </c>
      <c r="BC13" s="11">
        <f t="shared" si="14"/>
        <v>200</v>
      </c>
      <c r="BD13" s="11">
        <f t="shared" si="14"/>
        <v>200</v>
      </c>
      <c r="BE13" s="11">
        <f t="shared" si="14"/>
        <v>200</v>
      </c>
      <c r="BF13" s="11">
        <f t="shared" si="15"/>
        <v>200</v>
      </c>
      <c r="BG13" s="11">
        <f t="shared" si="15"/>
        <v>200</v>
      </c>
      <c r="BH13" s="11">
        <f t="shared" si="15"/>
        <v>200</v>
      </c>
      <c r="BI13" s="11">
        <f t="shared" si="15"/>
        <v>200</v>
      </c>
      <c r="BJ13" s="10">
        <f t="shared" si="15"/>
        <v>200</v>
      </c>
      <c r="BK13" s="10">
        <f t="shared" si="15"/>
        <v>200</v>
      </c>
      <c r="BL13" s="10">
        <f t="shared" si="15"/>
        <v>200</v>
      </c>
      <c r="BM13" s="10">
        <f t="shared" si="15"/>
        <v>200</v>
      </c>
    </row>
    <row r="14" spans="1:66" x14ac:dyDescent="0.2">
      <c r="A14" s="39">
        <v>43221</v>
      </c>
      <c r="B14" s="53">
        <v>100</v>
      </c>
      <c r="C14" s="54">
        <v>0.01</v>
      </c>
      <c r="D14" s="53">
        <v>100000</v>
      </c>
      <c r="E14" s="53">
        <v>60</v>
      </c>
      <c r="F14" s="32">
        <f t="shared" si="2"/>
        <v>1667</v>
      </c>
      <c r="G14" s="54">
        <v>0.5</v>
      </c>
      <c r="H14" s="6">
        <f t="shared" si="3"/>
        <v>834</v>
      </c>
      <c r="I14" s="32">
        <f t="shared" si="4"/>
        <v>2501</v>
      </c>
      <c r="J14" s="24">
        <f t="shared" si="5"/>
        <v>39.984006397441021</v>
      </c>
      <c r="K14" s="105">
        <f>Q14+R13+S12+T11+U10+V9</f>
        <v>4876</v>
      </c>
      <c r="L14" s="107">
        <f t="shared" si="6"/>
        <v>10431</v>
      </c>
      <c r="M14" s="55">
        <f t="shared" si="7"/>
        <v>121.36535076690978</v>
      </c>
      <c r="N14" s="56">
        <f t="shared" si="8"/>
        <v>3.035347422680414</v>
      </c>
      <c r="O14" s="34">
        <f t="shared" si="9"/>
        <v>0.48707957342083674</v>
      </c>
      <c r="P14" s="34"/>
      <c r="Q14" s="35">
        <f t="shared" si="10"/>
        <v>2501</v>
      </c>
      <c r="R14" s="11">
        <f t="shared" si="11"/>
        <v>632</v>
      </c>
      <c r="S14" s="11">
        <f t="shared" si="11"/>
        <v>379</v>
      </c>
      <c r="T14" s="11">
        <f t="shared" si="11"/>
        <v>303</v>
      </c>
      <c r="U14" s="11">
        <f t="shared" si="11"/>
        <v>278</v>
      </c>
      <c r="V14" s="11">
        <f t="shared" si="11"/>
        <v>253</v>
      </c>
      <c r="W14" s="11">
        <f t="shared" si="11"/>
        <v>227</v>
      </c>
      <c r="X14" s="11">
        <f t="shared" si="11"/>
        <v>202</v>
      </c>
      <c r="Y14" s="11">
        <f t="shared" si="11"/>
        <v>202</v>
      </c>
      <c r="Z14" s="11">
        <f t="shared" si="11"/>
        <v>202</v>
      </c>
      <c r="AA14" s="11">
        <f t="shared" si="11"/>
        <v>202</v>
      </c>
      <c r="AB14" s="11">
        <f t="shared" si="12"/>
        <v>202</v>
      </c>
      <c r="AC14" s="11">
        <f t="shared" si="12"/>
        <v>202</v>
      </c>
      <c r="AD14" s="11">
        <f t="shared" si="12"/>
        <v>202</v>
      </c>
      <c r="AE14" s="11">
        <f t="shared" si="12"/>
        <v>202</v>
      </c>
      <c r="AF14" s="11">
        <f t="shared" si="12"/>
        <v>202</v>
      </c>
      <c r="AG14" s="11">
        <f t="shared" si="12"/>
        <v>202</v>
      </c>
      <c r="AH14" s="11">
        <f t="shared" si="12"/>
        <v>202</v>
      </c>
      <c r="AI14" s="11">
        <f t="shared" si="12"/>
        <v>202</v>
      </c>
      <c r="AJ14" s="11">
        <f t="shared" si="12"/>
        <v>202</v>
      </c>
      <c r="AK14" s="11">
        <f t="shared" si="12"/>
        <v>202</v>
      </c>
      <c r="AL14" s="11">
        <f t="shared" si="13"/>
        <v>202</v>
      </c>
      <c r="AM14" s="11">
        <f t="shared" si="13"/>
        <v>202</v>
      </c>
      <c r="AN14" s="11">
        <f t="shared" si="13"/>
        <v>202</v>
      </c>
      <c r="AO14" s="11">
        <f t="shared" si="13"/>
        <v>202</v>
      </c>
      <c r="AP14" s="11">
        <f t="shared" si="13"/>
        <v>202</v>
      </c>
      <c r="AQ14" s="11">
        <f t="shared" si="13"/>
        <v>202</v>
      </c>
      <c r="AR14" s="11">
        <f t="shared" si="13"/>
        <v>202</v>
      </c>
      <c r="AS14" s="11">
        <f t="shared" si="13"/>
        <v>202</v>
      </c>
      <c r="AT14" s="11">
        <f t="shared" si="13"/>
        <v>202</v>
      </c>
      <c r="AU14" s="11">
        <f t="shared" si="13"/>
        <v>202</v>
      </c>
      <c r="AV14" s="11">
        <f t="shared" si="14"/>
        <v>202</v>
      </c>
      <c r="AW14" s="11">
        <f t="shared" si="14"/>
        <v>202</v>
      </c>
      <c r="AX14" s="11">
        <f t="shared" si="14"/>
        <v>202</v>
      </c>
      <c r="AY14" s="11">
        <f t="shared" si="14"/>
        <v>202</v>
      </c>
      <c r="AZ14" s="11">
        <f t="shared" si="14"/>
        <v>202</v>
      </c>
      <c r="BA14" s="11">
        <f t="shared" si="14"/>
        <v>202</v>
      </c>
      <c r="BB14" s="11">
        <f t="shared" si="14"/>
        <v>202</v>
      </c>
      <c r="BC14" s="11">
        <f t="shared" si="14"/>
        <v>202</v>
      </c>
      <c r="BD14" s="11">
        <f t="shared" si="14"/>
        <v>202</v>
      </c>
      <c r="BE14" s="11">
        <f t="shared" si="14"/>
        <v>202</v>
      </c>
      <c r="BF14" s="11">
        <f t="shared" si="15"/>
        <v>202</v>
      </c>
      <c r="BG14" s="11">
        <f t="shared" si="15"/>
        <v>202</v>
      </c>
      <c r="BH14" s="11">
        <f t="shared" si="15"/>
        <v>202</v>
      </c>
      <c r="BI14" s="10">
        <f t="shared" si="15"/>
        <v>202</v>
      </c>
      <c r="BJ14" s="10">
        <f t="shared" si="15"/>
        <v>202</v>
      </c>
      <c r="BK14" s="10">
        <f t="shared" si="15"/>
        <v>202</v>
      </c>
      <c r="BL14" s="10">
        <f t="shared" si="15"/>
        <v>202</v>
      </c>
      <c r="BM14" s="10">
        <f t="shared" si="15"/>
        <v>202</v>
      </c>
    </row>
    <row r="15" spans="1:66" x14ac:dyDescent="0.2">
      <c r="A15" s="39">
        <v>43252</v>
      </c>
      <c r="B15" s="53">
        <v>100</v>
      </c>
      <c r="C15" s="54">
        <v>0.01</v>
      </c>
      <c r="D15" s="53">
        <f>100000</f>
        <v>100000</v>
      </c>
      <c r="E15" s="53">
        <v>60</v>
      </c>
      <c r="F15" s="32">
        <f t="shared" si="2"/>
        <v>1667</v>
      </c>
      <c r="G15" s="54">
        <v>0.5</v>
      </c>
      <c r="H15" s="6">
        <f t="shared" si="3"/>
        <v>834</v>
      </c>
      <c r="I15" s="32">
        <f t="shared" si="4"/>
        <v>2501</v>
      </c>
      <c r="J15" s="24">
        <f t="shared" si="5"/>
        <v>39.984006397441021</v>
      </c>
      <c r="K15" s="105">
        <f>Q15+R14+S13+T12+U11+V10+W9</f>
        <v>5133</v>
      </c>
      <c r="L15" s="107">
        <f t="shared" si="6"/>
        <v>10431</v>
      </c>
      <c r="M15" s="55">
        <f t="shared" si="7"/>
        <v>121.36535076690971</v>
      </c>
      <c r="N15" s="56">
        <f t="shared" si="8"/>
        <v>3.0353474226804122</v>
      </c>
      <c r="O15" s="34">
        <f t="shared" si="9"/>
        <v>0.51276056886810828</v>
      </c>
      <c r="P15" s="34"/>
      <c r="Q15" s="35">
        <f t="shared" si="10"/>
        <v>2501</v>
      </c>
      <c r="R15" s="11">
        <f t="shared" si="11"/>
        <v>632</v>
      </c>
      <c r="S15" s="11">
        <f t="shared" si="11"/>
        <v>379</v>
      </c>
      <c r="T15" s="11">
        <f t="shared" si="11"/>
        <v>303</v>
      </c>
      <c r="U15" s="11">
        <f t="shared" si="11"/>
        <v>278</v>
      </c>
      <c r="V15" s="11">
        <f t="shared" si="11"/>
        <v>253</v>
      </c>
      <c r="W15" s="11">
        <f t="shared" si="11"/>
        <v>227</v>
      </c>
      <c r="X15" s="11">
        <f t="shared" si="11"/>
        <v>202</v>
      </c>
      <c r="Y15" s="11">
        <f t="shared" si="11"/>
        <v>202</v>
      </c>
      <c r="Z15" s="11">
        <f t="shared" si="11"/>
        <v>202</v>
      </c>
      <c r="AA15" s="11">
        <f t="shared" si="11"/>
        <v>202</v>
      </c>
      <c r="AB15" s="11">
        <f t="shared" si="12"/>
        <v>202</v>
      </c>
      <c r="AC15" s="11">
        <f t="shared" si="12"/>
        <v>202</v>
      </c>
      <c r="AD15" s="11">
        <f t="shared" si="12"/>
        <v>202</v>
      </c>
      <c r="AE15" s="11">
        <f t="shared" si="12"/>
        <v>202</v>
      </c>
      <c r="AF15" s="11">
        <f t="shared" si="12"/>
        <v>202</v>
      </c>
      <c r="AG15" s="11">
        <f t="shared" si="12"/>
        <v>202</v>
      </c>
      <c r="AH15" s="11">
        <f t="shared" si="12"/>
        <v>202</v>
      </c>
      <c r="AI15" s="11">
        <f t="shared" si="12"/>
        <v>202</v>
      </c>
      <c r="AJ15" s="11">
        <f t="shared" si="12"/>
        <v>202</v>
      </c>
      <c r="AK15" s="11">
        <f t="shared" si="12"/>
        <v>202</v>
      </c>
      <c r="AL15" s="11">
        <f t="shared" si="13"/>
        <v>202</v>
      </c>
      <c r="AM15" s="11">
        <f t="shared" si="13"/>
        <v>202</v>
      </c>
      <c r="AN15" s="11">
        <f t="shared" si="13"/>
        <v>202</v>
      </c>
      <c r="AO15" s="11">
        <f t="shared" si="13"/>
        <v>202</v>
      </c>
      <c r="AP15" s="11">
        <f t="shared" si="13"/>
        <v>202</v>
      </c>
      <c r="AQ15" s="11">
        <f t="shared" si="13"/>
        <v>202</v>
      </c>
      <c r="AR15" s="11">
        <f t="shared" si="13"/>
        <v>202</v>
      </c>
      <c r="AS15" s="11">
        <f t="shared" si="13"/>
        <v>202</v>
      </c>
      <c r="AT15" s="11">
        <f t="shared" si="13"/>
        <v>202</v>
      </c>
      <c r="AU15" s="11">
        <f t="shared" si="13"/>
        <v>202</v>
      </c>
      <c r="AV15" s="11">
        <f t="shared" si="14"/>
        <v>202</v>
      </c>
      <c r="AW15" s="11">
        <f t="shared" si="14"/>
        <v>202</v>
      </c>
      <c r="AX15" s="11">
        <f t="shared" si="14"/>
        <v>202</v>
      </c>
      <c r="AY15" s="11">
        <f t="shared" si="14"/>
        <v>202</v>
      </c>
      <c r="AZ15" s="11">
        <f t="shared" si="14"/>
        <v>202</v>
      </c>
      <c r="BA15" s="11">
        <f t="shared" si="14"/>
        <v>202</v>
      </c>
      <c r="BB15" s="11">
        <f t="shared" si="14"/>
        <v>202</v>
      </c>
      <c r="BC15" s="11">
        <f t="shared" si="14"/>
        <v>202</v>
      </c>
      <c r="BD15" s="11">
        <f t="shared" si="14"/>
        <v>202</v>
      </c>
      <c r="BE15" s="11">
        <f t="shared" si="14"/>
        <v>202</v>
      </c>
      <c r="BF15" s="11">
        <f t="shared" si="15"/>
        <v>202</v>
      </c>
      <c r="BG15" s="11">
        <f t="shared" si="15"/>
        <v>202</v>
      </c>
      <c r="BH15" s="10">
        <f t="shared" si="15"/>
        <v>202</v>
      </c>
      <c r="BI15" s="10">
        <f t="shared" si="15"/>
        <v>202</v>
      </c>
      <c r="BJ15" s="10">
        <f t="shared" si="15"/>
        <v>202</v>
      </c>
      <c r="BK15" s="10">
        <f t="shared" si="15"/>
        <v>202</v>
      </c>
      <c r="BL15" s="10">
        <f t="shared" si="15"/>
        <v>202</v>
      </c>
      <c r="BM15" s="10">
        <f t="shared" si="15"/>
        <v>202</v>
      </c>
    </row>
    <row r="16" spans="1:66" x14ac:dyDescent="0.2">
      <c r="A16" s="39">
        <v>43282</v>
      </c>
      <c r="B16" s="53">
        <v>100</v>
      </c>
      <c r="C16" s="54">
        <v>0.01</v>
      </c>
      <c r="D16" s="53">
        <v>125000</v>
      </c>
      <c r="E16" s="53">
        <v>60</v>
      </c>
      <c r="F16" s="32">
        <f t="shared" si="2"/>
        <v>2083</v>
      </c>
      <c r="G16" s="54">
        <v>0.5</v>
      </c>
      <c r="H16" s="6">
        <f t="shared" si="3"/>
        <v>1042</v>
      </c>
      <c r="I16" s="32">
        <f t="shared" si="4"/>
        <v>3125</v>
      </c>
      <c r="J16" s="24">
        <f t="shared" si="5"/>
        <v>40</v>
      </c>
      <c r="K16" s="105">
        <f>Q16+R15+S14+T13+U12+V11+W10+X9</f>
        <v>5986</v>
      </c>
      <c r="L16" s="107">
        <f t="shared" si="6"/>
        <v>13050</v>
      </c>
      <c r="M16" s="55">
        <f t="shared" si="7"/>
        <v>126.11837221920784</v>
      </c>
      <c r="N16" s="56">
        <f t="shared" si="8"/>
        <v>3.1529593054801959</v>
      </c>
      <c r="O16" s="34">
        <f t="shared" si="9"/>
        <v>0.47794854660875374</v>
      </c>
      <c r="P16" s="34"/>
      <c r="Q16" s="35">
        <f t="shared" si="10"/>
        <v>3125</v>
      </c>
      <c r="R16" s="11">
        <f t="shared" si="11"/>
        <v>789</v>
      </c>
      <c r="S16" s="11">
        <f t="shared" si="11"/>
        <v>473</v>
      </c>
      <c r="T16" s="11">
        <f t="shared" si="11"/>
        <v>379</v>
      </c>
      <c r="U16" s="11">
        <f t="shared" si="11"/>
        <v>347</v>
      </c>
      <c r="V16" s="11">
        <f t="shared" si="11"/>
        <v>316</v>
      </c>
      <c r="W16" s="11">
        <f t="shared" si="11"/>
        <v>284</v>
      </c>
      <c r="X16" s="11">
        <f t="shared" si="11"/>
        <v>253</v>
      </c>
      <c r="Y16" s="11">
        <f t="shared" si="11"/>
        <v>253</v>
      </c>
      <c r="Z16" s="11">
        <f t="shared" si="11"/>
        <v>253</v>
      </c>
      <c r="AA16" s="11">
        <f t="shared" si="11"/>
        <v>253</v>
      </c>
      <c r="AB16" s="11">
        <f t="shared" si="12"/>
        <v>253</v>
      </c>
      <c r="AC16" s="11">
        <f t="shared" si="12"/>
        <v>253</v>
      </c>
      <c r="AD16" s="11">
        <f t="shared" si="12"/>
        <v>253</v>
      </c>
      <c r="AE16" s="11">
        <f t="shared" si="12"/>
        <v>253</v>
      </c>
      <c r="AF16" s="11">
        <f t="shared" si="12"/>
        <v>253</v>
      </c>
      <c r="AG16" s="11">
        <f t="shared" si="12"/>
        <v>253</v>
      </c>
      <c r="AH16" s="11">
        <f t="shared" si="12"/>
        <v>253</v>
      </c>
      <c r="AI16" s="11">
        <f t="shared" si="12"/>
        <v>253</v>
      </c>
      <c r="AJ16" s="11">
        <f t="shared" si="12"/>
        <v>253</v>
      </c>
      <c r="AK16" s="11">
        <f t="shared" si="12"/>
        <v>253</v>
      </c>
      <c r="AL16" s="11">
        <f t="shared" si="13"/>
        <v>253</v>
      </c>
      <c r="AM16" s="11">
        <f t="shared" si="13"/>
        <v>253</v>
      </c>
      <c r="AN16" s="11">
        <f t="shared" si="13"/>
        <v>253</v>
      </c>
      <c r="AO16" s="11">
        <f t="shared" si="13"/>
        <v>253</v>
      </c>
      <c r="AP16" s="11">
        <f t="shared" si="13"/>
        <v>253</v>
      </c>
      <c r="AQ16" s="11">
        <f t="shared" si="13"/>
        <v>253</v>
      </c>
      <c r="AR16" s="11">
        <f t="shared" si="13"/>
        <v>253</v>
      </c>
      <c r="AS16" s="11">
        <f t="shared" si="13"/>
        <v>253</v>
      </c>
      <c r="AT16" s="11">
        <f t="shared" si="13"/>
        <v>253</v>
      </c>
      <c r="AU16" s="11">
        <f t="shared" si="13"/>
        <v>253</v>
      </c>
      <c r="AV16" s="11">
        <f t="shared" si="14"/>
        <v>253</v>
      </c>
      <c r="AW16" s="11">
        <f t="shared" si="14"/>
        <v>253</v>
      </c>
      <c r="AX16" s="11">
        <f t="shared" si="14"/>
        <v>253</v>
      </c>
      <c r="AY16" s="11">
        <f t="shared" si="14"/>
        <v>253</v>
      </c>
      <c r="AZ16" s="11">
        <f t="shared" si="14"/>
        <v>253</v>
      </c>
      <c r="BA16" s="11">
        <f t="shared" si="14"/>
        <v>253</v>
      </c>
      <c r="BB16" s="11">
        <f t="shared" si="14"/>
        <v>253</v>
      </c>
      <c r="BC16" s="11">
        <f t="shared" si="14"/>
        <v>253</v>
      </c>
      <c r="BD16" s="11">
        <f t="shared" si="14"/>
        <v>253</v>
      </c>
      <c r="BE16" s="11">
        <f t="shared" si="14"/>
        <v>253</v>
      </c>
      <c r="BF16" s="11">
        <f t="shared" si="15"/>
        <v>253</v>
      </c>
      <c r="BG16" s="10">
        <f t="shared" si="15"/>
        <v>253</v>
      </c>
      <c r="BH16" s="10">
        <f t="shared" si="15"/>
        <v>253</v>
      </c>
      <c r="BI16" s="10">
        <f t="shared" si="15"/>
        <v>253</v>
      </c>
      <c r="BJ16" s="10">
        <f t="shared" si="15"/>
        <v>253</v>
      </c>
      <c r="BK16" s="10">
        <f t="shared" si="15"/>
        <v>253</v>
      </c>
      <c r="BL16" s="10">
        <f t="shared" si="15"/>
        <v>253</v>
      </c>
      <c r="BM16" s="10">
        <f t="shared" si="15"/>
        <v>253</v>
      </c>
    </row>
    <row r="17" spans="1:65" x14ac:dyDescent="0.2">
      <c r="A17" s="39">
        <v>43313</v>
      </c>
      <c r="B17" s="53">
        <v>100</v>
      </c>
      <c r="C17" s="54">
        <v>0.01</v>
      </c>
      <c r="D17" s="53">
        <v>125000</v>
      </c>
      <c r="E17" s="53">
        <v>60</v>
      </c>
      <c r="F17" s="32">
        <f t="shared" si="2"/>
        <v>2083</v>
      </c>
      <c r="G17" s="54">
        <v>0.5</v>
      </c>
      <c r="H17" s="6">
        <f t="shared" si="3"/>
        <v>1042</v>
      </c>
      <c r="I17" s="32">
        <f t="shared" si="4"/>
        <v>3125</v>
      </c>
      <c r="J17" s="24">
        <f t="shared" si="5"/>
        <v>40</v>
      </c>
      <c r="K17" s="105">
        <f>Q17+R16+S15+T14+U13+V12+W11+X10+Y9</f>
        <v>6346</v>
      </c>
      <c r="L17" s="107">
        <f t="shared" si="6"/>
        <v>13050</v>
      </c>
      <c r="M17" s="55">
        <f t="shared" si="7"/>
        <v>126.11837221920784</v>
      </c>
      <c r="N17" s="56">
        <f t="shared" si="8"/>
        <v>3.1529593054801959</v>
      </c>
      <c r="O17" s="34">
        <f t="shared" si="9"/>
        <v>0.50756381972896314</v>
      </c>
      <c r="P17" s="34"/>
      <c r="Q17" s="35">
        <f t="shared" si="10"/>
        <v>3125</v>
      </c>
      <c r="R17" s="11">
        <f t="shared" si="11"/>
        <v>789</v>
      </c>
      <c r="S17" s="11">
        <f t="shared" si="11"/>
        <v>473</v>
      </c>
      <c r="T17" s="11">
        <f t="shared" si="11"/>
        <v>379</v>
      </c>
      <c r="U17" s="11">
        <f t="shared" si="11"/>
        <v>347</v>
      </c>
      <c r="V17" s="11">
        <f t="shared" si="11"/>
        <v>316</v>
      </c>
      <c r="W17" s="11">
        <f t="shared" si="11"/>
        <v>284</v>
      </c>
      <c r="X17" s="11">
        <f t="shared" si="11"/>
        <v>253</v>
      </c>
      <c r="Y17" s="11">
        <f t="shared" si="11"/>
        <v>253</v>
      </c>
      <c r="Z17" s="11">
        <f t="shared" si="11"/>
        <v>253</v>
      </c>
      <c r="AA17" s="11">
        <f t="shared" si="11"/>
        <v>253</v>
      </c>
      <c r="AB17" s="11">
        <f t="shared" si="12"/>
        <v>253</v>
      </c>
      <c r="AC17" s="11">
        <f t="shared" si="12"/>
        <v>253</v>
      </c>
      <c r="AD17" s="11">
        <f t="shared" si="12"/>
        <v>253</v>
      </c>
      <c r="AE17" s="11">
        <f t="shared" si="12"/>
        <v>253</v>
      </c>
      <c r="AF17" s="11">
        <f t="shared" si="12"/>
        <v>253</v>
      </c>
      <c r="AG17" s="11">
        <f t="shared" si="12"/>
        <v>253</v>
      </c>
      <c r="AH17" s="11">
        <f t="shared" si="12"/>
        <v>253</v>
      </c>
      <c r="AI17" s="11">
        <f t="shared" si="12"/>
        <v>253</v>
      </c>
      <c r="AJ17" s="11">
        <f t="shared" si="12"/>
        <v>253</v>
      </c>
      <c r="AK17" s="11">
        <f t="shared" si="12"/>
        <v>253</v>
      </c>
      <c r="AL17" s="11">
        <f t="shared" si="13"/>
        <v>253</v>
      </c>
      <c r="AM17" s="11">
        <f t="shared" si="13"/>
        <v>253</v>
      </c>
      <c r="AN17" s="11">
        <f t="shared" si="13"/>
        <v>253</v>
      </c>
      <c r="AO17" s="11">
        <f t="shared" si="13"/>
        <v>253</v>
      </c>
      <c r="AP17" s="11">
        <f t="shared" si="13"/>
        <v>253</v>
      </c>
      <c r="AQ17" s="11">
        <f t="shared" si="13"/>
        <v>253</v>
      </c>
      <c r="AR17" s="11">
        <f t="shared" si="13"/>
        <v>253</v>
      </c>
      <c r="AS17" s="11">
        <f t="shared" si="13"/>
        <v>253</v>
      </c>
      <c r="AT17" s="11">
        <f t="shared" si="13"/>
        <v>253</v>
      </c>
      <c r="AU17" s="11">
        <f t="shared" si="13"/>
        <v>253</v>
      </c>
      <c r="AV17" s="11">
        <f t="shared" si="14"/>
        <v>253</v>
      </c>
      <c r="AW17" s="11">
        <f t="shared" si="14"/>
        <v>253</v>
      </c>
      <c r="AX17" s="11">
        <f t="shared" si="14"/>
        <v>253</v>
      </c>
      <c r="AY17" s="11">
        <f t="shared" si="14"/>
        <v>253</v>
      </c>
      <c r="AZ17" s="11">
        <f t="shared" si="14"/>
        <v>253</v>
      </c>
      <c r="BA17" s="11">
        <f t="shared" si="14"/>
        <v>253</v>
      </c>
      <c r="BB17" s="11">
        <f t="shared" si="14"/>
        <v>253</v>
      </c>
      <c r="BC17" s="11">
        <f t="shared" si="14"/>
        <v>253</v>
      </c>
      <c r="BD17" s="11">
        <f t="shared" si="14"/>
        <v>253</v>
      </c>
      <c r="BE17" s="11">
        <f t="shared" si="14"/>
        <v>253</v>
      </c>
      <c r="BF17" s="10">
        <f t="shared" si="15"/>
        <v>253</v>
      </c>
      <c r="BG17" s="10">
        <f t="shared" si="15"/>
        <v>253</v>
      </c>
      <c r="BH17" s="10">
        <f t="shared" si="15"/>
        <v>253</v>
      </c>
      <c r="BI17" s="10">
        <f t="shared" si="15"/>
        <v>253</v>
      </c>
      <c r="BJ17" s="10">
        <f t="shared" si="15"/>
        <v>253</v>
      </c>
      <c r="BK17" s="10">
        <f t="shared" si="15"/>
        <v>253</v>
      </c>
      <c r="BL17" s="10">
        <f t="shared" si="15"/>
        <v>253</v>
      </c>
      <c r="BM17" s="10">
        <f t="shared" si="15"/>
        <v>253</v>
      </c>
    </row>
    <row r="18" spans="1:65" x14ac:dyDescent="0.2">
      <c r="A18" s="39">
        <v>43344</v>
      </c>
      <c r="B18" s="53">
        <v>100</v>
      </c>
      <c r="C18" s="54">
        <v>0.02</v>
      </c>
      <c r="D18" s="53">
        <v>125000</v>
      </c>
      <c r="E18" s="53">
        <v>60</v>
      </c>
      <c r="F18" s="32">
        <f t="shared" si="2"/>
        <v>2083</v>
      </c>
      <c r="G18" s="54">
        <v>0.5</v>
      </c>
      <c r="H18" s="6">
        <f t="shared" si="3"/>
        <v>1042</v>
      </c>
      <c r="I18" s="32">
        <f t="shared" si="4"/>
        <v>3125</v>
      </c>
      <c r="J18" s="24">
        <f t="shared" si="5"/>
        <v>40</v>
      </c>
      <c r="K18" s="105">
        <f>Q18+R17+S16+T15+U14+V13+W12+X11+Y10+Z9</f>
        <v>6643</v>
      </c>
      <c r="L18" s="107">
        <f t="shared" si="6"/>
        <v>13135</v>
      </c>
      <c r="M18" s="55">
        <f t="shared" si="7"/>
        <v>126.93983288117197</v>
      </c>
      <c r="N18" s="56">
        <f t="shared" si="8"/>
        <v>3.1734958220292993</v>
      </c>
      <c r="O18" s="34">
        <f t="shared" si="9"/>
        <v>0.52958000903206381</v>
      </c>
      <c r="P18" s="34"/>
      <c r="Q18" s="35">
        <f t="shared" si="10"/>
        <v>3125</v>
      </c>
      <c r="R18" s="11">
        <f t="shared" si="11"/>
        <v>797</v>
      </c>
      <c r="S18" s="11">
        <f t="shared" si="11"/>
        <v>478</v>
      </c>
      <c r="T18" s="11">
        <f t="shared" si="11"/>
        <v>383</v>
      </c>
      <c r="U18" s="11">
        <f t="shared" si="11"/>
        <v>351</v>
      </c>
      <c r="V18" s="11">
        <f t="shared" si="11"/>
        <v>319</v>
      </c>
      <c r="W18" s="11">
        <f t="shared" si="11"/>
        <v>287</v>
      </c>
      <c r="X18" s="11">
        <f t="shared" si="11"/>
        <v>255</v>
      </c>
      <c r="Y18" s="11">
        <f t="shared" si="11"/>
        <v>255</v>
      </c>
      <c r="Z18" s="11">
        <f t="shared" si="11"/>
        <v>255</v>
      </c>
      <c r="AA18" s="11">
        <f t="shared" si="11"/>
        <v>255</v>
      </c>
      <c r="AB18" s="11">
        <f t="shared" si="12"/>
        <v>255</v>
      </c>
      <c r="AC18" s="11">
        <f t="shared" si="12"/>
        <v>255</v>
      </c>
      <c r="AD18" s="11">
        <f t="shared" si="12"/>
        <v>255</v>
      </c>
      <c r="AE18" s="11">
        <f t="shared" si="12"/>
        <v>255</v>
      </c>
      <c r="AF18" s="11">
        <f t="shared" si="12"/>
        <v>255</v>
      </c>
      <c r="AG18" s="11">
        <f t="shared" si="12"/>
        <v>255</v>
      </c>
      <c r="AH18" s="11">
        <f t="shared" si="12"/>
        <v>255</v>
      </c>
      <c r="AI18" s="11">
        <f t="shared" si="12"/>
        <v>255</v>
      </c>
      <c r="AJ18" s="11">
        <f t="shared" si="12"/>
        <v>255</v>
      </c>
      <c r="AK18" s="11">
        <f t="shared" si="12"/>
        <v>255</v>
      </c>
      <c r="AL18" s="11">
        <f t="shared" si="13"/>
        <v>255</v>
      </c>
      <c r="AM18" s="11">
        <f t="shared" si="13"/>
        <v>255</v>
      </c>
      <c r="AN18" s="11">
        <f t="shared" si="13"/>
        <v>255</v>
      </c>
      <c r="AO18" s="11">
        <f t="shared" si="13"/>
        <v>255</v>
      </c>
      <c r="AP18" s="11">
        <f t="shared" si="13"/>
        <v>255</v>
      </c>
      <c r="AQ18" s="11">
        <f t="shared" si="13"/>
        <v>255</v>
      </c>
      <c r="AR18" s="11">
        <f t="shared" si="13"/>
        <v>255</v>
      </c>
      <c r="AS18" s="11">
        <f t="shared" si="13"/>
        <v>255</v>
      </c>
      <c r="AT18" s="11">
        <f t="shared" si="13"/>
        <v>255</v>
      </c>
      <c r="AU18" s="11">
        <f t="shared" si="13"/>
        <v>255</v>
      </c>
      <c r="AV18" s="11">
        <f t="shared" si="14"/>
        <v>255</v>
      </c>
      <c r="AW18" s="11">
        <f t="shared" si="14"/>
        <v>255</v>
      </c>
      <c r="AX18" s="11">
        <f t="shared" si="14"/>
        <v>255</v>
      </c>
      <c r="AY18" s="11">
        <f t="shared" si="14"/>
        <v>255</v>
      </c>
      <c r="AZ18" s="11">
        <f t="shared" si="14"/>
        <v>255</v>
      </c>
      <c r="BA18" s="11">
        <f t="shared" si="14"/>
        <v>255</v>
      </c>
      <c r="BB18" s="11">
        <f t="shared" si="14"/>
        <v>255</v>
      </c>
      <c r="BC18" s="11">
        <f t="shared" si="14"/>
        <v>255</v>
      </c>
      <c r="BD18" s="11">
        <f t="shared" si="14"/>
        <v>255</v>
      </c>
      <c r="BE18" s="10">
        <f t="shared" si="14"/>
        <v>255</v>
      </c>
      <c r="BF18" s="10">
        <f t="shared" si="15"/>
        <v>255</v>
      </c>
      <c r="BG18" s="10">
        <f t="shared" si="15"/>
        <v>255</v>
      </c>
      <c r="BH18" s="10">
        <f t="shared" si="15"/>
        <v>255</v>
      </c>
      <c r="BI18" s="10">
        <f t="shared" si="15"/>
        <v>255</v>
      </c>
      <c r="BJ18" s="10">
        <f t="shared" si="15"/>
        <v>255</v>
      </c>
      <c r="BK18" s="10">
        <f t="shared" si="15"/>
        <v>255</v>
      </c>
      <c r="BL18" s="10">
        <f t="shared" si="15"/>
        <v>255</v>
      </c>
      <c r="BM18" s="10">
        <f t="shared" si="15"/>
        <v>255</v>
      </c>
    </row>
    <row r="19" spans="1:65" x14ac:dyDescent="0.2">
      <c r="A19" s="39">
        <v>43374</v>
      </c>
      <c r="B19" s="53">
        <v>100</v>
      </c>
      <c r="C19" s="54">
        <v>0.02</v>
      </c>
      <c r="D19" s="53">
        <v>125000</v>
      </c>
      <c r="E19" s="53">
        <v>60</v>
      </c>
      <c r="F19" s="32">
        <f t="shared" si="2"/>
        <v>2083</v>
      </c>
      <c r="G19" s="54">
        <v>0.5</v>
      </c>
      <c r="H19" s="6">
        <f t="shared" si="3"/>
        <v>1042</v>
      </c>
      <c r="I19" s="32">
        <f t="shared" si="4"/>
        <v>3125</v>
      </c>
      <c r="J19" s="24">
        <f t="shared" si="5"/>
        <v>40</v>
      </c>
      <c r="K19" s="105">
        <f>Q19+R18+S17+T16+U15+V14+W13+X12+Y11+Z10+AA9</f>
        <v>6930</v>
      </c>
      <c r="L19" s="107">
        <f t="shared" si="6"/>
        <v>13135</v>
      </c>
      <c r="M19" s="55">
        <f t="shared" si="7"/>
        <v>142.97265762344003</v>
      </c>
      <c r="N19" s="56">
        <f t="shared" si="8"/>
        <v>3.5743164405860006</v>
      </c>
      <c r="O19" s="34">
        <f t="shared" si="9"/>
        <v>0.54906204906204903</v>
      </c>
      <c r="P19" s="34"/>
      <c r="Q19" s="35">
        <f t="shared" si="10"/>
        <v>3125</v>
      </c>
      <c r="R19" s="11">
        <f t="shared" si="11"/>
        <v>797</v>
      </c>
      <c r="S19" s="11">
        <f t="shared" si="11"/>
        <v>478</v>
      </c>
      <c r="T19" s="11">
        <f t="shared" si="11"/>
        <v>383</v>
      </c>
      <c r="U19" s="11">
        <f t="shared" si="11"/>
        <v>351</v>
      </c>
      <c r="V19" s="11">
        <f t="shared" si="11"/>
        <v>319</v>
      </c>
      <c r="W19" s="11">
        <f t="shared" si="11"/>
        <v>287</v>
      </c>
      <c r="X19" s="11">
        <f t="shared" si="11"/>
        <v>255</v>
      </c>
      <c r="Y19" s="11">
        <f t="shared" si="11"/>
        <v>255</v>
      </c>
      <c r="Z19" s="11">
        <f t="shared" si="11"/>
        <v>255</v>
      </c>
      <c r="AA19" s="11">
        <f t="shared" si="11"/>
        <v>255</v>
      </c>
      <c r="AB19" s="11">
        <f t="shared" si="12"/>
        <v>255</v>
      </c>
      <c r="AC19" s="11">
        <f t="shared" si="12"/>
        <v>255</v>
      </c>
      <c r="AD19" s="11">
        <f t="shared" si="12"/>
        <v>255</v>
      </c>
      <c r="AE19" s="11">
        <f t="shared" si="12"/>
        <v>255</v>
      </c>
      <c r="AF19" s="11">
        <f t="shared" si="12"/>
        <v>255</v>
      </c>
      <c r="AG19" s="11">
        <f t="shared" si="12"/>
        <v>255</v>
      </c>
      <c r="AH19" s="11">
        <f t="shared" si="12"/>
        <v>255</v>
      </c>
      <c r="AI19" s="11">
        <f t="shared" si="12"/>
        <v>255</v>
      </c>
      <c r="AJ19" s="11">
        <f t="shared" si="12"/>
        <v>255</v>
      </c>
      <c r="AK19" s="11">
        <f t="shared" si="12"/>
        <v>255</v>
      </c>
      <c r="AL19" s="11">
        <f t="shared" si="13"/>
        <v>255</v>
      </c>
      <c r="AM19" s="11">
        <f t="shared" si="13"/>
        <v>255</v>
      </c>
      <c r="AN19" s="11">
        <f t="shared" si="13"/>
        <v>255</v>
      </c>
      <c r="AO19" s="11">
        <f t="shared" si="13"/>
        <v>255</v>
      </c>
      <c r="AP19" s="11">
        <f t="shared" si="13"/>
        <v>255</v>
      </c>
      <c r="AQ19" s="11">
        <f t="shared" si="13"/>
        <v>255</v>
      </c>
      <c r="AR19" s="11">
        <f t="shared" si="13"/>
        <v>255</v>
      </c>
      <c r="AS19" s="11">
        <f t="shared" si="13"/>
        <v>255</v>
      </c>
      <c r="AT19" s="11">
        <f t="shared" si="13"/>
        <v>255</v>
      </c>
      <c r="AU19" s="11">
        <f t="shared" si="13"/>
        <v>255</v>
      </c>
      <c r="AV19" s="11">
        <f t="shared" si="14"/>
        <v>255</v>
      </c>
      <c r="AW19" s="11">
        <f t="shared" si="14"/>
        <v>255</v>
      </c>
      <c r="AX19" s="11">
        <f t="shared" si="14"/>
        <v>255</v>
      </c>
      <c r="AY19" s="11">
        <f t="shared" si="14"/>
        <v>255</v>
      </c>
      <c r="AZ19" s="11">
        <f t="shared" si="14"/>
        <v>255</v>
      </c>
      <c r="BA19" s="11">
        <f t="shared" si="14"/>
        <v>255</v>
      </c>
      <c r="BB19" s="11">
        <f t="shared" si="14"/>
        <v>255</v>
      </c>
      <c r="BC19" s="11">
        <f t="shared" si="14"/>
        <v>255</v>
      </c>
      <c r="BD19" s="10">
        <f t="shared" si="14"/>
        <v>255</v>
      </c>
      <c r="BE19" s="10">
        <f t="shared" si="14"/>
        <v>255</v>
      </c>
      <c r="BF19" s="10">
        <f t="shared" si="15"/>
        <v>255</v>
      </c>
      <c r="BG19" s="10">
        <f t="shared" si="15"/>
        <v>255</v>
      </c>
      <c r="BH19" s="10">
        <f t="shared" si="15"/>
        <v>255</v>
      </c>
      <c r="BI19" s="10">
        <f t="shared" si="15"/>
        <v>255</v>
      </c>
      <c r="BJ19" s="10">
        <f t="shared" si="15"/>
        <v>255</v>
      </c>
      <c r="BK19" s="10">
        <f t="shared" si="15"/>
        <v>255</v>
      </c>
      <c r="BL19" s="10">
        <f t="shared" si="15"/>
        <v>255</v>
      </c>
      <c r="BM19" s="10">
        <f t="shared" si="15"/>
        <v>255</v>
      </c>
    </row>
    <row r="20" spans="1:65" x14ac:dyDescent="0.2">
      <c r="A20" s="39">
        <v>43405</v>
      </c>
      <c r="B20" s="53">
        <v>100</v>
      </c>
      <c r="C20" s="54">
        <v>0.02</v>
      </c>
      <c r="D20" s="53">
        <v>125000</v>
      </c>
      <c r="E20" s="53">
        <v>60</v>
      </c>
      <c r="F20" s="32">
        <f t="shared" si="2"/>
        <v>2083</v>
      </c>
      <c r="G20" s="54">
        <v>0.5</v>
      </c>
      <c r="H20" s="6">
        <f t="shared" si="3"/>
        <v>1042</v>
      </c>
      <c r="I20" s="32">
        <f t="shared" si="4"/>
        <v>3125</v>
      </c>
      <c r="J20" s="24">
        <f t="shared" si="5"/>
        <v>40</v>
      </c>
      <c r="K20" s="105">
        <f>Q20+R19+S18+T17+U16+V15+W14+X13+Y12+Z11+AA10+AB9</f>
        <v>7206</v>
      </c>
      <c r="L20" s="107">
        <f t="shared" si="6"/>
        <v>13135</v>
      </c>
      <c r="M20" s="55">
        <f t="shared" si="7"/>
        <v>142.97265762344009</v>
      </c>
      <c r="N20" s="56">
        <f t="shared" si="8"/>
        <v>3.574316440586002</v>
      </c>
      <c r="O20" s="34">
        <f t="shared" si="9"/>
        <v>0.56633361087982237</v>
      </c>
      <c r="P20" s="34"/>
      <c r="Q20" s="35">
        <f t="shared" si="10"/>
        <v>3125</v>
      </c>
      <c r="R20" s="11">
        <f t="shared" ref="R20:AA29" si="16">ROUND($Q20*R$4*(1+$C20),0)</f>
        <v>797</v>
      </c>
      <c r="S20" s="11">
        <f t="shared" si="16"/>
        <v>478</v>
      </c>
      <c r="T20" s="11">
        <f t="shared" si="16"/>
        <v>383</v>
      </c>
      <c r="U20" s="11">
        <f t="shared" si="16"/>
        <v>351</v>
      </c>
      <c r="V20" s="11">
        <f t="shared" si="16"/>
        <v>319</v>
      </c>
      <c r="W20" s="11">
        <f t="shared" si="16"/>
        <v>287</v>
      </c>
      <c r="X20" s="11">
        <f t="shared" si="16"/>
        <v>255</v>
      </c>
      <c r="Y20" s="11">
        <f t="shared" si="16"/>
        <v>255</v>
      </c>
      <c r="Z20" s="11">
        <f t="shared" si="16"/>
        <v>255</v>
      </c>
      <c r="AA20" s="11">
        <f t="shared" si="16"/>
        <v>255</v>
      </c>
      <c r="AB20" s="11">
        <f t="shared" ref="AB20:AK29" si="17">ROUND($Q20*AB$4*(1+$C20),0)</f>
        <v>255</v>
      </c>
      <c r="AC20" s="11">
        <f t="shared" si="17"/>
        <v>255</v>
      </c>
      <c r="AD20" s="11">
        <f t="shared" si="17"/>
        <v>255</v>
      </c>
      <c r="AE20" s="11">
        <f t="shared" si="17"/>
        <v>255</v>
      </c>
      <c r="AF20" s="11">
        <f t="shared" si="17"/>
        <v>255</v>
      </c>
      <c r="AG20" s="11">
        <f t="shared" si="17"/>
        <v>255</v>
      </c>
      <c r="AH20" s="11">
        <f t="shared" si="17"/>
        <v>255</v>
      </c>
      <c r="AI20" s="11">
        <f t="shared" si="17"/>
        <v>255</v>
      </c>
      <c r="AJ20" s="11">
        <f t="shared" si="17"/>
        <v>255</v>
      </c>
      <c r="AK20" s="11">
        <f t="shared" si="17"/>
        <v>255</v>
      </c>
      <c r="AL20" s="11">
        <f t="shared" ref="AL20:AU29" si="18">ROUND($Q20*AL$4*(1+$C20),0)</f>
        <v>255</v>
      </c>
      <c r="AM20" s="11">
        <f t="shared" si="18"/>
        <v>255</v>
      </c>
      <c r="AN20" s="11">
        <f t="shared" si="18"/>
        <v>255</v>
      </c>
      <c r="AO20" s="11">
        <f t="shared" si="18"/>
        <v>255</v>
      </c>
      <c r="AP20" s="11">
        <f t="shared" si="18"/>
        <v>255</v>
      </c>
      <c r="AQ20" s="11">
        <f t="shared" si="18"/>
        <v>255</v>
      </c>
      <c r="AR20" s="11">
        <f t="shared" si="18"/>
        <v>255</v>
      </c>
      <c r="AS20" s="11">
        <f t="shared" si="18"/>
        <v>255</v>
      </c>
      <c r="AT20" s="11">
        <f t="shared" si="18"/>
        <v>255</v>
      </c>
      <c r="AU20" s="11">
        <f t="shared" si="18"/>
        <v>255</v>
      </c>
      <c r="AV20" s="11">
        <f t="shared" ref="AV20:BE29" si="19">ROUND($Q20*AV$4*(1+$C20),0)</f>
        <v>255</v>
      </c>
      <c r="AW20" s="11">
        <f t="shared" si="19"/>
        <v>255</v>
      </c>
      <c r="AX20" s="11">
        <f t="shared" si="19"/>
        <v>255</v>
      </c>
      <c r="AY20" s="11">
        <f t="shared" si="19"/>
        <v>255</v>
      </c>
      <c r="AZ20" s="11">
        <f t="shared" si="19"/>
        <v>255</v>
      </c>
      <c r="BA20" s="11">
        <f t="shared" si="19"/>
        <v>255</v>
      </c>
      <c r="BB20" s="11">
        <f t="shared" si="19"/>
        <v>255</v>
      </c>
      <c r="BC20" s="10">
        <f t="shared" si="19"/>
        <v>255</v>
      </c>
      <c r="BD20" s="10">
        <f t="shared" si="19"/>
        <v>255</v>
      </c>
      <c r="BE20" s="10">
        <f t="shared" si="19"/>
        <v>255</v>
      </c>
      <c r="BF20" s="10">
        <f t="shared" ref="BF20:BM29" si="20">ROUND($Q20*BF$4*(1+$C20),0)</f>
        <v>255</v>
      </c>
      <c r="BG20" s="10">
        <f t="shared" si="20"/>
        <v>255</v>
      </c>
      <c r="BH20" s="10">
        <f t="shared" si="20"/>
        <v>255</v>
      </c>
      <c r="BI20" s="10">
        <f t="shared" si="20"/>
        <v>255</v>
      </c>
      <c r="BJ20" s="10">
        <f t="shared" si="20"/>
        <v>255</v>
      </c>
      <c r="BK20" s="10">
        <f t="shared" si="20"/>
        <v>255</v>
      </c>
      <c r="BL20" s="10">
        <f t="shared" si="20"/>
        <v>255</v>
      </c>
      <c r="BM20" s="10">
        <f t="shared" si="20"/>
        <v>255</v>
      </c>
    </row>
    <row r="21" spans="1:65" x14ac:dyDescent="0.2">
      <c r="A21" s="39">
        <v>43435</v>
      </c>
      <c r="B21" s="53">
        <v>100</v>
      </c>
      <c r="C21" s="54">
        <v>0.02</v>
      </c>
      <c r="D21" s="53">
        <v>125000</v>
      </c>
      <c r="E21" s="53">
        <v>60</v>
      </c>
      <c r="F21" s="32">
        <f t="shared" si="2"/>
        <v>2083</v>
      </c>
      <c r="G21" s="54">
        <v>0.5</v>
      </c>
      <c r="H21" s="6">
        <f t="shared" si="3"/>
        <v>1042</v>
      </c>
      <c r="I21" s="32">
        <f t="shared" si="4"/>
        <v>3125</v>
      </c>
      <c r="J21" s="24">
        <f t="shared" si="5"/>
        <v>40</v>
      </c>
      <c r="K21" s="105">
        <f>Q21+R20+S19+T18+U17+V16+W15+X14+Y13+Z12+AA11+AB10+AC9</f>
        <v>7475</v>
      </c>
      <c r="L21" s="107">
        <f t="shared" si="6"/>
        <v>13135</v>
      </c>
      <c r="M21" s="55">
        <f t="shared" si="7"/>
        <v>142.97265762344006</v>
      </c>
      <c r="N21" s="56">
        <f t="shared" si="8"/>
        <v>3.5743164405860015</v>
      </c>
      <c r="O21" s="34">
        <f t="shared" si="9"/>
        <v>0.58193979933110362</v>
      </c>
      <c r="P21" s="34"/>
      <c r="Q21" s="35">
        <f t="shared" si="10"/>
        <v>3125</v>
      </c>
      <c r="R21" s="11">
        <f t="shared" si="16"/>
        <v>797</v>
      </c>
      <c r="S21" s="11">
        <f t="shared" si="16"/>
        <v>478</v>
      </c>
      <c r="T21" s="11">
        <f t="shared" si="16"/>
        <v>383</v>
      </c>
      <c r="U21" s="11">
        <f t="shared" si="16"/>
        <v>351</v>
      </c>
      <c r="V21" s="11">
        <f t="shared" si="16"/>
        <v>319</v>
      </c>
      <c r="W21" s="11">
        <f t="shared" si="16"/>
        <v>287</v>
      </c>
      <c r="X21" s="11">
        <f t="shared" si="16"/>
        <v>255</v>
      </c>
      <c r="Y21" s="11">
        <f t="shared" si="16"/>
        <v>255</v>
      </c>
      <c r="Z21" s="11">
        <f t="shared" si="16"/>
        <v>255</v>
      </c>
      <c r="AA21" s="11">
        <f t="shared" si="16"/>
        <v>255</v>
      </c>
      <c r="AB21" s="11">
        <f t="shared" si="17"/>
        <v>255</v>
      </c>
      <c r="AC21" s="11">
        <f t="shared" si="17"/>
        <v>255</v>
      </c>
      <c r="AD21" s="11">
        <f t="shared" si="17"/>
        <v>255</v>
      </c>
      <c r="AE21" s="11">
        <f t="shared" si="17"/>
        <v>255</v>
      </c>
      <c r="AF21" s="11">
        <f t="shared" si="17"/>
        <v>255</v>
      </c>
      <c r="AG21" s="11">
        <f t="shared" si="17"/>
        <v>255</v>
      </c>
      <c r="AH21" s="11">
        <f t="shared" si="17"/>
        <v>255</v>
      </c>
      <c r="AI21" s="11">
        <f t="shared" si="17"/>
        <v>255</v>
      </c>
      <c r="AJ21" s="11">
        <f t="shared" si="17"/>
        <v>255</v>
      </c>
      <c r="AK21" s="11">
        <f t="shared" si="17"/>
        <v>255</v>
      </c>
      <c r="AL21" s="11">
        <f t="shared" si="18"/>
        <v>255</v>
      </c>
      <c r="AM21" s="11">
        <f t="shared" si="18"/>
        <v>255</v>
      </c>
      <c r="AN21" s="11">
        <f t="shared" si="18"/>
        <v>255</v>
      </c>
      <c r="AO21" s="11">
        <f t="shared" si="18"/>
        <v>255</v>
      </c>
      <c r="AP21" s="11">
        <f t="shared" si="18"/>
        <v>255</v>
      </c>
      <c r="AQ21" s="11">
        <f t="shared" si="18"/>
        <v>255</v>
      </c>
      <c r="AR21" s="11">
        <f t="shared" si="18"/>
        <v>255</v>
      </c>
      <c r="AS21" s="11">
        <f t="shared" si="18"/>
        <v>255</v>
      </c>
      <c r="AT21" s="11">
        <f t="shared" si="18"/>
        <v>255</v>
      </c>
      <c r="AU21" s="11">
        <f t="shared" si="18"/>
        <v>255</v>
      </c>
      <c r="AV21" s="11">
        <f t="shared" si="19"/>
        <v>255</v>
      </c>
      <c r="AW21" s="11">
        <f t="shared" si="19"/>
        <v>255</v>
      </c>
      <c r="AX21" s="11">
        <f t="shared" si="19"/>
        <v>255</v>
      </c>
      <c r="AY21" s="11">
        <f t="shared" si="19"/>
        <v>255</v>
      </c>
      <c r="AZ21" s="11">
        <f t="shared" si="19"/>
        <v>255</v>
      </c>
      <c r="BA21" s="11">
        <f t="shared" si="19"/>
        <v>255</v>
      </c>
      <c r="BB21" s="10">
        <f t="shared" si="19"/>
        <v>255</v>
      </c>
      <c r="BC21" s="10">
        <f t="shared" si="19"/>
        <v>255</v>
      </c>
      <c r="BD21" s="10">
        <f t="shared" si="19"/>
        <v>255</v>
      </c>
      <c r="BE21" s="10">
        <f t="shared" si="19"/>
        <v>255</v>
      </c>
      <c r="BF21" s="10">
        <f t="shared" si="20"/>
        <v>255</v>
      </c>
      <c r="BG21" s="10">
        <f t="shared" si="20"/>
        <v>255</v>
      </c>
      <c r="BH21" s="10">
        <f t="shared" si="20"/>
        <v>255</v>
      </c>
      <c r="BI21" s="10">
        <f t="shared" si="20"/>
        <v>255</v>
      </c>
      <c r="BJ21" s="10">
        <f t="shared" si="20"/>
        <v>255</v>
      </c>
      <c r="BK21" s="10">
        <f t="shared" si="20"/>
        <v>255</v>
      </c>
      <c r="BL21" s="10">
        <f t="shared" si="20"/>
        <v>255</v>
      </c>
      <c r="BM21" s="10">
        <f t="shared" si="20"/>
        <v>255</v>
      </c>
    </row>
    <row r="22" spans="1:65" x14ac:dyDescent="0.2">
      <c r="A22" s="39">
        <v>43466</v>
      </c>
      <c r="B22" s="53">
        <v>110</v>
      </c>
      <c r="C22" s="54">
        <v>0.03</v>
      </c>
      <c r="D22" s="53">
        <v>150000</v>
      </c>
      <c r="E22" s="53">
        <v>60</v>
      </c>
      <c r="F22" s="32">
        <f t="shared" si="2"/>
        <v>2500</v>
      </c>
      <c r="G22" s="54">
        <v>0.5</v>
      </c>
      <c r="H22" s="6">
        <f t="shared" si="3"/>
        <v>1250</v>
      </c>
      <c r="I22" s="32">
        <f t="shared" si="4"/>
        <v>3750</v>
      </c>
      <c r="J22" s="24">
        <f t="shared" si="5"/>
        <v>40</v>
      </c>
      <c r="K22" s="105">
        <f>Q22+R21+S20+T19+U18+V17+W16+X15+Y14+Z13+AA12+AB11+AC10+AD9</f>
        <v>8363</v>
      </c>
      <c r="L22" s="107">
        <f t="shared" si="6"/>
        <v>15879</v>
      </c>
      <c r="M22" s="55">
        <f t="shared" si="7"/>
        <v>187.04564525532962</v>
      </c>
      <c r="N22" s="56">
        <f t="shared" si="8"/>
        <v>4.6761411313832406</v>
      </c>
      <c r="O22" s="34">
        <f t="shared" si="9"/>
        <v>0.55159631711108459</v>
      </c>
      <c r="P22" s="34"/>
      <c r="Q22" s="35">
        <f t="shared" si="10"/>
        <v>3750</v>
      </c>
      <c r="R22" s="11">
        <f t="shared" si="16"/>
        <v>966</v>
      </c>
      <c r="S22" s="11">
        <f t="shared" si="16"/>
        <v>579</v>
      </c>
      <c r="T22" s="11">
        <f t="shared" si="16"/>
        <v>464</v>
      </c>
      <c r="U22" s="11">
        <f t="shared" si="16"/>
        <v>425</v>
      </c>
      <c r="V22" s="11">
        <f t="shared" si="16"/>
        <v>386</v>
      </c>
      <c r="W22" s="11">
        <f t="shared" si="16"/>
        <v>348</v>
      </c>
      <c r="X22" s="11">
        <f t="shared" si="16"/>
        <v>309</v>
      </c>
      <c r="Y22" s="11">
        <f t="shared" si="16"/>
        <v>309</v>
      </c>
      <c r="Z22" s="11">
        <f t="shared" si="16"/>
        <v>309</v>
      </c>
      <c r="AA22" s="11">
        <f t="shared" si="16"/>
        <v>309</v>
      </c>
      <c r="AB22" s="11">
        <f t="shared" si="17"/>
        <v>309</v>
      </c>
      <c r="AC22" s="11">
        <f t="shared" si="17"/>
        <v>309</v>
      </c>
      <c r="AD22" s="11">
        <f t="shared" si="17"/>
        <v>309</v>
      </c>
      <c r="AE22" s="11">
        <f t="shared" si="17"/>
        <v>309</v>
      </c>
      <c r="AF22" s="11">
        <f t="shared" si="17"/>
        <v>309</v>
      </c>
      <c r="AG22" s="11">
        <f t="shared" si="17"/>
        <v>309</v>
      </c>
      <c r="AH22" s="11">
        <f t="shared" si="17"/>
        <v>309</v>
      </c>
      <c r="AI22" s="11">
        <f t="shared" si="17"/>
        <v>309</v>
      </c>
      <c r="AJ22" s="11">
        <f t="shared" si="17"/>
        <v>309</v>
      </c>
      <c r="AK22" s="11">
        <f t="shared" si="17"/>
        <v>309</v>
      </c>
      <c r="AL22" s="11">
        <f t="shared" si="18"/>
        <v>309</v>
      </c>
      <c r="AM22" s="11">
        <f t="shared" si="18"/>
        <v>309</v>
      </c>
      <c r="AN22" s="11">
        <f t="shared" si="18"/>
        <v>309</v>
      </c>
      <c r="AO22" s="11">
        <f t="shared" si="18"/>
        <v>309</v>
      </c>
      <c r="AP22" s="11">
        <f t="shared" si="18"/>
        <v>309</v>
      </c>
      <c r="AQ22" s="11">
        <f t="shared" si="18"/>
        <v>309</v>
      </c>
      <c r="AR22" s="11">
        <f t="shared" si="18"/>
        <v>309</v>
      </c>
      <c r="AS22" s="11">
        <f t="shared" si="18"/>
        <v>309</v>
      </c>
      <c r="AT22" s="11">
        <f t="shared" si="18"/>
        <v>309</v>
      </c>
      <c r="AU22" s="11">
        <f t="shared" si="18"/>
        <v>309</v>
      </c>
      <c r="AV22" s="11">
        <f t="shared" si="19"/>
        <v>309</v>
      </c>
      <c r="AW22" s="11">
        <f t="shared" si="19"/>
        <v>309</v>
      </c>
      <c r="AX22" s="11">
        <f t="shared" si="19"/>
        <v>309</v>
      </c>
      <c r="AY22" s="11">
        <f t="shared" si="19"/>
        <v>309</v>
      </c>
      <c r="AZ22" s="11">
        <f t="shared" si="19"/>
        <v>309</v>
      </c>
      <c r="BA22" s="10">
        <f t="shared" si="19"/>
        <v>309</v>
      </c>
      <c r="BB22" s="10">
        <f t="shared" si="19"/>
        <v>309</v>
      </c>
      <c r="BC22" s="10">
        <f t="shared" si="19"/>
        <v>309</v>
      </c>
      <c r="BD22" s="10">
        <f t="shared" si="19"/>
        <v>309</v>
      </c>
      <c r="BE22" s="10">
        <f t="shared" si="19"/>
        <v>309</v>
      </c>
      <c r="BF22" s="10">
        <f t="shared" si="20"/>
        <v>309</v>
      </c>
      <c r="BG22" s="10">
        <f t="shared" si="20"/>
        <v>309</v>
      </c>
      <c r="BH22" s="10">
        <f t="shared" si="20"/>
        <v>309</v>
      </c>
      <c r="BI22" s="10">
        <f t="shared" si="20"/>
        <v>309</v>
      </c>
      <c r="BJ22" s="10">
        <f t="shared" si="20"/>
        <v>309</v>
      </c>
      <c r="BK22" s="10">
        <f t="shared" si="20"/>
        <v>309</v>
      </c>
      <c r="BL22" s="10">
        <f t="shared" si="20"/>
        <v>309</v>
      </c>
      <c r="BM22" s="10">
        <f t="shared" si="20"/>
        <v>309</v>
      </c>
    </row>
    <row r="23" spans="1:65" x14ac:dyDescent="0.2">
      <c r="A23" s="39">
        <v>43497</v>
      </c>
      <c r="B23" s="53">
        <v>110</v>
      </c>
      <c r="C23" s="54">
        <v>0.03</v>
      </c>
      <c r="D23" s="53">
        <v>150000</v>
      </c>
      <c r="E23" s="53">
        <v>60</v>
      </c>
      <c r="F23" s="32">
        <f t="shared" si="2"/>
        <v>2500</v>
      </c>
      <c r="G23" s="54">
        <v>0.5</v>
      </c>
      <c r="H23" s="6">
        <f t="shared" si="3"/>
        <v>1250</v>
      </c>
      <c r="I23" s="32">
        <f t="shared" si="4"/>
        <v>3750</v>
      </c>
      <c r="J23" s="24">
        <f t="shared" si="5"/>
        <v>40</v>
      </c>
      <c r="K23" s="105">
        <f>Q23+R22+S21+T20+U19+V18+W17+X16+Y15+Z14+AA13+AB12+AC11+AD10+AE9</f>
        <v>8788</v>
      </c>
      <c r="L23" s="107">
        <f t="shared" si="6"/>
        <v>15879</v>
      </c>
      <c r="M23" s="55">
        <f t="shared" si="7"/>
        <v>187.04564525532962</v>
      </c>
      <c r="N23" s="56">
        <f t="shared" si="8"/>
        <v>4.6761411313832406</v>
      </c>
      <c r="O23" s="34">
        <f t="shared" si="9"/>
        <v>0.57328174783796082</v>
      </c>
      <c r="P23" s="34"/>
      <c r="Q23" s="35">
        <f t="shared" si="10"/>
        <v>3750</v>
      </c>
      <c r="R23" s="11">
        <f t="shared" si="16"/>
        <v>966</v>
      </c>
      <c r="S23" s="11">
        <f t="shared" si="16"/>
        <v>579</v>
      </c>
      <c r="T23" s="11">
        <f t="shared" si="16"/>
        <v>464</v>
      </c>
      <c r="U23" s="11">
        <f t="shared" si="16"/>
        <v>425</v>
      </c>
      <c r="V23" s="11">
        <f t="shared" si="16"/>
        <v>386</v>
      </c>
      <c r="W23" s="11">
        <f t="shared" si="16"/>
        <v>348</v>
      </c>
      <c r="X23" s="11">
        <f t="shared" si="16"/>
        <v>309</v>
      </c>
      <c r="Y23" s="11">
        <f t="shared" si="16"/>
        <v>309</v>
      </c>
      <c r="Z23" s="11">
        <f t="shared" si="16"/>
        <v>309</v>
      </c>
      <c r="AA23" s="11">
        <f t="shared" si="16"/>
        <v>309</v>
      </c>
      <c r="AB23" s="11">
        <f t="shared" si="17"/>
        <v>309</v>
      </c>
      <c r="AC23" s="11">
        <f t="shared" si="17"/>
        <v>309</v>
      </c>
      <c r="AD23" s="11">
        <f t="shared" si="17"/>
        <v>309</v>
      </c>
      <c r="AE23" s="11">
        <f t="shared" si="17"/>
        <v>309</v>
      </c>
      <c r="AF23" s="11">
        <f t="shared" si="17"/>
        <v>309</v>
      </c>
      <c r="AG23" s="11">
        <f t="shared" si="17"/>
        <v>309</v>
      </c>
      <c r="AH23" s="11">
        <f t="shared" si="17"/>
        <v>309</v>
      </c>
      <c r="AI23" s="11">
        <f t="shared" si="17"/>
        <v>309</v>
      </c>
      <c r="AJ23" s="11">
        <f t="shared" si="17"/>
        <v>309</v>
      </c>
      <c r="AK23" s="11">
        <f t="shared" si="17"/>
        <v>309</v>
      </c>
      <c r="AL23" s="11">
        <f t="shared" si="18"/>
        <v>309</v>
      </c>
      <c r="AM23" s="11">
        <f t="shared" si="18"/>
        <v>309</v>
      </c>
      <c r="AN23" s="11">
        <f t="shared" si="18"/>
        <v>309</v>
      </c>
      <c r="AO23" s="11">
        <f t="shared" si="18"/>
        <v>309</v>
      </c>
      <c r="AP23" s="11">
        <f t="shared" si="18"/>
        <v>309</v>
      </c>
      <c r="AQ23" s="11">
        <f t="shared" si="18"/>
        <v>309</v>
      </c>
      <c r="AR23" s="11">
        <f t="shared" si="18"/>
        <v>309</v>
      </c>
      <c r="AS23" s="11">
        <f t="shared" si="18"/>
        <v>309</v>
      </c>
      <c r="AT23" s="11">
        <f t="shared" si="18"/>
        <v>309</v>
      </c>
      <c r="AU23" s="11">
        <f t="shared" si="18"/>
        <v>309</v>
      </c>
      <c r="AV23" s="11">
        <f t="shared" si="19"/>
        <v>309</v>
      </c>
      <c r="AW23" s="11">
        <f t="shared" si="19"/>
        <v>309</v>
      </c>
      <c r="AX23" s="11">
        <f t="shared" si="19"/>
        <v>309</v>
      </c>
      <c r="AY23" s="11">
        <f t="shared" si="19"/>
        <v>309</v>
      </c>
      <c r="AZ23" s="10">
        <f t="shared" si="19"/>
        <v>309</v>
      </c>
      <c r="BA23" s="10">
        <f t="shared" si="19"/>
        <v>309</v>
      </c>
      <c r="BB23" s="10">
        <f t="shared" si="19"/>
        <v>309</v>
      </c>
      <c r="BC23" s="10">
        <f t="shared" si="19"/>
        <v>309</v>
      </c>
      <c r="BD23" s="10">
        <f t="shared" si="19"/>
        <v>309</v>
      </c>
      <c r="BE23" s="10">
        <f t="shared" si="19"/>
        <v>309</v>
      </c>
      <c r="BF23" s="10">
        <f t="shared" si="20"/>
        <v>309</v>
      </c>
      <c r="BG23" s="10">
        <f t="shared" si="20"/>
        <v>309</v>
      </c>
      <c r="BH23" s="10">
        <f t="shared" si="20"/>
        <v>309</v>
      </c>
      <c r="BI23" s="10">
        <f t="shared" si="20"/>
        <v>309</v>
      </c>
      <c r="BJ23" s="10">
        <f t="shared" si="20"/>
        <v>309</v>
      </c>
      <c r="BK23" s="10">
        <f t="shared" si="20"/>
        <v>309</v>
      </c>
      <c r="BL23" s="10">
        <f t="shared" si="20"/>
        <v>309</v>
      </c>
      <c r="BM23" s="10">
        <f t="shared" si="20"/>
        <v>309</v>
      </c>
    </row>
    <row r="24" spans="1:65" x14ac:dyDescent="0.2">
      <c r="A24" s="39">
        <v>43525</v>
      </c>
      <c r="B24" s="53">
        <v>110</v>
      </c>
      <c r="C24" s="54">
        <v>0.03</v>
      </c>
      <c r="D24" s="53">
        <v>150000</v>
      </c>
      <c r="E24" s="53">
        <v>60</v>
      </c>
      <c r="F24" s="32">
        <f t="shared" si="2"/>
        <v>2500</v>
      </c>
      <c r="G24" s="54">
        <v>0.5</v>
      </c>
      <c r="H24" s="6">
        <f t="shared" si="3"/>
        <v>1250</v>
      </c>
      <c r="I24" s="32">
        <f t="shared" si="4"/>
        <v>3750</v>
      </c>
      <c r="J24" s="24">
        <f t="shared" si="5"/>
        <v>40</v>
      </c>
      <c r="K24" s="105">
        <f>Q24+R23+S22+T21+U20+V19+W18+X17+Y16+Z15+AA14+AB13+AC12+AD11+AE10+AF9</f>
        <v>9145</v>
      </c>
      <c r="L24" s="107">
        <f t="shared" si="6"/>
        <v>15879</v>
      </c>
      <c r="M24" s="55">
        <f t="shared" si="7"/>
        <v>187.04564525532967</v>
      </c>
      <c r="N24" s="56">
        <f t="shared" si="8"/>
        <v>4.6761411313832415</v>
      </c>
      <c r="O24" s="34">
        <f t="shared" si="9"/>
        <v>0.58993985784581737</v>
      </c>
      <c r="P24" s="34"/>
      <c r="Q24" s="35">
        <f t="shared" si="10"/>
        <v>3750</v>
      </c>
      <c r="R24" s="11">
        <f t="shared" si="16"/>
        <v>966</v>
      </c>
      <c r="S24" s="11">
        <f t="shared" si="16"/>
        <v>579</v>
      </c>
      <c r="T24" s="11">
        <f t="shared" si="16"/>
        <v>464</v>
      </c>
      <c r="U24" s="11">
        <f t="shared" si="16"/>
        <v>425</v>
      </c>
      <c r="V24" s="11">
        <f t="shared" si="16"/>
        <v>386</v>
      </c>
      <c r="W24" s="11">
        <f t="shared" si="16"/>
        <v>348</v>
      </c>
      <c r="X24" s="11">
        <f t="shared" si="16"/>
        <v>309</v>
      </c>
      <c r="Y24" s="11">
        <f t="shared" si="16"/>
        <v>309</v>
      </c>
      <c r="Z24" s="11">
        <f t="shared" si="16"/>
        <v>309</v>
      </c>
      <c r="AA24" s="11">
        <f t="shared" si="16"/>
        <v>309</v>
      </c>
      <c r="AB24" s="11">
        <f t="shared" si="17"/>
        <v>309</v>
      </c>
      <c r="AC24" s="11">
        <f t="shared" si="17"/>
        <v>309</v>
      </c>
      <c r="AD24" s="11">
        <f t="shared" si="17"/>
        <v>309</v>
      </c>
      <c r="AE24" s="11">
        <f t="shared" si="17"/>
        <v>309</v>
      </c>
      <c r="AF24" s="11">
        <f t="shared" si="17"/>
        <v>309</v>
      </c>
      <c r="AG24" s="11">
        <f t="shared" si="17"/>
        <v>309</v>
      </c>
      <c r="AH24" s="11">
        <f t="shared" si="17"/>
        <v>309</v>
      </c>
      <c r="AI24" s="11">
        <f t="shared" si="17"/>
        <v>309</v>
      </c>
      <c r="AJ24" s="11">
        <f t="shared" si="17"/>
        <v>309</v>
      </c>
      <c r="AK24" s="11">
        <f t="shared" si="17"/>
        <v>309</v>
      </c>
      <c r="AL24" s="11">
        <f t="shared" si="18"/>
        <v>309</v>
      </c>
      <c r="AM24" s="11">
        <f t="shared" si="18"/>
        <v>309</v>
      </c>
      <c r="AN24" s="11">
        <f t="shared" si="18"/>
        <v>309</v>
      </c>
      <c r="AO24" s="11">
        <f t="shared" si="18"/>
        <v>309</v>
      </c>
      <c r="AP24" s="11">
        <f t="shared" si="18"/>
        <v>309</v>
      </c>
      <c r="AQ24" s="11">
        <f t="shared" si="18"/>
        <v>309</v>
      </c>
      <c r="AR24" s="11">
        <f t="shared" si="18"/>
        <v>309</v>
      </c>
      <c r="AS24" s="11">
        <f t="shared" si="18"/>
        <v>309</v>
      </c>
      <c r="AT24" s="11">
        <f t="shared" si="18"/>
        <v>309</v>
      </c>
      <c r="AU24" s="11">
        <f t="shared" si="18"/>
        <v>309</v>
      </c>
      <c r="AV24" s="11">
        <f t="shared" si="19"/>
        <v>309</v>
      </c>
      <c r="AW24" s="11">
        <f t="shared" si="19"/>
        <v>309</v>
      </c>
      <c r="AX24" s="11">
        <f t="shared" si="19"/>
        <v>309</v>
      </c>
      <c r="AY24" s="10">
        <f t="shared" si="19"/>
        <v>309</v>
      </c>
      <c r="AZ24" s="10">
        <f t="shared" si="19"/>
        <v>309</v>
      </c>
      <c r="BA24" s="10">
        <f t="shared" si="19"/>
        <v>309</v>
      </c>
      <c r="BB24" s="10">
        <f t="shared" si="19"/>
        <v>309</v>
      </c>
      <c r="BC24" s="10">
        <f t="shared" si="19"/>
        <v>309</v>
      </c>
      <c r="BD24" s="10">
        <f t="shared" si="19"/>
        <v>309</v>
      </c>
      <c r="BE24" s="10">
        <f t="shared" si="19"/>
        <v>309</v>
      </c>
      <c r="BF24" s="10">
        <f t="shared" si="20"/>
        <v>309</v>
      </c>
      <c r="BG24" s="10">
        <f t="shared" si="20"/>
        <v>309</v>
      </c>
      <c r="BH24" s="10">
        <f t="shared" si="20"/>
        <v>309</v>
      </c>
      <c r="BI24" s="10">
        <f t="shared" si="20"/>
        <v>309</v>
      </c>
      <c r="BJ24" s="10">
        <f t="shared" si="20"/>
        <v>309</v>
      </c>
      <c r="BK24" s="10">
        <f t="shared" si="20"/>
        <v>309</v>
      </c>
      <c r="BL24" s="10">
        <f t="shared" si="20"/>
        <v>309</v>
      </c>
      <c r="BM24" s="10">
        <f t="shared" si="20"/>
        <v>309</v>
      </c>
    </row>
    <row r="25" spans="1:65" x14ac:dyDescent="0.2">
      <c r="A25" s="39">
        <v>43556</v>
      </c>
      <c r="B25" s="53">
        <v>110</v>
      </c>
      <c r="C25" s="54">
        <v>0.03</v>
      </c>
      <c r="D25" s="53">
        <v>150000</v>
      </c>
      <c r="E25" s="53">
        <v>60</v>
      </c>
      <c r="F25" s="32">
        <f t="shared" si="2"/>
        <v>2500</v>
      </c>
      <c r="G25" s="54">
        <v>0.5</v>
      </c>
      <c r="H25" s="6">
        <f t="shared" si="3"/>
        <v>1250</v>
      </c>
      <c r="I25" s="32">
        <f t="shared" si="4"/>
        <v>3750</v>
      </c>
      <c r="J25" s="24">
        <f t="shared" si="5"/>
        <v>40</v>
      </c>
      <c r="K25" s="105">
        <f>Q25+R24+S23+T22+U21+V20+W19+X18+Y17+Z16+AA15+AB14+AC13+AD12+AE11+AF10+AG9</f>
        <v>9481</v>
      </c>
      <c r="L25" s="107">
        <f t="shared" si="6"/>
        <v>15879</v>
      </c>
      <c r="M25" s="55">
        <f t="shared" si="7"/>
        <v>192.20229211700541</v>
      </c>
      <c r="N25" s="56">
        <f t="shared" si="8"/>
        <v>4.8050573029251353</v>
      </c>
      <c r="O25" s="34">
        <f t="shared" si="9"/>
        <v>0.60447210209893476</v>
      </c>
      <c r="P25" s="34"/>
      <c r="Q25" s="35">
        <f t="shared" si="10"/>
        <v>3750</v>
      </c>
      <c r="R25" s="11">
        <f t="shared" si="16"/>
        <v>966</v>
      </c>
      <c r="S25" s="11">
        <f t="shared" si="16"/>
        <v>579</v>
      </c>
      <c r="T25" s="11">
        <f t="shared" si="16"/>
        <v>464</v>
      </c>
      <c r="U25" s="11">
        <f t="shared" si="16"/>
        <v>425</v>
      </c>
      <c r="V25" s="11">
        <f t="shared" si="16"/>
        <v>386</v>
      </c>
      <c r="W25" s="11">
        <f t="shared" si="16"/>
        <v>348</v>
      </c>
      <c r="X25" s="11">
        <f t="shared" si="16"/>
        <v>309</v>
      </c>
      <c r="Y25" s="11">
        <f t="shared" si="16"/>
        <v>309</v>
      </c>
      <c r="Z25" s="11">
        <f t="shared" si="16"/>
        <v>309</v>
      </c>
      <c r="AA25" s="11">
        <f t="shared" si="16"/>
        <v>309</v>
      </c>
      <c r="AB25" s="11">
        <f t="shared" si="17"/>
        <v>309</v>
      </c>
      <c r="AC25" s="11">
        <f t="shared" si="17"/>
        <v>309</v>
      </c>
      <c r="AD25" s="11">
        <f t="shared" si="17"/>
        <v>309</v>
      </c>
      <c r="AE25" s="11">
        <f t="shared" si="17"/>
        <v>309</v>
      </c>
      <c r="AF25" s="11">
        <f t="shared" si="17"/>
        <v>309</v>
      </c>
      <c r="AG25" s="11">
        <f t="shared" si="17"/>
        <v>309</v>
      </c>
      <c r="AH25" s="11">
        <f t="shared" si="17"/>
        <v>309</v>
      </c>
      <c r="AI25" s="11">
        <f t="shared" si="17"/>
        <v>309</v>
      </c>
      <c r="AJ25" s="11">
        <f t="shared" si="17"/>
        <v>309</v>
      </c>
      <c r="AK25" s="11">
        <f t="shared" si="17"/>
        <v>309</v>
      </c>
      <c r="AL25" s="11">
        <f t="shared" si="18"/>
        <v>309</v>
      </c>
      <c r="AM25" s="11">
        <f t="shared" si="18"/>
        <v>309</v>
      </c>
      <c r="AN25" s="11">
        <f t="shared" si="18"/>
        <v>309</v>
      </c>
      <c r="AO25" s="11">
        <f t="shared" si="18"/>
        <v>309</v>
      </c>
      <c r="AP25" s="11">
        <f t="shared" si="18"/>
        <v>309</v>
      </c>
      <c r="AQ25" s="11">
        <f t="shared" si="18"/>
        <v>309</v>
      </c>
      <c r="AR25" s="11">
        <f t="shared" si="18"/>
        <v>309</v>
      </c>
      <c r="AS25" s="11">
        <f t="shared" si="18"/>
        <v>309</v>
      </c>
      <c r="AT25" s="11">
        <f t="shared" si="18"/>
        <v>309</v>
      </c>
      <c r="AU25" s="11">
        <f t="shared" si="18"/>
        <v>309</v>
      </c>
      <c r="AV25" s="11">
        <f t="shared" si="19"/>
        <v>309</v>
      </c>
      <c r="AW25" s="11">
        <f t="shared" si="19"/>
        <v>309</v>
      </c>
      <c r="AX25" s="10">
        <f t="shared" si="19"/>
        <v>309</v>
      </c>
      <c r="AY25" s="10">
        <f t="shared" si="19"/>
        <v>309</v>
      </c>
      <c r="AZ25" s="10">
        <f t="shared" si="19"/>
        <v>309</v>
      </c>
      <c r="BA25" s="10">
        <f t="shared" si="19"/>
        <v>309</v>
      </c>
      <c r="BB25" s="10">
        <f t="shared" si="19"/>
        <v>309</v>
      </c>
      <c r="BC25" s="10">
        <f t="shared" si="19"/>
        <v>309</v>
      </c>
      <c r="BD25" s="10">
        <f t="shared" si="19"/>
        <v>309</v>
      </c>
      <c r="BE25" s="10">
        <f t="shared" si="19"/>
        <v>309</v>
      </c>
      <c r="BF25" s="10">
        <f t="shared" si="20"/>
        <v>309</v>
      </c>
      <c r="BG25" s="10">
        <f t="shared" si="20"/>
        <v>309</v>
      </c>
      <c r="BH25" s="10">
        <f t="shared" si="20"/>
        <v>309</v>
      </c>
      <c r="BI25" s="10">
        <f t="shared" si="20"/>
        <v>309</v>
      </c>
      <c r="BJ25" s="10">
        <f t="shared" si="20"/>
        <v>309</v>
      </c>
      <c r="BK25" s="10">
        <f t="shared" si="20"/>
        <v>309</v>
      </c>
      <c r="BL25" s="10">
        <f t="shared" si="20"/>
        <v>309</v>
      </c>
      <c r="BM25" s="10">
        <f t="shared" si="20"/>
        <v>309</v>
      </c>
    </row>
    <row r="26" spans="1:65" x14ac:dyDescent="0.2">
      <c r="A26" s="39">
        <v>43586</v>
      </c>
      <c r="B26" s="53">
        <v>110</v>
      </c>
      <c r="C26" s="54">
        <v>0.04</v>
      </c>
      <c r="D26" s="53">
        <v>150000</v>
      </c>
      <c r="E26" s="53">
        <v>60</v>
      </c>
      <c r="F26" s="32">
        <f t="shared" si="2"/>
        <v>2500</v>
      </c>
      <c r="G26" s="54">
        <v>0.5</v>
      </c>
      <c r="H26" s="6">
        <f t="shared" si="3"/>
        <v>1250</v>
      </c>
      <c r="I26" s="32">
        <f t="shared" si="4"/>
        <v>3750</v>
      </c>
      <c r="J26" s="24">
        <f t="shared" si="5"/>
        <v>40</v>
      </c>
      <c r="K26" s="105">
        <f>Q26+R25+S24+T23+U22+V21+W20+X19+Y18+Z17+AA16+AB15+AC14+AD13+AE12+AF11+AG10+AH9</f>
        <v>9810</v>
      </c>
      <c r="L26" s="107">
        <f t="shared" si="6"/>
        <v>15996</v>
      </c>
      <c r="M26" s="55">
        <f t="shared" si="7"/>
        <v>193.61848130887452</v>
      </c>
      <c r="N26" s="56">
        <f t="shared" si="8"/>
        <v>4.840462032721863</v>
      </c>
      <c r="O26" s="34">
        <f t="shared" si="9"/>
        <v>0.61773700305810397</v>
      </c>
      <c r="P26" s="34"/>
      <c r="Q26" s="35">
        <f t="shared" si="10"/>
        <v>3750</v>
      </c>
      <c r="R26" s="11">
        <f t="shared" si="16"/>
        <v>975</v>
      </c>
      <c r="S26" s="11">
        <f t="shared" si="16"/>
        <v>585</v>
      </c>
      <c r="T26" s="11">
        <f t="shared" si="16"/>
        <v>468</v>
      </c>
      <c r="U26" s="11">
        <f t="shared" si="16"/>
        <v>429</v>
      </c>
      <c r="V26" s="11">
        <f t="shared" si="16"/>
        <v>390</v>
      </c>
      <c r="W26" s="11">
        <f t="shared" si="16"/>
        <v>351</v>
      </c>
      <c r="X26" s="11">
        <f t="shared" si="16"/>
        <v>312</v>
      </c>
      <c r="Y26" s="11">
        <f t="shared" si="16"/>
        <v>312</v>
      </c>
      <c r="Z26" s="11">
        <f t="shared" si="16"/>
        <v>312</v>
      </c>
      <c r="AA26" s="11">
        <f t="shared" si="16"/>
        <v>312</v>
      </c>
      <c r="AB26" s="11">
        <f t="shared" si="17"/>
        <v>312</v>
      </c>
      <c r="AC26" s="11">
        <f t="shared" si="17"/>
        <v>312</v>
      </c>
      <c r="AD26" s="11">
        <f t="shared" si="17"/>
        <v>312</v>
      </c>
      <c r="AE26" s="11">
        <f t="shared" si="17"/>
        <v>312</v>
      </c>
      <c r="AF26" s="11">
        <f t="shared" si="17"/>
        <v>312</v>
      </c>
      <c r="AG26" s="11">
        <f t="shared" si="17"/>
        <v>312</v>
      </c>
      <c r="AH26" s="11">
        <f t="shared" si="17"/>
        <v>312</v>
      </c>
      <c r="AI26" s="11">
        <f t="shared" si="17"/>
        <v>312</v>
      </c>
      <c r="AJ26" s="11">
        <f t="shared" si="17"/>
        <v>312</v>
      </c>
      <c r="AK26" s="11">
        <f t="shared" si="17"/>
        <v>312</v>
      </c>
      <c r="AL26" s="11">
        <f t="shared" si="18"/>
        <v>312</v>
      </c>
      <c r="AM26" s="11">
        <f t="shared" si="18"/>
        <v>312</v>
      </c>
      <c r="AN26" s="11">
        <f t="shared" si="18"/>
        <v>312</v>
      </c>
      <c r="AO26" s="11">
        <f t="shared" si="18"/>
        <v>312</v>
      </c>
      <c r="AP26" s="11">
        <f t="shared" si="18"/>
        <v>312</v>
      </c>
      <c r="AQ26" s="11">
        <f t="shared" si="18"/>
        <v>312</v>
      </c>
      <c r="AR26" s="11">
        <f t="shared" si="18"/>
        <v>312</v>
      </c>
      <c r="AS26" s="11">
        <f t="shared" si="18"/>
        <v>312</v>
      </c>
      <c r="AT26" s="11">
        <f t="shared" si="18"/>
        <v>312</v>
      </c>
      <c r="AU26" s="11">
        <f t="shared" si="18"/>
        <v>312</v>
      </c>
      <c r="AV26" s="11">
        <f t="shared" si="19"/>
        <v>312</v>
      </c>
      <c r="AW26" s="10">
        <f t="shared" si="19"/>
        <v>312</v>
      </c>
      <c r="AX26" s="10">
        <f t="shared" si="19"/>
        <v>312</v>
      </c>
      <c r="AY26" s="10">
        <f t="shared" si="19"/>
        <v>312</v>
      </c>
      <c r="AZ26" s="10">
        <f t="shared" si="19"/>
        <v>312</v>
      </c>
      <c r="BA26" s="10">
        <f t="shared" si="19"/>
        <v>312</v>
      </c>
      <c r="BB26" s="10">
        <f t="shared" si="19"/>
        <v>312</v>
      </c>
      <c r="BC26" s="10">
        <f t="shared" si="19"/>
        <v>312</v>
      </c>
      <c r="BD26" s="10">
        <f t="shared" si="19"/>
        <v>312</v>
      </c>
      <c r="BE26" s="10">
        <f t="shared" si="19"/>
        <v>312</v>
      </c>
      <c r="BF26" s="10">
        <f t="shared" si="20"/>
        <v>312</v>
      </c>
      <c r="BG26" s="10">
        <f t="shared" si="20"/>
        <v>312</v>
      </c>
      <c r="BH26" s="10">
        <f t="shared" si="20"/>
        <v>312</v>
      </c>
      <c r="BI26" s="10">
        <f t="shared" si="20"/>
        <v>312</v>
      </c>
      <c r="BJ26" s="10">
        <f t="shared" si="20"/>
        <v>312</v>
      </c>
      <c r="BK26" s="10">
        <f t="shared" si="20"/>
        <v>312</v>
      </c>
      <c r="BL26" s="10">
        <f t="shared" si="20"/>
        <v>312</v>
      </c>
      <c r="BM26" s="10">
        <f t="shared" si="20"/>
        <v>312</v>
      </c>
    </row>
    <row r="27" spans="1:65" x14ac:dyDescent="0.2">
      <c r="A27" s="39">
        <v>43617</v>
      </c>
      <c r="B27" s="53">
        <v>110</v>
      </c>
      <c r="C27" s="54">
        <v>0.04</v>
      </c>
      <c r="D27" s="53">
        <v>150000</v>
      </c>
      <c r="E27" s="53">
        <v>60</v>
      </c>
      <c r="F27" s="32">
        <f t="shared" si="2"/>
        <v>2500</v>
      </c>
      <c r="G27" s="54">
        <v>0.5</v>
      </c>
      <c r="H27" s="6">
        <f t="shared" si="3"/>
        <v>1250</v>
      </c>
      <c r="I27" s="32">
        <f t="shared" si="4"/>
        <v>3750</v>
      </c>
      <c r="J27" s="24">
        <f t="shared" si="5"/>
        <v>40</v>
      </c>
      <c r="K27" s="105">
        <f>Q27+R26+S25+T24+U23+V22+W21+X20+Y19+Z18+AA17+AB16+AC15+AD14+AE13+AF12+AG11+AH10+AI9</f>
        <v>10141</v>
      </c>
      <c r="L27" s="107">
        <f t="shared" si="6"/>
        <v>15996</v>
      </c>
      <c r="M27" s="55">
        <f t="shared" si="7"/>
        <v>193.61848130887452</v>
      </c>
      <c r="N27" s="56">
        <f t="shared" si="8"/>
        <v>4.840462032721863</v>
      </c>
      <c r="O27" s="34">
        <f t="shared" si="9"/>
        <v>0.63021398284192875</v>
      </c>
      <c r="P27" s="34"/>
      <c r="Q27" s="35">
        <f t="shared" si="10"/>
        <v>3750</v>
      </c>
      <c r="R27" s="11">
        <f t="shared" si="16"/>
        <v>975</v>
      </c>
      <c r="S27" s="11">
        <f t="shared" si="16"/>
        <v>585</v>
      </c>
      <c r="T27" s="11">
        <f t="shared" si="16"/>
        <v>468</v>
      </c>
      <c r="U27" s="11">
        <f t="shared" si="16"/>
        <v>429</v>
      </c>
      <c r="V27" s="11">
        <f t="shared" si="16"/>
        <v>390</v>
      </c>
      <c r="W27" s="11">
        <f t="shared" si="16"/>
        <v>351</v>
      </c>
      <c r="X27" s="11">
        <f t="shared" si="16"/>
        <v>312</v>
      </c>
      <c r="Y27" s="11">
        <f t="shared" si="16"/>
        <v>312</v>
      </c>
      <c r="Z27" s="11">
        <f t="shared" si="16"/>
        <v>312</v>
      </c>
      <c r="AA27" s="11">
        <f t="shared" si="16"/>
        <v>312</v>
      </c>
      <c r="AB27" s="11">
        <f t="shared" si="17"/>
        <v>312</v>
      </c>
      <c r="AC27" s="11">
        <f t="shared" si="17"/>
        <v>312</v>
      </c>
      <c r="AD27" s="11">
        <f t="shared" si="17"/>
        <v>312</v>
      </c>
      <c r="AE27" s="11">
        <f t="shared" si="17"/>
        <v>312</v>
      </c>
      <c r="AF27" s="11">
        <f t="shared" si="17"/>
        <v>312</v>
      </c>
      <c r="AG27" s="11">
        <f t="shared" si="17"/>
        <v>312</v>
      </c>
      <c r="AH27" s="11">
        <f t="shared" si="17"/>
        <v>312</v>
      </c>
      <c r="AI27" s="11">
        <f t="shared" si="17"/>
        <v>312</v>
      </c>
      <c r="AJ27" s="11">
        <f t="shared" si="17"/>
        <v>312</v>
      </c>
      <c r="AK27" s="11">
        <f t="shared" si="17"/>
        <v>312</v>
      </c>
      <c r="AL27" s="11">
        <f t="shared" si="18"/>
        <v>312</v>
      </c>
      <c r="AM27" s="11">
        <f t="shared" si="18"/>
        <v>312</v>
      </c>
      <c r="AN27" s="11">
        <f t="shared" si="18"/>
        <v>312</v>
      </c>
      <c r="AO27" s="11">
        <f t="shared" si="18"/>
        <v>312</v>
      </c>
      <c r="AP27" s="11">
        <f t="shared" si="18"/>
        <v>312</v>
      </c>
      <c r="AQ27" s="11">
        <f t="shared" si="18"/>
        <v>312</v>
      </c>
      <c r="AR27" s="11">
        <f t="shared" si="18"/>
        <v>312</v>
      </c>
      <c r="AS27" s="11">
        <f t="shared" si="18"/>
        <v>312</v>
      </c>
      <c r="AT27" s="11">
        <f t="shared" si="18"/>
        <v>312</v>
      </c>
      <c r="AU27" s="11">
        <f t="shared" si="18"/>
        <v>312</v>
      </c>
      <c r="AV27" s="10">
        <f t="shared" si="19"/>
        <v>312</v>
      </c>
      <c r="AW27" s="10">
        <f t="shared" si="19"/>
        <v>312</v>
      </c>
      <c r="AX27" s="10">
        <f t="shared" si="19"/>
        <v>312</v>
      </c>
      <c r="AY27" s="10">
        <f t="shared" si="19"/>
        <v>312</v>
      </c>
      <c r="AZ27" s="10">
        <f t="shared" si="19"/>
        <v>312</v>
      </c>
      <c r="BA27" s="10">
        <f t="shared" si="19"/>
        <v>312</v>
      </c>
      <c r="BB27" s="10">
        <f t="shared" si="19"/>
        <v>312</v>
      </c>
      <c r="BC27" s="10">
        <f t="shared" si="19"/>
        <v>312</v>
      </c>
      <c r="BD27" s="10">
        <f t="shared" si="19"/>
        <v>312</v>
      </c>
      <c r="BE27" s="10">
        <f t="shared" si="19"/>
        <v>312</v>
      </c>
      <c r="BF27" s="10">
        <f t="shared" si="20"/>
        <v>312</v>
      </c>
      <c r="BG27" s="10">
        <f t="shared" si="20"/>
        <v>312</v>
      </c>
      <c r="BH27" s="10">
        <f t="shared" si="20"/>
        <v>312</v>
      </c>
      <c r="BI27" s="10">
        <f t="shared" si="20"/>
        <v>312</v>
      </c>
      <c r="BJ27" s="10">
        <f t="shared" si="20"/>
        <v>312</v>
      </c>
      <c r="BK27" s="10">
        <f t="shared" si="20"/>
        <v>312</v>
      </c>
      <c r="BL27" s="10">
        <f t="shared" si="20"/>
        <v>312</v>
      </c>
      <c r="BM27" s="10">
        <f t="shared" si="20"/>
        <v>312</v>
      </c>
    </row>
    <row r="28" spans="1:65" x14ac:dyDescent="0.2">
      <c r="A28" s="39">
        <v>43647</v>
      </c>
      <c r="B28" s="53">
        <v>110</v>
      </c>
      <c r="C28" s="54">
        <v>0.04</v>
      </c>
      <c r="D28" s="53">
        <v>200000</v>
      </c>
      <c r="E28" s="53">
        <v>60</v>
      </c>
      <c r="F28" s="32">
        <f t="shared" si="2"/>
        <v>3333</v>
      </c>
      <c r="G28" s="54">
        <v>0.5</v>
      </c>
      <c r="H28" s="6">
        <f t="shared" si="3"/>
        <v>1667</v>
      </c>
      <c r="I28" s="32">
        <f t="shared" si="4"/>
        <v>5000</v>
      </c>
      <c r="J28" s="24">
        <f t="shared" si="5"/>
        <v>40</v>
      </c>
      <c r="K28" s="105">
        <f>Q28+R27+S26+T25+U24+V23+W22+X21+Y20+Z19+AA18+AB17+AC16+AD15+AE14+AF13+AG12+AH11+AI10+AJ9</f>
        <v>11713</v>
      </c>
      <c r="L28" s="107">
        <f t="shared" si="6"/>
        <v>21328</v>
      </c>
      <c r="M28" s="55">
        <f t="shared" si="7"/>
        <v>208.97210352007934</v>
      </c>
      <c r="N28" s="56">
        <f t="shared" si="8"/>
        <v>5.2243025880019838</v>
      </c>
      <c r="O28" s="34">
        <f t="shared" si="9"/>
        <v>0.5731238794501835</v>
      </c>
      <c r="P28" s="34"/>
      <c r="Q28" s="35">
        <f t="shared" si="10"/>
        <v>5000</v>
      </c>
      <c r="R28" s="11">
        <f t="shared" si="16"/>
        <v>1300</v>
      </c>
      <c r="S28" s="11">
        <f t="shared" si="16"/>
        <v>780</v>
      </c>
      <c r="T28" s="11">
        <f t="shared" si="16"/>
        <v>624</v>
      </c>
      <c r="U28" s="11">
        <f t="shared" si="16"/>
        <v>572</v>
      </c>
      <c r="V28" s="11">
        <f t="shared" si="16"/>
        <v>520</v>
      </c>
      <c r="W28" s="11">
        <f t="shared" si="16"/>
        <v>468</v>
      </c>
      <c r="X28" s="11">
        <f t="shared" si="16"/>
        <v>416</v>
      </c>
      <c r="Y28" s="11">
        <f t="shared" si="16"/>
        <v>416</v>
      </c>
      <c r="Z28" s="11">
        <f t="shared" si="16"/>
        <v>416</v>
      </c>
      <c r="AA28" s="11">
        <f t="shared" si="16"/>
        <v>416</v>
      </c>
      <c r="AB28" s="11">
        <f t="shared" si="17"/>
        <v>416</v>
      </c>
      <c r="AC28" s="11">
        <f t="shared" si="17"/>
        <v>416</v>
      </c>
      <c r="AD28" s="11">
        <f t="shared" si="17"/>
        <v>416</v>
      </c>
      <c r="AE28" s="11">
        <f t="shared" si="17"/>
        <v>416</v>
      </c>
      <c r="AF28" s="11">
        <f t="shared" si="17"/>
        <v>416</v>
      </c>
      <c r="AG28" s="11">
        <f t="shared" si="17"/>
        <v>416</v>
      </c>
      <c r="AH28" s="11">
        <f t="shared" si="17"/>
        <v>416</v>
      </c>
      <c r="AI28" s="11">
        <f t="shared" si="17"/>
        <v>416</v>
      </c>
      <c r="AJ28" s="11">
        <f t="shared" si="17"/>
        <v>416</v>
      </c>
      <c r="AK28" s="11">
        <f t="shared" si="17"/>
        <v>416</v>
      </c>
      <c r="AL28" s="11">
        <f t="shared" si="18"/>
        <v>416</v>
      </c>
      <c r="AM28" s="11">
        <f t="shared" si="18"/>
        <v>416</v>
      </c>
      <c r="AN28" s="11">
        <f t="shared" si="18"/>
        <v>416</v>
      </c>
      <c r="AO28" s="11">
        <f t="shared" si="18"/>
        <v>416</v>
      </c>
      <c r="AP28" s="11">
        <f t="shared" si="18"/>
        <v>416</v>
      </c>
      <c r="AQ28" s="11">
        <f t="shared" si="18"/>
        <v>416</v>
      </c>
      <c r="AR28" s="11">
        <f t="shared" si="18"/>
        <v>416</v>
      </c>
      <c r="AS28" s="11">
        <f t="shared" si="18"/>
        <v>416</v>
      </c>
      <c r="AT28" s="11">
        <f t="shared" si="18"/>
        <v>416</v>
      </c>
      <c r="AU28" s="10">
        <f t="shared" si="18"/>
        <v>416</v>
      </c>
      <c r="AV28" s="10">
        <f t="shared" si="19"/>
        <v>416</v>
      </c>
      <c r="AW28" s="10">
        <f t="shared" si="19"/>
        <v>416</v>
      </c>
      <c r="AX28" s="10">
        <f t="shared" si="19"/>
        <v>416</v>
      </c>
      <c r="AY28" s="10">
        <f t="shared" si="19"/>
        <v>416</v>
      </c>
      <c r="AZ28" s="10">
        <f t="shared" si="19"/>
        <v>416</v>
      </c>
      <c r="BA28" s="10">
        <f t="shared" si="19"/>
        <v>416</v>
      </c>
      <c r="BB28" s="10">
        <f t="shared" si="19"/>
        <v>416</v>
      </c>
      <c r="BC28" s="10">
        <f t="shared" si="19"/>
        <v>416</v>
      </c>
      <c r="BD28" s="10">
        <f t="shared" si="19"/>
        <v>416</v>
      </c>
      <c r="BE28" s="10">
        <f t="shared" si="19"/>
        <v>416</v>
      </c>
      <c r="BF28" s="10">
        <f t="shared" si="20"/>
        <v>416</v>
      </c>
      <c r="BG28" s="10">
        <f t="shared" si="20"/>
        <v>416</v>
      </c>
      <c r="BH28" s="10">
        <f t="shared" si="20"/>
        <v>416</v>
      </c>
      <c r="BI28" s="10">
        <f t="shared" si="20"/>
        <v>416</v>
      </c>
      <c r="BJ28" s="10">
        <f t="shared" si="20"/>
        <v>416</v>
      </c>
      <c r="BK28" s="10">
        <f t="shared" si="20"/>
        <v>416</v>
      </c>
      <c r="BL28" s="10">
        <f t="shared" si="20"/>
        <v>416</v>
      </c>
      <c r="BM28" s="10">
        <f t="shared" si="20"/>
        <v>416</v>
      </c>
    </row>
    <row r="29" spans="1:65" x14ac:dyDescent="0.2">
      <c r="A29" s="39">
        <v>43678</v>
      </c>
      <c r="B29" s="53">
        <v>110</v>
      </c>
      <c r="C29" s="54">
        <v>0.04</v>
      </c>
      <c r="D29" s="53">
        <v>200000</v>
      </c>
      <c r="E29" s="53">
        <v>60</v>
      </c>
      <c r="F29" s="32">
        <f t="shared" si="2"/>
        <v>3333</v>
      </c>
      <c r="G29" s="54">
        <v>0.5</v>
      </c>
      <c r="H29" s="6">
        <f t="shared" si="3"/>
        <v>1667</v>
      </c>
      <c r="I29" s="32">
        <f t="shared" si="4"/>
        <v>5000</v>
      </c>
      <c r="J29" s="24">
        <f t="shared" si="5"/>
        <v>40</v>
      </c>
      <c r="K29" s="105">
        <f>Q29+R28+S27+T26+U25+V24+W23+X22+Y21+Z20+AA19+AB18+AC17+AD16+AE15+AF14+AG13+AH12+AI11+AJ10+AK9</f>
        <v>12351</v>
      </c>
      <c r="L29" s="107">
        <f t="shared" si="6"/>
        <v>21328</v>
      </c>
      <c r="M29" s="55">
        <f t="shared" si="7"/>
        <v>208.97210352007932</v>
      </c>
      <c r="N29" s="56">
        <f t="shared" si="8"/>
        <v>5.2243025880019829</v>
      </c>
      <c r="O29" s="34">
        <f t="shared" si="9"/>
        <v>0.59517447979920657</v>
      </c>
      <c r="P29" s="34"/>
      <c r="Q29" s="35">
        <f t="shared" si="10"/>
        <v>5000</v>
      </c>
      <c r="R29" s="11">
        <f t="shared" si="16"/>
        <v>1300</v>
      </c>
      <c r="S29" s="11">
        <f t="shared" si="16"/>
        <v>780</v>
      </c>
      <c r="T29" s="11">
        <f t="shared" si="16"/>
        <v>624</v>
      </c>
      <c r="U29" s="11">
        <f t="shared" si="16"/>
        <v>572</v>
      </c>
      <c r="V29" s="11">
        <f t="shared" si="16"/>
        <v>520</v>
      </c>
      <c r="W29" s="11">
        <f t="shared" si="16"/>
        <v>468</v>
      </c>
      <c r="X29" s="11">
        <f t="shared" si="16"/>
        <v>416</v>
      </c>
      <c r="Y29" s="11">
        <f t="shared" si="16"/>
        <v>416</v>
      </c>
      <c r="Z29" s="11">
        <f t="shared" si="16"/>
        <v>416</v>
      </c>
      <c r="AA29" s="11">
        <f t="shared" si="16"/>
        <v>416</v>
      </c>
      <c r="AB29" s="11">
        <f t="shared" si="17"/>
        <v>416</v>
      </c>
      <c r="AC29" s="11">
        <f t="shared" si="17"/>
        <v>416</v>
      </c>
      <c r="AD29" s="11">
        <f t="shared" si="17"/>
        <v>416</v>
      </c>
      <c r="AE29" s="11">
        <f t="shared" si="17"/>
        <v>416</v>
      </c>
      <c r="AF29" s="11">
        <f t="shared" si="17"/>
        <v>416</v>
      </c>
      <c r="AG29" s="11">
        <f t="shared" si="17"/>
        <v>416</v>
      </c>
      <c r="AH29" s="11">
        <f t="shared" si="17"/>
        <v>416</v>
      </c>
      <c r="AI29" s="11">
        <f t="shared" si="17"/>
        <v>416</v>
      </c>
      <c r="AJ29" s="11">
        <f t="shared" si="17"/>
        <v>416</v>
      </c>
      <c r="AK29" s="11">
        <f t="shared" si="17"/>
        <v>416</v>
      </c>
      <c r="AL29" s="11">
        <f t="shared" si="18"/>
        <v>416</v>
      </c>
      <c r="AM29" s="11">
        <f t="shared" si="18"/>
        <v>416</v>
      </c>
      <c r="AN29" s="11">
        <f t="shared" si="18"/>
        <v>416</v>
      </c>
      <c r="AO29" s="11">
        <f t="shared" si="18"/>
        <v>416</v>
      </c>
      <c r="AP29" s="11">
        <f t="shared" si="18"/>
        <v>416</v>
      </c>
      <c r="AQ29" s="11">
        <f t="shared" si="18"/>
        <v>416</v>
      </c>
      <c r="AR29" s="11">
        <f t="shared" si="18"/>
        <v>416</v>
      </c>
      <c r="AS29" s="11">
        <f t="shared" si="18"/>
        <v>416</v>
      </c>
      <c r="AT29" s="10">
        <f t="shared" si="18"/>
        <v>416</v>
      </c>
      <c r="AU29" s="10">
        <f t="shared" si="18"/>
        <v>416</v>
      </c>
      <c r="AV29" s="10">
        <f t="shared" si="19"/>
        <v>416</v>
      </c>
      <c r="AW29" s="10">
        <f t="shared" si="19"/>
        <v>416</v>
      </c>
      <c r="AX29" s="10">
        <f t="shared" si="19"/>
        <v>416</v>
      </c>
      <c r="AY29" s="10">
        <f t="shared" si="19"/>
        <v>416</v>
      </c>
      <c r="AZ29" s="10">
        <f t="shared" si="19"/>
        <v>416</v>
      </c>
      <c r="BA29" s="10">
        <f t="shared" si="19"/>
        <v>416</v>
      </c>
      <c r="BB29" s="10">
        <f t="shared" si="19"/>
        <v>416</v>
      </c>
      <c r="BC29" s="10">
        <f t="shared" si="19"/>
        <v>416</v>
      </c>
      <c r="BD29" s="10">
        <f t="shared" si="19"/>
        <v>416</v>
      </c>
      <c r="BE29" s="10">
        <f t="shared" si="19"/>
        <v>416</v>
      </c>
      <c r="BF29" s="10">
        <f t="shared" si="20"/>
        <v>416</v>
      </c>
      <c r="BG29" s="10">
        <f t="shared" si="20"/>
        <v>416</v>
      </c>
      <c r="BH29" s="10">
        <f t="shared" si="20"/>
        <v>416</v>
      </c>
      <c r="BI29" s="10">
        <f t="shared" si="20"/>
        <v>416</v>
      </c>
      <c r="BJ29" s="10">
        <f t="shared" si="20"/>
        <v>416</v>
      </c>
      <c r="BK29" s="10">
        <f t="shared" si="20"/>
        <v>416</v>
      </c>
      <c r="BL29" s="10">
        <f t="shared" si="20"/>
        <v>416</v>
      </c>
      <c r="BM29" s="10">
        <f t="shared" si="20"/>
        <v>416</v>
      </c>
    </row>
    <row r="30" spans="1:65" x14ac:dyDescent="0.2">
      <c r="A30" s="39">
        <v>43709</v>
      </c>
      <c r="B30" s="53">
        <v>110</v>
      </c>
      <c r="C30" s="54">
        <v>0.05</v>
      </c>
      <c r="D30" s="53">
        <v>200000</v>
      </c>
      <c r="E30" s="53">
        <v>60</v>
      </c>
      <c r="F30" s="32">
        <f t="shared" si="2"/>
        <v>3333</v>
      </c>
      <c r="G30" s="54">
        <v>0.5</v>
      </c>
      <c r="H30" s="6">
        <f t="shared" si="3"/>
        <v>1667</v>
      </c>
      <c r="I30" s="32">
        <f t="shared" si="4"/>
        <v>5000</v>
      </c>
      <c r="J30" s="24">
        <f t="shared" si="5"/>
        <v>40</v>
      </c>
      <c r="K30" s="105">
        <f>Q30+R29+S28+T27+U26+V25+W24+X23+Y22+Z21+AA20+AB19+AC18+AD17+AE16+AF15+AG14+AH13+AI12+AJ11+AK10+AL9</f>
        <v>12859</v>
      </c>
      <c r="L30" s="107">
        <f t="shared" si="6"/>
        <v>21487</v>
      </c>
      <c r="M30" s="55">
        <f t="shared" si="7"/>
        <v>210.52998820029757</v>
      </c>
      <c r="N30" s="56">
        <f t="shared" si="8"/>
        <v>5.2632497050074392</v>
      </c>
      <c r="O30" s="34">
        <f t="shared" si="9"/>
        <v>0.61116727583793451</v>
      </c>
      <c r="P30" s="34"/>
      <c r="Q30" s="35">
        <f t="shared" si="10"/>
        <v>5000</v>
      </c>
      <c r="R30" s="11">
        <f t="shared" ref="R30:AA39" si="21">ROUND($Q30*R$4*(1+$C30),0)</f>
        <v>1313</v>
      </c>
      <c r="S30" s="11">
        <f t="shared" si="21"/>
        <v>788</v>
      </c>
      <c r="T30" s="11">
        <f t="shared" si="21"/>
        <v>630</v>
      </c>
      <c r="U30" s="11">
        <f t="shared" si="21"/>
        <v>578</v>
      </c>
      <c r="V30" s="11">
        <f t="shared" si="21"/>
        <v>525</v>
      </c>
      <c r="W30" s="11">
        <f t="shared" si="21"/>
        <v>473</v>
      </c>
      <c r="X30" s="11">
        <f t="shared" si="21"/>
        <v>420</v>
      </c>
      <c r="Y30" s="11">
        <f t="shared" si="21"/>
        <v>420</v>
      </c>
      <c r="Z30" s="11">
        <f t="shared" si="21"/>
        <v>420</v>
      </c>
      <c r="AA30" s="11">
        <f t="shared" si="21"/>
        <v>420</v>
      </c>
      <c r="AB30" s="11">
        <f t="shared" ref="AB30:AK39" si="22">ROUND($Q30*AB$4*(1+$C30),0)</f>
        <v>420</v>
      </c>
      <c r="AC30" s="11">
        <f t="shared" si="22"/>
        <v>420</v>
      </c>
      <c r="AD30" s="11">
        <f t="shared" si="22"/>
        <v>420</v>
      </c>
      <c r="AE30" s="11">
        <f t="shared" si="22"/>
        <v>420</v>
      </c>
      <c r="AF30" s="11">
        <f t="shared" si="22"/>
        <v>420</v>
      </c>
      <c r="AG30" s="11">
        <f t="shared" si="22"/>
        <v>420</v>
      </c>
      <c r="AH30" s="11">
        <f t="shared" si="22"/>
        <v>420</v>
      </c>
      <c r="AI30" s="11">
        <f t="shared" si="22"/>
        <v>420</v>
      </c>
      <c r="AJ30" s="11">
        <f t="shared" si="22"/>
        <v>420</v>
      </c>
      <c r="AK30" s="11">
        <f t="shared" si="22"/>
        <v>420</v>
      </c>
      <c r="AL30" s="11">
        <f t="shared" ref="AL30:AU39" si="23">ROUND($Q30*AL$4*(1+$C30),0)</f>
        <v>420</v>
      </c>
      <c r="AM30" s="11">
        <f t="shared" si="23"/>
        <v>420</v>
      </c>
      <c r="AN30" s="11">
        <f t="shared" si="23"/>
        <v>420</v>
      </c>
      <c r="AO30" s="11">
        <f t="shared" si="23"/>
        <v>420</v>
      </c>
      <c r="AP30" s="11">
        <f t="shared" si="23"/>
        <v>420</v>
      </c>
      <c r="AQ30" s="11">
        <f t="shared" si="23"/>
        <v>420</v>
      </c>
      <c r="AR30" s="11">
        <f t="shared" si="23"/>
        <v>420</v>
      </c>
      <c r="AS30" s="10">
        <f t="shared" si="23"/>
        <v>420</v>
      </c>
      <c r="AT30" s="10">
        <f t="shared" si="23"/>
        <v>420</v>
      </c>
      <c r="AU30" s="10">
        <f t="shared" si="23"/>
        <v>420</v>
      </c>
      <c r="AV30" s="10">
        <f t="shared" ref="AV30:BE39" si="24">ROUND($Q30*AV$4*(1+$C30),0)</f>
        <v>420</v>
      </c>
      <c r="AW30" s="10">
        <f t="shared" si="24"/>
        <v>420</v>
      </c>
      <c r="AX30" s="10">
        <f t="shared" si="24"/>
        <v>420</v>
      </c>
      <c r="AY30" s="10">
        <f t="shared" si="24"/>
        <v>420</v>
      </c>
      <c r="AZ30" s="10">
        <f t="shared" si="24"/>
        <v>420</v>
      </c>
      <c r="BA30" s="10">
        <f t="shared" si="24"/>
        <v>420</v>
      </c>
      <c r="BB30" s="10">
        <f t="shared" si="24"/>
        <v>420</v>
      </c>
      <c r="BC30" s="10">
        <f t="shared" si="24"/>
        <v>420</v>
      </c>
      <c r="BD30" s="10">
        <f t="shared" si="24"/>
        <v>420</v>
      </c>
      <c r="BE30" s="10">
        <f t="shared" si="24"/>
        <v>420</v>
      </c>
      <c r="BF30" s="10">
        <f t="shared" ref="BF30:BM39" si="25">ROUND($Q30*BF$4*(1+$C30),0)</f>
        <v>420</v>
      </c>
      <c r="BG30" s="10">
        <f t="shared" si="25"/>
        <v>420</v>
      </c>
      <c r="BH30" s="10">
        <f t="shared" si="25"/>
        <v>420</v>
      </c>
      <c r="BI30" s="10">
        <f t="shared" si="25"/>
        <v>420</v>
      </c>
      <c r="BJ30" s="10">
        <f t="shared" si="25"/>
        <v>420</v>
      </c>
      <c r="BK30" s="10">
        <f t="shared" si="25"/>
        <v>420</v>
      </c>
      <c r="BL30" s="10">
        <f t="shared" si="25"/>
        <v>420</v>
      </c>
      <c r="BM30" s="10">
        <f t="shared" si="25"/>
        <v>420</v>
      </c>
    </row>
    <row r="31" spans="1:65" x14ac:dyDescent="0.2">
      <c r="A31" s="39">
        <v>43739</v>
      </c>
      <c r="B31" s="53">
        <v>110</v>
      </c>
      <c r="C31" s="54">
        <v>0.05</v>
      </c>
      <c r="D31" s="53">
        <v>200000</v>
      </c>
      <c r="E31" s="53">
        <v>60</v>
      </c>
      <c r="F31" s="32">
        <f t="shared" si="2"/>
        <v>3333</v>
      </c>
      <c r="G31" s="54">
        <v>0.5</v>
      </c>
      <c r="H31" s="6">
        <f t="shared" si="3"/>
        <v>1667</v>
      </c>
      <c r="I31" s="32">
        <f t="shared" si="4"/>
        <v>5000</v>
      </c>
      <c r="J31" s="24">
        <f t="shared" si="5"/>
        <v>40</v>
      </c>
      <c r="K31" s="105">
        <f>Q31+R30+S29+T28+U27+V26+W25+X24+Y23+Z22+AA21+AB20+AC19+AD18+AE17+AF16+AG15+AH14+AI13+AJ12+AK11+AL10+AM9</f>
        <v>13341</v>
      </c>
      <c r="L31" s="107">
        <f t="shared" si="6"/>
        <v>21487</v>
      </c>
      <c r="M31" s="55">
        <f t="shared" si="7"/>
        <v>213.10800208230037</v>
      </c>
      <c r="N31" s="56">
        <f t="shared" si="8"/>
        <v>5.3277000520575095</v>
      </c>
      <c r="O31" s="34">
        <f t="shared" si="9"/>
        <v>0.62521550108687507</v>
      </c>
      <c r="P31" s="34"/>
      <c r="Q31" s="35">
        <f t="shared" si="10"/>
        <v>5000</v>
      </c>
      <c r="R31" s="11">
        <f t="shared" si="21"/>
        <v>1313</v>
      </c>
      <c r="S31" s="11">
        <f t="shared" si="21"/>
        <v>788</v>
      </c>
      <c r="T31" s="11">
        <f t="shared" si="21"/>
        <v>630</v>
      </c>
      <c r="U31" s="11">
        <f t="shared" si="21"/>
        <v>578</v>
      </c>
      <c r="V31" s="11">
        <f t="shared" si="21"/>
        <v>525</v>
      </c>
      <c r="W31" s="11">
        <f t="shared" si="21"/>
        <v>473</v>
      </c>
      <c r="X31" s="11">
        <f t="shared" si="21"/>
        <v>420</v>
      </c>
      <c r="Y31" s="11">
        <f t="shared" si="21"/>
        <v>420</v>
      </c>
      <c r="Z31" s="11">
        <f t="shared" si="21"/>
        <v>420</v>
      </c>
      <c r="AA31" s="11">
        <f t="shared" si="21"/>
        <v>420</v>
      </c>
      <c r="AB31" s="11">
        <f t="shared" si="22"/>
        <v>420</v>
      </c>
      <c r="AC31" s="11">
        <f t="shared" si="22"/>
        <v>420</v>
      </c>
      <c r="AD31" s="11">
        <f t="shared" si="22"/>
        <v>420</v>
      </c>
      <c r="AE31" s="11">
        <f t="shared" si="22"/>
        <v>420</v>
      </c>
      <c r="AF31" s="11">
        <f t="shared" si="22"/>
        <v>420</v>
      </c>
      <c r="AG31" s="11">
        <f t="shared" si="22"/>
        <v>420</v>
      </c>
      <c r="AH31" s="11">
        <f t="shared" si="22"/>
        <v>420</v>
      </c>
      <c r="AI31" s="11">
        <f t="shared" si="22"/>
        <v>420</v>
      </c>
      <c r="AJ31" s="11">
        <f t="shared" si="22"/>
        <v>420</v>
      </c>
      <c r="AK31" s="11">
        <f t="shared" si="22"/>
        <v>420</v>
      </c>
      <c r="AL31" s="11">
        <f t="shared" si="23"/>
        <v>420</v>
      </c>
      <c r="AM31" s="11">
        <f t="shared" si="23"/>
        <v>420</v>
      </c>
      <c r="AN31" s="11">
        <f t="shared" si="23"/>
        <v>420</v>
      </c>
      <c r="AO31" s="11">
        <f t="shared" si="23"/>
        <v>420</v>
      </c>
      <c r="AP31" s="11">
        <f t="shared" si="23"/>
        <v>420</v>
      </c>
      <c r="AQ31" s="11">
        <f t="shared" si="23"/>
        <v>420</v>
      </c>
      <c r="AR31" s="10">
        <f t="shared" si="23"/>
        <v>420</v>
      </c>
      <c r="AS31" s="10">
        <f t="shared" si="23"/>
        <v>420</v>
      </c>
      <c r="AT31" s="10">
        <f t="shared" si="23"/>
        <v>420</v>
      </c>
      <c r="AU31" s="10">
        <f t="shared" si="23"/>
        <v>420</v>
      </c>
      <c r="AV31" s="10">
        <f t="shared" si="24"/>
        <v>420</v>
      </c>
      <c r="AW31" s="10">
        <f t="shared" si="24"/>
        <v>420</v>
      </c>
      <c r="AX31" s="10">
        <f t="shared" si="24"/>
        <v>420</v>
      </c>
      <c r="AY31" s="10">
        <f t="shared" si="24"/>
        <v>420</v>
      </c>
      <c r="AZ31" s="10">
        <f t="shared" si="24"/>
        <v>420</v>
      </c>
      <c r="BA31" s="10">
        <f t="shared" si="24"/>
        <v>420</v>
      </c>
      <c r="BB31" s="10">
        <f t="shared" si="24"/>
        <v>420</v>
      </c>
      <c r="BC31" s="10">
        <f t="shared" si="24"/>
        <v>420</v>
      </c>
      <c r="BD31" s="10">
        <f t="shared" si="24"/>
        <v>420</v>
      </c>
      <c r="BE31" s="10">
        <f t="shared" si="24"/>
        <v>420</v>
      </c>
      <c r="BF31" s="10">
        <f t="shared" si="25"/>
        <v>420</v>
      </c>
      <c r="BG31" s="10">
        <f t="shared" si="25"/>
        <v>420</v>
      </c>
      <c r="BH31" s="10">
        <f t="shared" si="25"/>
        <v>420</v>
      </c>
      <c r="BI31" s="10">
        <f t="shared" si="25"/>
        <v>420</v>
      </c>
      <c r="BJ31" s="10">
        <f t="shared" si="25"/>
        <v>420</v>
      </c>
      <c r="BK31" s="10">
        <f t="shared" si="25"/>
        <v>420</v>
      </c>
      <c r="BL31" s="10">
        <f t="shared" si="25"/>
        <v>420</v>
      </c>
      <c r="BM31" s="10">
        <f t="shared" si="25"/>
        <v>420</v>
      </c>
    </row>
    <row r="32" spans="1:65" x14ac:dyDescent="0.2">
      <c r="A32" s="39">
        <v>43770</v>
      </c>
      <c r="B32" s="53">
        <v>110</v>
      </c>
      <c r="C32" s="54">
        <v>0.05</v>
      </c>
      <c r="D32" s="53">
        <v>200000</v>
      </c>
      <c r="E32" s="53">
        <v>60</v>
      </c>
      <c r="F32" s="32">
        <f t="shared" si="2"/>
        <v>3333</v>
      </c>
      <c r="G32" s="54">
        <v>0.5</v>
      </c>
      <c r="H32" s="6">
        <f t="shared" si="3"/>
        <v>1667</v>
      </c>
      <c r="I32" s="32">
        <f t="shared" si="4"/>
        <v>5000</v>
      </c>
      <c r="J32" s="24">
        <f t="shared" si="5"/>
        <v>40</v>
      </c>
      <c r="K32" s="105">
        <f>Q32+R31+S30+T29+U28+V27+W26+X25+Y24+Z23+AA22+AB21+AC20+AD19+AE18+AF17+AG16+AH15+AI14+AJ13+AK12+AL11+AM10+AN9</f>
        <v>13804</v>
      </c>
      <c r="L32" s="107">
        <f t="shared" si="6"/>
        <v>21487</v>
      </c>
      <c r="M32" s="55">
        <f t="shared" si="7"/>
        <v>213.10800208230052</v>
      </c>
      <c r="N32" s="56">
        <f t="shared" si="8"/>
        <v>5.3277000520575131</v>
      </c>
      <c r="O32" s="34">
        <f t="shared" si="9"/>
        <v>0.63778614894233554</v>
      </c>
      <c r="P32" s="34"/>
      <c r="Q32" s="35">
        <f t="shared" si="10"/>
        <v>5000</v>
      </c>
      <c r="R32" s="11">
        <f t="shared" si="21"/>
        <v>1313</v>
      </c>
      <c r="S32" s="11">
        <f t="shared" si="21"/>
        <v>788</v>
      </c>
      <c r="T32" s="11">
        <f t="shared" si="21"/>
        <v>630</v>
      </c>
      <c r="U32" s="11">
        <f t="shared" si="21"/>
        <v>578</v>
      </c>
      <c r="V32" s="11">
        <f t="shared" si="21"/>
        <v>525</v>
      </c>
      <c r="W32" s="11">
        <f t="shared" si="21"/>
        <v>473</v>
      </c>
      <c r="X32" s="11">
        <f t="shared" si="21"/>
        <v>420</v>
      </c>
      <c r="Y32" s="11">
        <f t="shared" si="21"/>
        <v>420</v>
      </c>
      <c r="Z32" s="11">
        <f t="shared" si="21"/>
        <v>420</v>
      </c>
      <c r="AA32" s="11">
        <f t="shared" si="21"/>
        <v>420</v>
      </c>
      <c r="AB32" s="11">
        <f t="shared" si="22"/>
        <v>420</v>
      </c>
      <c r="AC32" s="11">
        <f t="shared" si="22"/>
        <v>420</v>
      </c>
      <c r="AD32" s="11">
        <f t="shared" si="22"/>
        <v>420</v>
      </c>
      <c r="AE32" s="11">
        <f t="shared" si="22"/>
        <v>420</v>
      </c>
      <c r="AF32" s="11">
        <f t="shared" si="22"/>
        <v>420</v>
      </c>
      <c r="AG32" s="11">
        <f t="shared" si="22"/>
        <v>420</v>
      </c>
      <c r="AH32" s="11">
        <f t="shared" si="22"/>
        <v>420</v>
      </c>
      <c r="AI32" s="11">
        <f t="shared" si="22"/>
        <v>420</v>
      </c>
      <c r="AJ32" s="11">
        <f t="shared" si="22"/>
        <v>420</v>
      </c>
      <c r="AK32" s="11">
        <f t="shared" si="22"/>
        <v>420</v>
      </c>
      <c r="AL32" s="11">
        <f t="shared" si="23"/>
        <v>420</v>
      </c>
      <c r="AM32" s="11">
        <f t="shared" si="23"/>
        <v>420</v>
      </c>
      <c r="AN32" s="11">
        <f t="shared" si="23"/>
        <v>420</v>
      </c>
      <c r="AO32" s="11">
        <f t="shared" si="23"/>
        <v>420</v>
      </c>
      <c r="AP32" s="11">
        <f t="shared" si="23"/>
        <v>420</v>
      </c>
      <c r="AQ32" s="10">
        <f t="shared" si="23"/>
        <v>420</v>
      </c>
      <c r="AR32" s="10">
        <f t="shared" si="23"/>
        <v>420</v>
      </c>
      <c r="AS32" s="10">
        <f t="shared" si="23"/>
        <v>420</v>
      </c>
      <c r="AT32" s="10">
        <f t="shared" si="23"/>
        <v>420</v>
      </c>
      <c r="AU32" s="10">
        <f t="shared" si="23"/>
        <v>420</v>
      </c>
      <c r="AV32" s="10">
        <f t="shared" si="24"/>
        <v>420</v>
      </c>
      <c r="AW32" s="10">
        <f t="shared" si="24"/>
        <v>420</v>
      </c>
      <c r="AX32" s="10">
        <f t="shared" si="24"/>
        <v>420</v>
      </c>
      <c r="AY32" s="10">
        <f t="shared" si="24"/>
        <v>420</v>
      </c>
      <c r="AZ32" s="10">
        <f t="shared" si="24"/>
        <v>420</v>
      </c>
      <c r="BA32" s="10">
        <f t="shared" si="24"/>
        <v>420</v>
      </c>
      <c r="BB32" s="10">
        <f t="shared" si="24"/>
        <v>420</v>
      </c>
      <c r="BC32" s="10">
        <f t="shared" si="24"/>
        <v>420</v>
      </c>
      <c r="BD32" s="10">
        <f t="shared" si="24"/>
        <v>420</v>
      </c>
      <c r="BE32" s="10">
        <f t="shared" si="24"/>
        <v>420</v>
      </c>
      <c r="BF32" s="10">
        <f t="shared" si="25"/>
        <v>420</v>
      </c>
      <c r="BG32" s="10">
        <f t="shared" si="25"/>
        <v>420</v>
      </c>
      <c r="BH32" s="10">
        <f t="shared" si="25"/>
        <v>420</v>
      </c>
      <c r="BI32" s="10">
        <f t="shared" si="25"/>
        <v>420</v>
      </c>
      <c r="BJ32" s="10">
        <f t="shared" si="25"/>
        <v>420</v>
      </c>
      <c r="BK32" s="10">
        <f t="shared" si="25"/>
        <v>420</v>
      </c>
      <c r="BL32" s="10">
        <f t="shared" si="25"/>
        <v>420</v>
      </c>
      <c r="BM32" s="10">
        <f t="shared" si="25"/>
        <v>420</v>
      </c>
    </row>
    <row r="33" spans="1:65" x14ac:dyDescent="0.2">
      <c r="A33" s="39">
        <v>43800</v>
      </c>
      <c r="B33" s="53">
        <v>110</v>
      </c>
      <c r="C33" s="54">
        <v>0.05</v>
      </c>
      <c r="D33" s="53">
        <v>200000</v>
      </c>
      <c r="E33" s="53">
        <v>60</v>
      </c>
      <c r="F33" s="32">
        <f t="shared" si="2"/>
        <v>3333</v>
      </c>
      <c r="G33" s="54">
        <v>0.5</v>
      </c>
      <c r="H33" s="6">
        <f t="shared" si="3"/>
        <v>1667</v>
      </c>
      <c r="I33" s="32">
        <f t="shared" si="4"/>
        <v>5000</v>
      </c>
      <c r="J33" s="24">
        <f t="shared" si="5"/>
        <v>40</v>
      </c>
      <c r="K33" s="105">
        <f>Q33+R32+S31+T30+U29+V28+W27+X26+Y25+Z24+AA23+AB22+AC21+AD20+AE19+AF18+AG17+AH16+AI15+AJ14+AK13+AL12+AM11+AN10+AO9</f>
        <v>14252</v>
      </c>
      <c r="L33" s="107">
        <f t="shared" si="6"/>
        <v>21487</v>
      </c>
      <c r="M33" s="55">
        <f t="shared" si="7"/>
        <v>213.10800208230043</v>
      </c>
      <c r="N33" s="56">
        <f t="shared" si="8"/>
        <v>5.3277000520575104</v>
      </c>
      <c r="O33" s="34">
        <f t="shared" si="9"/>
        <v>0.64917204602862755</v>
      </c>
      <c r="P33" s="34"/>
      <c r="Q33" s="35">
        <f t="shared" si="10"/>
        <v>5000</v>
      </c>
      <c r="R33" s="11">
        <f t="shared" si="21"/>
        <v>1313</v>
      </c>
      <c r="S33" s="11">
        <f t="shared" si="21"/>
        <v>788</v>
      </c>
      <c r="T33" s="11">
        <f t="shared" si="21"/>
        <v>630</v>
      </c>
      <c r="U33" s="11">
        <f t="shared" si="21"/>
        <v>578</v>
      </c>
      <c r="V33" s="11">
        <f t="shared" si="21"/>
        <v>525</v>
      </c>
      <c r="W33" s="11">
        <f t="shared" si="21"/>
        <v>473</v>
      </c>
      <c r="X33" s="11">
        <f t="shared" si="21"/>
        <v>420</v>
      </c>
      <c r="Y33" s="11">
        <f t="shared" si="21"/>
        <v>420</v>
      </c>
      <c r="Z33" s="11">
        <f t="shared" si="21"/>
        <v>420</v>
      </c>
      <c r="AA33" s="11">
        <f t="shared" si="21"/>
        <v>420</v>
      </c>
      <c r="AB33" s="11">
        <f t="shared" si="22"/>
        <v>420</v>
      </c>
      <c r="AC33" s="11">
        <f t="shared" si="22"/>
        <v>420</v>
      </c>
      <c r="AD33" s="11">
        <f t="shared" si="22"/>
        <v>420</v>
      </c>
      <c r="AE33" s="11">
        <f t="shared" si="22"/>
        <v>420</v>
      </c>
      <c r="AF33" s="11">
        <f t="shared" si="22"/>
        <v>420</v>
      </c>
      <c r="AG33" s="11">
        <f t="shared" si="22"/>
        <v>420</v>
      </c>
      <c r="AH33" s="11">
        <f t="shared" si="22"/>
        <v>420</v>
      </c>
      <c r="AI33" s="11">
        <f t="shared" si="22"/>
        <v>420</v>
      </c>
      <c r="AJ33" s="11">
        <f t="shared" si="22"/>
        <v>420</v>
      </c>
      <c r="AK33" s="11">
        <f t="shared" si="22"/>
        <v>420</v>
      </c>
      <c r="AL33" s="11">
        <f t="shared" si="23"/>
        <v>420</v>
      </c>
      <c r="AM33" s="11">
        <f t="shared" si="23"/>
        <v>420</v>
      </c>
      <c r="AN33" s="11">
        <f t="shared" si="23"/>
        <v>420</v>
      </c>
      <c r="AO33" s="11">
        <f t="shared" si="23"/>
        <v>420</v>
      </c>
      <c r="AP33" s="10">
        <f t="shared" si="23"/>
        <v>420</v>
      </c>
      <c r="AQ33" s="10">
        <f t="shared" si="23"/>
        <v>420</v>
      </c>
      <c r="AR33" s="10">
        <f t="shared" si="23"/>
        <v>420</v>
      </c>
      <c r="AS33" s="10">
        <f t="shared" si="23"/>
        <v>420</v>
      </c>
      <c r="AT33" s="10">
        <f t="shared" si="23"/>
        <v>420</v>
      </c>
      <c r="AU33" s="10">
        <f t="shared" si="23"/>
        <v>420</v>
      </c>
      <c r="AV33" s="10">
        <f t="shared" si="24"/>
        <v>420</v>
      </c>
      <c r="AW33" s="10">
        <f t="shared" si="24"/>
        <v>420</v>
      </c>
      <c r="AX33" s="10">
        <f t="shared" si="24"/>
        <v>420</v>
      </c>
      <c r="AY33" s="10">
        <f t="shared" si="24"/>
        <v>420</v>
      </c>
      <c r="AZ33" s="10">
        <f t="shared" si="24"/>
        <v>420</v>
      </c>
      <c r="BA33" s="10">
        <f t="shared" si="24"/>
        <v>420</v>
      </c>
      <c r="BB33" s="10">
        <f t="shared" si="24"/>
        <v>420</v>
      </c>
      <c r="BC33" s="10">
        <f t="shared" si="24"/>
        <v>420</v>
      </c>
      <c r="BD33" s="10">
        <f t="shared" si="24"/>
        <v>420</v>
      </c>
      <c r="BE33" s="10">
        <f t="shared" si="24"/>
        <v>420</v>
      </c>
      <c r="BF33" s="10">
        <f t="shared" si="25"/>
        <v>420</v>
      </c>
      <c r="BG33" s="10">
        <f t="shared" si="25"/>
        <v>420</v>
      </c>
      <c r="BH33" s="10">
        <f t="shared" si="25"/>
        <v>420</v>
      </c>
      <c r="BI33" s="10">
        <f t="shared" si="25"/>
        <v>420</v>
      </c>
      <c r="BJ33" s="10">
        <f t="shared" si="25"/>
        <v>420</v>
      </c>
      <c r="BK33" s="10">
        <f t="shared" si="25"/>
        <v>420</v>
      </c>
      <c r="BL33" s="10">
        <f t="shared" si="25"/>
        <v>420</v>
      </c>
      <c r="BM33" s="10">
        <f t="shared" si="25"/>
        <v>420</v>
      </c>
    </row>
    <row r="34" spans="1:65" x14ac:dyDescent="0.2">
      <c r="A34" s="39">
        <v>43831</v>
      </c>
      <c r="B34" s="53">
        <v>120</v>
      </c>
      <c r="C34" s="54">
        <v>0.06</v>
      </c>
      <c r="D34" s="53">
        <v>250000</v>
      </c>
      <c r="E34" s="53">
        <v>60</v>
      </c>
      <c r="F34" s="32">
        <f t="shared" si="2"/>
        <v>4167</v>
      </c>
      <c r="G34" s="54">
        <v>0.5</v>
      </c>
      <c r="H34" s="6">
        <f t="shared" si="3"/>
        <v>2084</v>
      </c>
      <c r="I34" s="32">
        <f t="shared" si="4"/>
        <v>6251</v>
      </c>
      <c r="J34" s="24">
        <f t="shared" si="5"/>
        <v>39.993601023836185</v>
      </c>
      <c r="K34" s="105">
        <f>Q34+R33+S32+T31+U30+V29+W28+X27+Y26+Z25+AA24+AB23+AC22+AD21+AE20+AF19+AG18+AH17+AI16+AJ15+AK14+AL13+AM12+AN11+AO10+AP9</f>
        <v>15938</v>
      </c>
      <c r="L34" s="107">
        <f t="shared" si="6"/>
        <v>27055</v>
      </c>
      <c r="M34" s="55">
        <f t="shared" si="7"/>
        <v>263.78738635045227</v>
      </c>
      <c r="N34" s="56">
        <f t="shared" si="8"/>
        <v>6.5957398083067087</v>
      </c>
      <c r="O34" s="34">
        <f t="shared" si="9"/>
        <v>0.60779269669971137</v>
      </c>
      <c r="P34" s="34"/>
      <c r="Q34" s="35">
        <f t="shared" si="10"/>
        <v>6251</v>
      </c>
      <c r="R34" s="11">
        <f t="shared" si="21"/>
        <v>1657</v>
      </c>
      <c r="S34" s="11">
        <f t="shared" si="21"/>
        <v>994</v>
      </c>
      <c r="T34" s="11">
        <f t="shared" si="21"/>
        <v>795</v>
      </c>
      <c r="U34" s="11">
        <f t="shared" si="21"/>
        <v>729</v>
      </c>
      <c r="V34" s="11">
        <f t="shared" si="21"/>
        <v>663</v>
      </c>
      <c r="W34" s="11">
        <f t="shared" si="21"/>
        <v>596</v>
      </c>
      <c r="X34" s="11">
        <f t="shared" si="21"/>
        <v>530</v>
      </c>
      <c r="Y34" s="11">
        <f t="shared" si="21"/>
        <v>530</v>
      </c>
      <c r="Z34" s="11">
        <f t="shared" si="21"/>
        <v>530</v>
      </c>
      <c r="AA34" s="11">
        <f t="shared" si="21"/>
        <v>530</v>
      </c>
      <c r="AB34" s="11">
        <f t="shared" si="22"/>
        <v>530</v>
      </c>
      <c r="AC34" s="11">
        <f t="shared" si="22"/>
        <v>530</v>
      </c>
      <c r="AD34" s="11">
        <f t="shared" si="22"/>
        <v>530</v>
      </c>
      <c r="AE34" s="11">
        <f t="shared" si="22"/>
        <v>530</v>
      </c>
      <c r="AF34" s="11">
        <f t="shared" si="22"/>
        <v>530</v>
      </c>
      <c r="AG34" s="11">
        <f t="shared" si="22"/>
        <v>530</v>
      </c>
      <c r="AH34" s="11">
        <f t="shared" si="22"/>
        <v>530</v>
      </c>
      <c r="AI34" s="11">
        <f t="shared" si="22"/>
        <v>530</v>
      </c>
      <c r="AJ34" s="11">
        <f t="shared" si="22"/>
        <v>530</v>
      </c>
      <c r="AK34" s="11">
        <f t="shared" si="22"/>
        <v>530</v>
      </c>
      <c r="AL34" s="11">
        <f t="shared" si="23"/>
        <v>530</v>
      </c>
      <c r="AM34" s="11">
        <f t="shared" si="23"/>
        <v>530</v>
      </c>
      <c r="AN34" s="11">
        <f t="shared" si="23"/>
        <v>530</v>
      </c>
      <c r="AO34" s="10">
        <f t="shared" si="23"/>
        <v>530</v>
      </c>
      <c r="AP34" s="10">
        <f t="shared" si="23"/>
        <v>530</v>
      </c>
      <c r="AQ34" s="10">
        <f t="shared" si="23"/>
        <v>530</v>
      </c>
      <c r="AR34" s="10">
        <f t="shared" si="23"/>
        <v>530</v>
      </c>
      <c r="AS34" s="10">
        <f t="shared" si="23"/>
        <v>530</v>
      </c>
      <c r="AT34" s="10">
        <f t="shared" si="23"/>
        <v>530</v>
      </c>
      <c r="AU34" s="10">
        <f t="shared" si="23"/>
        <v>530</v>
      </c>
      <c r="AV34" s="10">
        <f t="shared" si="24"/>
        <v>530</v>
      </c>
      <c r="AW34" s="10">
        <f t="shared" si="24"/>
        <v>530</v>
      </c>
      <c r="AX34" s="10">
        <f t="shared" si="24"/>
        <v>530</v>
      </c>
      <c r="AY34" s="10">
        <f t="shared" si="24"/>
        <v>530</v>
      </c>
      <c r="AZ34" s="10">
        <f t="shared" si="24"/>
        <v>530</v>
      </c>
      <c r="BA34" s="10">
        <f t="shared" si="24"/>
        <v>530</v>
      </c>
      <c r="BB34" s="10">
        <f t="shared" si="24"/>
        <v>530</v>
      </c>
      <c r="BC34" s="10">
        <f t="shared" si="24"/>
        <v>530</v>
      </c>
      <c r="BD34" s="10">
        <f t="shared" si="24"/>
        <v>530</v>
      </c>
      <c r="BE34" s="10">
        <f t="shared" si="24"/>
        <v>530</v>
      </c>
      <c r="BF34" s="10">
        <f t="shared" si="25"/>
        <v>530</v>
      </c>
      <c r="BG34" s="10">
        <f t="shared" si="25"/>
        <v>530</v>
      </c>
      <c r="BH34" s="10">
        <f t="shared" si="25"/>
        <v>530</v>
      </c>
      <c r="BI34" s="10">
        <f t="shared" si="25"/>
        <v>530</v>
      </c>
      <c r="BJ34" s="10">
        <f t="shared" si="25"/>
        <v>530</v>
      </c>
      <c r="BK34" s="10">
        <f t="shared" si="25"/>
        <v>530</v>
      </c>
      <c r="BL34" s="10">
        <f t="shared" si="25"/>
        <v>530</v>
      </c>
      <c r="BM34" s="10">
        <f t="shared" si="25"/>
        <v>530</v>
      </c>
    </row>
    <row r="35" spans="1:65" x14ac:dyDescent="0.2">
      <c r="A35" s="39">
        <v>43862</v>
      </c>
      <c r="B35" s="53">
        <v>120</v>
      </c>
      <c r="C35" s="54">
        <v>0.06</v>
      </c>
      <c r="D35" s="53">
        <v>250000</v>
      </c>
      <c r="E35" s="53">
        <v>60</v>
      </c>
      <c r="F35" s="32">
        <f t="shared" si="2"/>
        <v>4167</v>
      </c>
      <c r="G35" s="54">
        <v>0.5</v>
      </c>
      <c r="H35" s="6">
        <f t="shared" si="3"/>
        <v>2084</v>
      </c>
      <c r="I35" s="32">
        <f t="shared" si="4"/>
        <v>6251</v>
      </c>
      <c r="J35" s="24">
        <f t="shared" si="5"/>
        <v>39.993601023836185</v>
      </c>
      <c r="K35" s="105">
        <f>Q35+R34+S33+T32+U31+V30+W29+X28+Y27+Z26+AA25+AB24+AC23+AD22+AE21+AF20+AG19+AH18+AI17+AJ16+AK15+AL14+AM13+AN12+AO11+AP10+AQ9</f>
        <v>16703</v>
      </c>
      <c r="L35" s="107">
        <f t="shared" si="6"/>
        <v>27055</v>
      </c>
      <c r="M35" s="55">
        <f t="shared" si="7"/>
        <v>263.78738635045227</v>
      </c>
      <c r="N35" s="56">
        <f t="shared" si="8"/>
        <v>6.5957398083067087</v>
      </c>
      <c r="O35" s="34">
        <f t="shared" si="9"/>
        <v>0.62575585224211216</v>
      </c>
      <c r="P35" s="34"/>
      <c r="Q35" s="35">
        <f t="shared" si="10"/>
        <v>6251</v>
      </c>
      <c r="R35" s="11">
        <f t="shared" si="21"/>
        <v>1657</v>
      </c>
      <c r="S35" s="11">
        <f t="shared" si="21"/>
        <v>994</v>
      </c>
      <c r="T35" s="11">
        <f t="shared" si="21"/>
        <v>795</v>
      </c>
      <c r="U35" s="11">
        <f t="shared" si="21"/>
        <v>729</v>
      </c>
      <c r="V35" s="11">
        <f t="shared" si="21"/>
        <v>663</v>
      </c>
      <c r="W35" s="11">
        <f t="shared" si="21"/>
        <v>596</v>
      </c>
      <c r="X35" s="11">
        <f t="shared" si="21"/>
        <v>530</v>
      </c>
      <c r="Y35" s="11">
        <f t="shared" si="21"/>
        <v>530</v>
      </c>
      <c r="Z35" s="11">
        <f t="shared" si="21"/>
        <v>530</v>
      </c>
      <c r="AA35" s="11">
        <f t="shared" si="21"/>
        <v>530</v>
      </c>
      <c r="AB35" s="11">
        <f t="shared" si="22"/>
        <v>530</v>
      </c>
      <c r="AC35" s="11">
        <f t="shared" si="22"/>
        <v>530</v>
      </c>
      <c r="AD35" s="11">
        <f t="shared" si="22"/>
        <v>530</v>
      </c>
      <c r="AE35" s="11">
        <f t="shared" si="22"/>
        <v>530</v>
      </c>
      <c r="AF35" s="11">
        <f t="shared" si="22"/>
        <v>530</v>
      </c>
      <c r="AG35" s="11">
        <f t="shared" si="22"/>
        <v>530</v>
      </c>
      <c r="AH35" s="11">
        <f t="shared" si="22"/>
        <v>530</v>
      </c>
      <c r="AI35" s="11">
        <f t="shared" si="22"/>
        <v>530</v>
      </c>
      <c r="AJ35" s="11">
        <f t="shared" si="22"/>
        <v>530</v>
      </c>
      <c r="AK35" s="11">
        <f t="shared" si="22"/>
        <v>530</v>
      </c>
      <c r="AL35" s="11">
        <f t="shared" si="23"/>
        <v>530</v>
      </c>
      <c r="AM35" s="11">
        <f t="shared" si="23"/>
        <v>530</v>
      </c>
      <c r="AN35" s="10">
        <f t="shared" si="23"/>
        <v>530</v>
      </c>
      <c r="AO35" s="10">
        <f t="shared" si="23"/>
        <v>530</v>
      </c>
      <c r="AP35" s="10">
        <f t="shared" si="23"/>
        <v>530</v>
      </c>
      <c r="AQ35" s="10">
        <f t="shared" si="23"/>
        <v>530</v>
      </c>
      <c r="AR35" s="10">
        <f t="shared" si="23"/>
        <v>530</v>
      </c>
      <c r="AS35" s="10">
        <f t="shared" si="23"/>
        <v>530</v>
      </c>
      <c r="AT35" s="10">
        <f t="shared" si="23"/>
        <v>530</v>
      </c>
      <c r="AU35" s="10">
        <f t="shared" si="23"/>
        <v>530</v>
      </c>
      <c r="AV35" s="10">
        <f t="shared" si="24"/>
        <v>530</v>
      </c>
      <c r="AW35" s="10">
        <f t="shared" si="24"/>
        <v>530</v>
      </c>
      <c r="AX35" s="10">
        <f t="shared" si="24"/>
        <v>530</v>
      </c>
      <c r="AY35" s="10">
        <f t="shared" si="24"/>
        <v>530</v>
      </c>
      <c r="AZ35" s="10">
        <f t="shared" si="24"/>
        <v>530</v>
      </c>
      <c r="BA35" s="10">
        <f t="shared" si="24"/>
        <v>530</v>
      </c>
      <c r="BB35" s="10">
        <f t="shared" si="24"/>
        <v>530</v>
      </c>
      <c r="BC35" s="10">
        <f t="shared" si="24"/>
        <v>530</v>
      </c>
      <c r="BD35" s="10">
        <f t="shared" si="24"/>
        <v>530</v>
      </c>
      <c r="BE35" s="10">
        <f t="shared" si="24"/>
        <v>530</v>
      </c>
      <c r="BF35" s="10">
        <f t="shared" si="25"/>
        <v>530</v>
      </c>
      <c r="BG35" s="10">
        <f t="shared" si="25"/>
        <v>530</v>
      </c>
      <c r="BH35" s="10">
        <f t="shared" si="25"/>
        <v>530</v>
      </c>
      <c r="BI35" s="10">
        <f t="shared" si="25"/>
        <v>530</v>
      </c>
      <c r="BJ35" s="10">
        <f t="shared" si="25"/>
        <v>530</v>
      </c>
      <c r="BK35" s="10">
        <f t="shared" si="25"/>
        <v>530</v>
      </c>
      <c r="BL35" s="10">
        <f t="shared" si="25"/>
        <v>530</v>
      </c>
      <c r="BM35" s="10">
        <f t="shared" si="25"/>
        <v>530</v>
      </c>
    </row>
    <row r="36" spans="1:65" x14ac:dyDescent="0.2">
      <c r="A36" s="39">
        <v>43891</v>
      </c>
      <c r="B36" s="53">
        <v>120</v>
      </c>
      <c r="C36" s="54">
        <v>0.06</v>
      </c>
      <c r="D36" s="53">
        <v>250000</v>
      </c>
      <c r="E36" s="53">
        <v>60</v>
      </c>
      <c r="F36" s="32">
        <f t="shared" si="2"/>
        <v>4167</v>
      </c>
      <c r="G36" s="54">
        <v>0.5</v>
      </c>
      <c r="H36" s="6">
        <f t="shared" si="3"/>
        <v>2084</v>
      </c>
      <c r="I36" s="32">
        <f t="shared" si="4"/>
        <v>6251</v>
      </c>
      <c r="J36" s="24">
        <f t="shared" si="5"/>
        <v>39.993601023836185</v>
      </c>
      <c r="K36" s="105">
        <f>Q36+R35+S34+T33+U32+V31+W30+X29+Y28+Z27+AA26+AB25+AC24+AD23+AE22+AF21+AG20+AH19+AI18+AJ17+AK16+AL15+AM14+AN13+AO12+AP11+AQ10+AR9</f>
        <v>17330</v>
      </c>
      <c r="L36" s="107">
        <f t="shared" si="6"/>
        <v>27055</v>
      </c>
      <c r="M36" s="55">
        <f t="shared" si="7"/>
        <v>263.78738635045227</v>
      </c>
      <c r="N36" s="56">
        <f t="shared" si="8"/>
        <v>6.5957398083067087</v>
      </c>
      <c r="O36" s="34">
        <f t="shared" si="9"/>
        <v>0.63929601846508943</v>
      </c>
      <c r="P36" s="34"/>
      <c r="Q36" s="35">
        <f t="shared" si="10"/>
        <v>6251</v>
      </c>
      <c r="R36" s="11">
        <f t="shared" si="21"/>
        <v>1657</v>
      </c>
      <c r="S36" s="11">
        <f t="shared" si="21"/>
        <v>994</v>
      </c>
      <c r="T36" s="11">
        <f t="shared" si="21"/>
        <v>795</v>
      </c>
      <c r="U36" s="11">
        <f t="shared" si="21"/>
        <v>729</v>
      </c>
      <c r="V36" s="11">
        <f t="shared" si="21"/>
        <v>663</v>
      </c>
      <c r="W36" s="11">
        <f t="shared" si="21"/>
        <v>596</v>
      </c>
      <c r="X36" s="11">
        <f t="shared" si="21"/>
        <v>530</v>
      </c>
      <c r="Y36" s="11">
        <f t="shared" si="21"/>
        <v>530</v>
      </c>
      <c r="Z36" s="11">
        <f t="shared" si="21"/>
        <v>530</v>
      </c>
      <c r="AA36" s="11">
        <f t="shared" si="21"/>
        <v>530</v>
      </c>
      <c r="AB36" s="11">
        <f t="shared" si="22"/>
        <v>530</v>
      </c>
      <c r="AC36" s="11">
        <f t="shared" si="22"/>
        <v>530</v>
      </c>
      <c r="AD36" s="11">
        <f t="shared" si="22"/>
        <v>530</v>
      </c>
      <c r="AE36" s="11">
        <f t="shared" si="22"/>
        <v>530</v>
      </c>
      <c r="AF36" s="11">
        <f t="shared" si="22"/>
        <v>530</v>
      </c>
      <c r="AG36" s="11">
        <f t="shared" si="22"/>
        <v>530</v>
      </c>
      <c r="AH36" s="11">
        <f t="shared" si="22"/>
        <v>530</v>
      </c>
      <c r="AI36" s="11">
        <f t="shared" si="22"/>
        <v>530</v>
      </c>
      <c r="AJ36" s="11">
        <f t="shared" si="22"/>
        <v>530</v>
      </c>
      <c r="AK36" s="11">
        <f t="shared" si="22"/>
        <v>530</v>
      </c>
      <c r="AL36" s="11">
        <f t="shared" si="23"/>
        <v>530</v>
      </c>
      <c r="AM36" s="10">
        <f t="shared" si="23"/>
        <v>530</v>
      </c>
      <c r="AN36" s="10">
        <f t="shared" si="23"/>
        <v>530</v>
      </c>
      <c r="AO36" s="10">
        <f t="shared" si="23"/>
        <v>530</v>
      </c>
      <c r="AP36" s="10">
        <f t="shared" si="23"/>
        <v>530</v>
      </c>
      <c r="AQ36" s="10">
        <f t="shared" si="23"/>
        <v>530</v>
      </c>
      <c r="AR36" s="10">
        <f t="shared" si="23"/>
        <v>530</v>
      </c>
      <c r="AS36" s="10">
        <f t="shared" si="23"/>
        <v>530</v>
      </c>
      <c r="AT36" s="10">
        <f t="shared" si="23"/>
        <v>530</v>
      </c>
      <c r="AU36" s="10">
        <f t="shared" si="23"/>
        <v>530</v>
      </c>
      <c r="AV36" s="10">
        <f t="shared" si="24"/>
        <v>530</v>
      </c>
      <c r="AW36" s="10">
        <f t="shared" si="24"/>
        <v>530</v>
      </c>
      <c r="AX36" s="10">
        <f t="shared" si="24"/>
        <v>530</v>
      </c>
      <c r="AY36" s="10">
        <f t="shared" si="24"/>
        <v>530</v>
      </c>
      <c r="AZ36" s="10">
        <f t="shared" si="24"/>
        <v>530</v>
      </c>
      <c r="BA36" s="10">
        <f t="shared" si="24"/>
        <v>530</v>
      </c>
      <c r="BB36" s="10">
        <f t="shared" si="24"/>
        <v>530</v>
      </c>
      <c r="BC36" s="10">
        <f t="shared" si="24"/>
        <v>530</v>
      </c>
      <c r="BD36" s="10">
        <f t="shared" si="24"/>
        <v>530</v>
      </c>
      <c r="BE36" s="10">
        <f t="shared" si="24"/>
        <v>530</v>
      </c>
      <c r="BF36" s="10">
        <f t="shared" si="25"/>
        <v>530</v>
      </c>
      <c r="BG36" s="10">
        <f t="shared" si="25"/>
        <v>530</v>
      </c>
      <c r="BH36" s="10">
        <f t="shared" si="25"/>
        <v>530</v>
      </c>
      <c r="BI36" s="10">
        <f t="shared" si="25"/>
        <v>530</v>
      </c>
      <c r="BJ36" s="10">
        <f t="shared" si="25"/>
        <v>530</v>
      </c>
      <c r="BK36" s="10">
        <f t="shared" si="25"/>
        <v>530</v>
      </c>
      <c r="BL36" s="10">
        <f t="shared" si="25"/>
        <v>530</v>
      </c>
      <c r="BM36" s="10">
        <f t="shared" si="25"/>
        <v>530</v>
      </c>
    </row>
    <row r="37" spans="1:65" x14ac:dyDescent="0.2">
      <c r="A37" s="39">
        <v>43922</v>
      </c>
      <c r="B37" s="53">
        <v>120</v>
      </c>
      <c r="C37" s="54">
        <v>0.06</v>
      </c>
      <c r="D37" s="53">
        <v>275000</v>
      </c>
      <c r="E37" s="53">
        <v>60</v>
      </c>
      <c r="F37" s="32">
        <f t="shared" si="2"/>
        <v>4583</v>
      </c>
      <c r="G37" s="54">
        <v>0.5</v>
      </c>
      <c r="H37" s="6">
        <f t="shared" si="3"/>
        <v>2292</v>
      </c>
      <c r="I37" s="32">
        <f t="shared" si="4"/>
        <v>6875</v>
      </c>
      <c r="J37" s="24">
        <f t="shared" si="5"/>
        <v>40</v>
      </c>
      <c r="K37" s="105">
        <f>Q37+R36+S35+T34+U33+V32+W31+X30+Y29+Z28+AA27+AB26+AC25+AD24+AE23+AF22+AG21+AH20+AI19+AJ18+AK17+AL16+AM15+AN14+AO13+AP12+AQ11+AR10+AS9</f>
        <v>18539</v>
      </c>
      <c r="L37" s="107">
        <f t="shared" si="6"/>
        <v>29759</v>
      </c>
      <c r="M37" s="55">
        <f t="shared" si="7"/>
        <v>263.8162946931663</v>
      </c>
      <c r="N37" s="56">
        <f t="shared" si="8"/>
        <v>6.5954073673291571</v>
      </c>
      <c r="O37" s="34">
        <f t="shared" si="9"/>
        <v>0.62916014887534388</v>
      </c>
      <c r="P37" s="34"/>
      <c r="Q37" s="35">
        <f t="shared" si="10"/>
        <v>6875</v>
      </c>
      <c r="R37" s="11">
        <f t="shared" si="21"/>
        <v>1822</v>
      </c>
      <c r="S37" s="11">
        <f t="shared" si="21"/>
        <v>1093</v>
      </c>
      <c r="T37" s="11">
        <f t="shared" si="21"/>
        <v>875</v>
      </c>
      <c r="U37" s="11">
        <f t="shared" si="21"/>
        <v>802</v>
      </c>
      <c r="V37" s="11">
        <f t="shared" si="21"/>
        <v>729</v>
      </c>
      <c r="W37" s="11">
        <f t="shared" si="21"/>
        <v>656</v>
      </c>
      <c r="X37" s="11">
        <f t="shared" si="21"/>
        <v>583</v>
      </c>
      <c r="Y37" s="11">
        <f t="shared" si="21"/>
        <v>583</v>
      </c>
      <c r="Z37" s="11">
        <f t="shared" si="21"/>
        <v>583</v>
      </c>
      <c r="AA37" s="11">
        <f t="shared" si="21"/>
        <v>583</v>
      </c>
      <c r="AB37" s="11">
        <f t="shared" si="22"/>
        <v>583</v>
      </c>
      <c r="AC37" s="11">
        <f t="shared" si="22"/>
        <v>583</v>
      </c>
      <c r="AD37" s="11">
        <f t="shared" si="22"/>
        <v>583</v>
      </c>
      <c r="AE37" s="11">
        <f t="shared" si="22"/>
        <v>583</v>
      </c>
      <c r="AF37" s="11">
        <f t="shared" si="22"/>
        <v>583</v>
      </c>
      <c r="AG37" s="11">
        <f t="shared" si="22"/>
        <v>583</v>
      </c>
      <c r="AH37" s="11">
        <f t="shared" si="22"/>
        <v>583</v>
      </c>
      <c r="AI37" s="11">
        <f t="shared" si="22"/>
        <v>583</v>
      </c>
      <c r="AJ37" s="11">
        <f t="shared" si="22"/>
        <v>583</v>
      </c>
      <c r="AK37" s="11">
        <f t="shared" si="22"/>
        <v>583</v>
      </c>
      <c r="AL37" s="10">
        <f t="shared" si="23"/>
        <v>583</v>
      </c>
      <c r="AM37" s="10">
        <f t="shared" si="23"/>
        <v>583</v>
      </c>
      <c r="AN37" s="10">
        <f t="shared" si="23"/>
        <v>583</v>
      </c>
      <c r="AO37" s="10">
        <f t="shared" si="23"/>
        <v>583</v>
      </c>
      <c r="AP37" s="10">
        <f t="shared" si="23"/>
        <v>583</v>
      </c>
      <c r="AQ37" s="10">
        <f t="shared" si="23"/>
        <v>583</v>
      </c>
      <c r="AR37" s="10">
        <f t="shared" si="23"/>
        <v>583</v>
      </c>
      <c r="AS37" s="10">
        <f t="shared" si="23"/>
        <v>583</v>
      </c>
      <c r="AT37" s="10">
        <f t="shared" si="23"/>
        <v>583</v>
      </c>
      <c r="AU37" s="10">
        <f t="shared" si="23"/>
        <v>583</v>
      </c>
      <c r="AV37" s="10">
        <f t="shared" si="24"/>
        <v>583</v>
      </c>
      <c r="AW37" s="10">
        <f t="shared" si="24"/>
        <v>583</v>
      </c>
      <c r="AX37" s="10">
        <f t="shared" si="24"/>
        <v>583</v>
      </c>
      <c r="AY37" s="10">
        <f t="shared" si="24"/>
        <v>583</v>
      </c>
      <c r="AZ37" s="10">
        <f t="shared" si="24"/>
        <v>583</v>
      </c>
      <c r="BA37" s="10">
        <f t="shared" si="24"/>
        <v>583</v>
      </c>
      <c r="BB37" s="10">
        <f t="shared" si="24"/>
        <v>583</v>
      </c>
      <c r="BC37" s="10">
        <f t="shared" si="24"/>
        <v>583</v>
      </c>
      <c r="BD37" s="10">
        <f t="shared" si="24"/>
        <v>583</v>
      </c>
      <c r="BE37" s="10">
        <f t="shared" si="24"/>
        <v>583</v>
      </c>
      <c r="BF37" s="10">
        <f t="shared" si="25"/>
        <v>583</v>
      </c>
      <c r="BG37" s="10">
        <f t="shared" si="25"/>
        <v>583</v>
      </c>
      <c r="BH37" s="10">
        <f t="shared" si="25"/>
        <v>583</v>
      </c>
      <c r="BI37" s="10">
        <f t="shared" si="25"/>
        <v>583</v>
      </c>
      <c r="BJ37" s="10">
        <f t="shared" si="25"/>
        <v>583</v>
      </c>
      <c r="BK37" s="10">
        <f t="shared" si="25"/>
        <v>583</v>
      </c>
      <c r="BL37" s="10">
        <f t="shared" si="25"/>
        <v>583</v>
      </c>
      <c r="BM37" s="10">
        <f t="shared" si="25"/>
        <v>583</v>
      </c>
    </row>
    <row r="38" spans="1:65" x14ac:dyDescent="0.2">
      <c r="A38" s="39">
        <v>43952</v>
      </c>
      <c r="B38" s="53">
        <v>120</v>
      </c>
      <c r="C38" s="54">
        <v>7.0000000000000007E-2</v>
      </c>
      <c r="D38" s="53">
        <v>275000</v>
      </c>
      <c r="E38" s="53">
        <v>60</v>
      </c>
      <c r="F38" s="32">
        <f t="shared" si="2"/>
        <v>4583</v>
      </c>
      <c r="G38" s="54">
        <v>0.5</v>
      </c>
      <c r="H38" s="6">
        <f t="shared" si="3"/>
        <v>2292</v>
      </c>
      <c r="I38" s="32">
        <f t="shared" si="4"/>
        <v>6875</v>
      </c>
      <c r="J38" s="24">
        <f t="shared" si="5"/>
        <v>40</v>
      </c>
      <c r="K38" s="105">
        <f>Q38+R37+S36+T35+U34+V33+W32+X31+Y30+Z29+AA28+AB27+AC26+AD25+AE24+AF23+AG22+AH21+AI20+AJ19+AK18+AL17+AM16+AN15+AO14+AP13+AQ12+AR11+AS10+AT9</f>
        <v>19275</v>
      </c>
      <c r="L38" s="107">
        <f t="shared" si="6"/>
        <v>29988</v>
      </c>
      <c r="M38" s="55">
        <f t="shared" si="7"/>
        <v>265.84640092942197</v>
      </c>
      <c r="N38" s="56">
        <f t="shared" si="8"/>
        <v>6.6461600232355496</v>
      </c>
      <c r="O38" s="34">
        <f t="shared" si="9"/>
        <v>0.64332036316472119</v>
      </c>
      <c r="P38" s="34"/>
      <c r="Q38" s="35">
        <f t="shared" si="10"/>
        <v>6875</v>
      </c>
      <c r="R38" s="11">
        <f t="shared" si="21"/>
        <v>1839</v>
      </c>
      <c r="S38" s="11">
        <f t="shared" si="21"/>
        <v>1103</v>
      </c>
      <c r="T38" s="11">
        <f t="shared" si="21"/>
        <v>883</v>
      </c>
      <c r="U38" s="11">
        <f t="shared" si="21"/>
        <v>809</v>
      </c>
      <c r="V38" s="11">
        <f t="shared" si="21"/>
        <v>736</v>
      </c>
      <c r="W38" s="11">
        <f t="shared" si="21"/>
        <v>662</v>
      </c>
      <c r="X38" s="11">
        <f t="shared" si="21"/>
        <v>589</v>
      </c>
      <c r="Y38" s="11">
        <f t="shared" si="21"/>
        <v>589</v>
      </c>
      <c r="Z38" s="11">
        <f t="shared" si="21"/>
        <v>589</v>
      </c>
      <c r="AA38" s="11">
        <f t="shared" si="21"/>
        <v>589</v>
      </c>
      <c r="AB38" s="11">
        <f t="shared" si="22"/>
        <v>589</v>
      </c>
      <c r="AC38" s="11">
        <f t="shared" si="22"/>
        <v>589</v>
      </c>
      <c r="AD38" s="11">
        <f t="shared" si="22"/>
        <v>589</v>
      </c>
      <c r="AE38" s="11">
        <f t="shared" si="22"/>
        <v>589</v>
      </c>
      <c r="AF38" s="11">
        <f t="shared" si="22"/>
        <v>589</v>
      </c>
      <c r="AG38" s="11">
        <f t="shared" si="22"/>
        <v>589</v>
      </c>
      <c r="AH38" s="11">
        <f t="shared" si="22"/>
        <v>589</v>
      </c>
      <c r="AI38" s="11">
        <f t="shared" si="22"/>
        <v>589</v>
      </c>
      <c r="AJ38" s="11">
        <f t="shared" si="22"/>
        <v>589</v>
      </c>
      <c r="AK38" s="10">
        <f t="shared" si="22"/>
        <v>589</v>
      </c>
      <c r="AL38" s="10">
        <f t="shared" si="23"/>
        <v>589</v>
      </c>
      <c r="AM38" s="10">
        <f t="shared" si="23"/>
        <v>589</v>
      </c>
      <c r="AN38" s="10">
        <f t="shared" si="23"/>
        <v>589</v>
      </c>
      <c r="AO38" s="10">
        <f t="shared" si="23"/>
        <v>589</v>
      </c>
      <c r="AP38" s="10">
        <f t="shared" si="23"/>
        <v>589</v>
      </c>
      <c r="AQ38" s="10">
        <f t="shared" si="23"/>
        <v>589</v>
      </c>
      <c r="AR38" s="10">
        <f t="shared" si="23"/>
        <v>589</v>
      </c>
      <c r="AS38" s="10">
        <f t="shared" si="23"/>
        <v>589</v>
      </c>
      <c r="AT38" s="10">
        <f t="shared" si="23"/>
        <v>589</v>
      </c>
      <c r="AU38" s="10">
        <f t="shared" si="23"/>
        <v>589</v>
      </c>
      <c r="AV38" s="10">
        <f t="shared" si="24"/>
        <v>589</v>
      </c>
      <c r="AW38" s="10">
        <f t="shared" si="24"/>
        <v>589</v>
      </c>
      <c r="AX38" s="10">
        <f t="shared" si="24"/>
        <v>589</v>
      </c>
      <c r="AY38" s="10">
        <f t="shared" si="24"/>
        <v>589</v>
      </c>
      <c r="AZ38" s="10">
        <f t="shared" si="24"/>
        <v>589</v>
      </c>
      <c r="BA38" s="10">
        <f t="shared" si="24"/>
        <v>589</v>
      </c>
      <c r="BB38" s="10">
        <f t="shared" si="24"/>
        <v>589</v>
      </c>
      <c r="BC38" s="10">
        <f t="shared" si="24"/>
        <v>589</v>
      </c>
      <c r="BD38" s="10">
        <f t="shared" si="24"/>
        <v>589</v>
      </c>
      <c r="BE38" s="10">
        <f t="shared" si="24"/>
        <v>589</v>
      </c>
      <c r="BF38" s="10">
        <f t="shared" si="25"/>
        <v>589</v>
      </c>
      <c r="BG38" s="10">
        <f t="shared" si="25"/>
        <v>589</v>
      </c>
      <c r="BH38" s="10">
        <f t="shared" si="25"/>
        <v>589</v>
      </c>
      <c r="BI38" s="10">
        <f t="shared" si="25"/>
        <v>589</v>
      </c>
      <c r="BJ38" s="10">
        <f t="shared" si="25"/>
        <v>589</v>
      </c>
      <c r="BK38" s="10">
        <f t="shared" si="25"/>
        <v>589</v>
      </c>
      <c r="BL38" s="10">
        <f t="shared" si="25"/>
        <v>589</v>
      </c>
      <c r="BM38" s="10">
        <f t="shared" si="25"/>
        <v>589</v>
      </c>
    </row>
    <row r="39" spans="1:65" x14ac:dyDescent="0.2">
      <c r="A39" s="39">
        <v>43983</v>
      </c>
      <c r="B39" s="53">
        <v>120</v>
      </c>
      <c r="C39" s="54">
        <v>7.0000000000000007E-2</v>
      </c>
      <c r="D39" s="53">
        <v>275000</v>
      </c>
      <c r="E39" s="53">
        <v>60</v>
      </c>
      <c r="F39" s="32">
        <f t="shared" si="2"/>
        <v>4583</v>
      </c>
      <c r="G39" s="54">
        <v>0.5</v>
      </c>
      <c r="H39" s="6">
        <f t="shared" si="3"/>
        <v>2292</v>
      </c>
      <c r="I39" s="32">
        <f t="shared" si="4"/>
        <v>6875</v>
      </c>
      <c r="J39" s="24">
        <f t="shared" si="5"/>
        <v>40</v>
      </c>
      <c r="K39" s="105">
        <f>Q39+R38+S37+T36+U35+V34+W33+X32+Y31+Z30+AA29+AB28+AC27+AD26+AE25+AF24+AG23+AH22+AI21+AJ20+AK19+AL18+AM17+AN16+AO15+AP14+AQ13+AR12+AS11+AT10+AU9</f>
        <v>19949</v>
      </c>
      <c r="L39" s="107">
        <f t="shared" si="6"/>
        <v>29988</v>
      </c>
      <c r="M39" s="55">
        <f t="shared" si="7"/>
        <v>265.84640092942209</v>
      </c>
      <c r="N39" s="56">
        <f t="shared" si="8"/>
        <v>6.6461600232355522</v>
      </c>
      <c r="O39" s="34">
        <f t="shared" si="9"/>
        <v>0.65537119655120557</v>
      </c>
      <c r="P39" s="34"/>
      <c r="Q39" s="35">
        <f t="shared" si="10"/>
        <v>6875</v>
      </c>
      <c r="R39" s="11">
        <f t="shared" si="21"/>
        <v>1839</v>
      </c>
      <c r="S39" s="11">
        <f t="shared" si="21"/>
        <v>1103</v>
      </c>
      <c r="T39" s="11">
        <f t="shared" si="21"/>
        <v>883</v>
      </c>
      <c r="U39" s="11">
        <f t="shared" si="21"/>
        <v>809</v>
      </c>
      <c r="V39" s="11">
        <f t="shared" si="21"/>
        <v>736</v>
      </c>
      <c r="W39" s="11">
        <f t="shared" si="21"/>
        <v>662</v>
      </c>
      <c r="X39" s="11">
        <f t="shared" si="21"/>
        <v>589</v>
      </c>
      <c r="Y39" s="11">
        <f t="shared" si="21"/>
        <v>589</v>
      </c>
      <c r="Z39" s="11">
        <f t="shared" si="21"/>
        <v>589</v>
      </c>
      <c r="AA39" s="11">
        <f t="shared" si="21"/>
        <v>589</v>
      </c>
      <c r="AB39" s="11">
        <f t="shared" si="22"/>
        <v>589</v>
      </c>
      <c r="AC39" s="11">
        <f t="shared" si="22"/>
        <v>589</v>
      </c>
      <c r="AD39" s="11">
        <f t="shared" si="22"/>
        <v>589</v>
      </c>
      <c r="AE39" s="11">
        <f t="shared" si="22"/>
        <v>589</v>
      </c>
      <c r="AF39" s="11">
        <f t="shared" si="22"/>
        <v>589</v>
      </c>
      <c r="AG39" s="11">
        <f t="shared" si="22"/>
        <v>589</v>
      </c>
      <c r="AH39" s="11">
        <f t="shared" si="22"/>
        <v>589</v>
      </c>
      <c r="AI39" s="11">
        <f t="shared" si="22"/>
        <v>589</v>
      </c>
      <c r="AJ39" s="10">
        <f t="shared" si="22"/>
        <v>589</v>
      </c>
      <c r="AK39" s="10">
        <f t="shared" si="22"/>
        <v>589</v>
      </c>
      <c r="AL39" s="10">
        <f t="shared" si="23"/>
        <v>589</v>
      </c>
      <c r="AM39" s="10">
        <f t="shared" si="23"/>
        <v>589</v>
      </c>
      <c r="AN39" s="10">
        <f t="shared" si="23"/>
        <v>589</v>
      </c>
      <c r="AO39" s="10">
        <f t="shared" si="23"/>
        <v>589</v>
      </c>
      <c r="AP39" s="10">
        <f t="shared" si="23"/>
        <v>589</v>
      </c>
      <c r="AQ39" s="10">
        <f t="shared" si="23"/>
        <v>589</v>
      </c>
      <c r="AR39" s="10">
        <f t="shared" si="23"/>
        <v>589</v>
      </c>
      <c r="AS39" s="10">
        <f t="shared" si="23"/>
        <v>589</v>
      </c>
      <c r="AT39" s="10">
        <f t="shared" si="23"/>
        <v>589</v>
      </c>
      <c r="AU39" s="10">
        <f t="shared" si="23"/>
        <v>589</v>
      </c>
      <c r="AV39" s="10">
        <f t="shared" si="24"/>
        <v>589</v>
      </c>
      <c r="AW39" s="10">
        <f t="shared" si="24"/>
        <v>589</v>
      </c>
      <c r="AX39" s="10">
        <f t="shared" si="24"/>
        <v>589</v>
      </c>
      <c r="AY39" s="10">
        <f t="shared" si="24"/>
        <v>589</v>
      </c>
      <c r="AZ39" s="10">
        <f t="shared" si="24"/>
        <v>589</v>
      </c>
      <c r="BA39" s="10">
        <f t="shared" si="24"/>
        <v>589</v>
      </c>
      <c r="BB39" s="10">
        <f t="shared" si="24"/>
        <v>589</v>
      </c>
      <c r="BC39" s="10">
        <f t="shared" si="24"/>
        <v>589</v>
      </c>
      <c r="BD39" s="10">
        <f t="shared" si="24"/>
        <v>589</v>
      </c>
      <c r="BE39" s="10">
        <f t="shared" si="24"/>
        <v>589</v>
      </c>
      <c r="BF39" s="10">
        <f t="shared" si="25"/>
        <v>589</v>
      </c>
      <c r="BG39" s="10">
        <f t="shared" si="25"/>
        <v>589</v>
      </c>
      <c r="BH39" s="10">
        <f t="shared" si="25"/>
        <v>589</v>
      </c>
      <c r="BI39" s="10">
        <f t="shared" si="25"/>
        <v>589</v>
      </c>
      <c r="BJ39" s="10">
        <f t="shared" si="25"/>
        <v>589</v>
      </c>
      <c r="BK39" s="10">
        <f t="shared" si="25"/>
        <v>589</v>
      </c>
      <c r="BL39" s="10">
        <f t="shared" si="25"/>
        <v>589</v>
      </c>
      <c r="BM39" s="10">
        <f t="shared" si="25"/>
        <v>589</v>
      </c>
    </row>
    <row r="40" spans="1:65" x14ac:dyDescent="0.2">
      <c r="A40" s="39">
        <v>44013</v>
      </c>
      <c r="B40" s="53">
        <v>120</v>
      </c>
      <c r="C40" s="54">
        <v>7.0000000000000007E-2</v>
      </c>
      <c r="D40" s="53">
        <v>300000</v>
      </c>
      <c r="E40" s="53">
        <v>60</v>
      </c>
      <c r="F40" s="32">
        <f t="shared" si="2"/>
        <v>5000</v>
      </c>
      <c r="G40" s="54">
        <v>0.49</v>
      </c>
      <c r="H40" s="6">
        <f t="shared" si="3"/>
        <v>2450</v>
      </c>
      <c r="I40" s="32">
        <f t="shared" si="4"/>
        <v>7450</v>
      </c>
      <c r="J40" s="24">
        <f t="shared" si="5"/>
        <v>40.268456375838923</v>
      </c>
      <c r="K40" s="105">
        <f>Q40+R39+S38+T37+U36+V35+W34+X33+Y32+Z31+AA30+AB29+AC28+AD27+AE26+AF25+AG24+AH23+AI22+AJ21+AK20+AL19+AM18+AN17+AO16+AP15+AQ14+AR13+AS12+AT11+AU10+AV9</f>
        <v>21157</v>
      </c>
      <c r="L40" s="107">
        <f t="shared" si="6"/>
        <v>32489</v>
      </c>
      <c r="M40" s="55">
        <f t="shared" si="7"/>
        <v>265.78842084304608</v>
      </c>
      <c r="N40" s="56">
        <f t="shared" si="8"/>
        <v>6.6004124509356448</v>
      </c>
      <c r="O40" s="34">
        <f t="shared" si="9"/>
        <v>0.64787068109845436</v>
      </c>
      <c r="P40" s="34"/>
      <c r="Q40" s="35">
        <f t="shared" si="10"/>
        <v>7450</v>
      </c>
      <c r="R40" s="11">
        <f t="shared" ref="R40:AA49" si="26">ROUND($Q40*R$4*(1+$C40),0)</f>
        <v>1993</v>
      </c>
      <c r="S40" s="11">
        <f t="shared" si="26"/>
        <v>1196</v>
      </c>
      <c r="T40" s="11">
        <f t="shared" si="26"/>
        <v>957</v>
      </c>
      <c r="U40" s="11">
        <f t="shared" si="26"/>
        <v>877</v>
      </c>
      <c r="V40" s="11">
        <f t="shared" si="26"/>
        <v>797</v>
      </c>
      <c r="W40" s="11">
        <f t="shared" si="26"/>
        <v>717</v>
      </c>
      <c r="X40" s="11">
        <f t="shared" si="26"/>
        <v>638</v>
      </c>
      <c r="Y40" s="11">
        <f t="shared" si="26"/>
        <v>638</v>
      </c>
      <c r="Z40" s="11">
        <f t="shared" si="26"/>
        <v>638</v>
      </c>
      <c r="AA40" s="11">
        <f t="shared" si="26"/>
        <v>638</v>
      </c>
      <c r="AB40" s="11">
        <f t="shared" ref="AB40:AK49" si="27">ROUND($Q40*AB$4*(1+$C40),0)</f>
        <v>638</v>
      </c>
      <c r="AC40" s="11">
        <f t="shared" si="27"/>
        <v>638</v>
      </c>
      <c r="AD40" s="11">
        <f t="shared" si="27"/>
        <v>638</v>
      </c>
      <c r="AE40" s="11">
        <f t="shared" si="27"/>
        <v>638</v>
      </c>
      <c r="AF40" s="11">
        <f t="shared" si="27"/>
        <v>638</v>
      </c>
      <c r="AG40" s="11">
        <f t="shared" si="27"/>
        <v>638</v>
      </c>
      <c r="AH40" s="11">
        <f t="shared" si="27"/>
        <v>638</v>
      </c>
      <c r="AI40" s="10">
        <f t="shared" si="27"/>
        <v>638</v>
      </c>
      <c r="AJ40" s="10">
        <f t="shared" si="27"/>
        <v>638</v>
      </c>
      <c r="AK40" s="10">
        <f t="shared" si="27"/>
        <v>638</v>
      </c>
      <c r="AL40" s="10">
        <f t="shared" ref="AL40:AU49" si="28">ROUND($Q40*AL$4*(1+$C40),0)</f>
        <v>638</v>
      </c>
      <c r="AM40" s="10">
        <f t="shared" si="28"/>
        <v>638</v>
      </c>
      <c r="AN40" s="10">
        <f t="shared" si="28"/>
        <v>638</v>
      </c>
      <c r="AO40" s="10">
        <f t="shared" si="28"/>
        <v>638</v>
      </c>
      <c r="AP40" s="10">
        <f t="shared" si="28"/>
        <v>638</v>
      </c>
      <c r="AQ40" s="10">
        <f t="shared" si="28"/>
        <v>638</v>
      </c>
      <c r="AR40" s="10">
        <f t="shared" si="28"/>
        <v>638</v>
      </c>
      <c r="AS40" s="10">
        <f t="shared" si="28"/>
        <v>638</v>
      </c>
      <c r="AT40" s="10">
        <f t="shared" si="28"/>
        <v>638</v>
      </c>
      <c r="AU40" s="10">
        <f t="shared" si="28"/>
        <v>638</v>
      </c>
      <c r="AV40" s="10">
        <f t="shared" ref="AV40:BE49" si="29">ROUND($Q40*AV$4*(1+$C40),0)</f>
        <v>638</v>
      </c>
      <c r="AW40" s="10">
        <f t="shared" si="29"/>
        <v>638</v>
      </c>
      <c r="AX40" s="10">
        <f t="shared" si="29"/>
        <v>638</v>
      </c>
      <c r="AY40" s="10">
        <f t="shared" si="29"/>
        <v>638</v>
      </c>
      <c r="AZ40" s="10">
        <f t="shared" si="29"/>
        <v>638</v>
      </c>
      <c r="BA40" s="10">
        <f t="shared" si="29"/>
        <v>638</v>
      </c>
      <c r="BB40" s="10">
        <f t="shared" si="29"/>
        <v>638</v>
      </c>
      <c r="BC40" s="10">
        <f t="shared" si="29"/>
        <v>638</v>
      </c>
      <c r="BD40" s="10">
        <f t="shared" si="29"/>
        <v>638</v>
      </c>
      <c r="BE40" s="10">
        <f t="shared" si="29"/>
        <v>638</v>
      </c>
      <c r="BF40" s="10">
        <f t="shared" ref="BF40:BM49" si="30">ROUND($Q40*BF$4*(1+$C40),0)</f>
        <v>638</v>
      </c>
      <c r="BG40" s="10">
        <f t="shared" si="30"/>
        <v>638</v>
      </c>
      <c r="BH40" s="10">
        <f t="shared" si="30"/>
        <v>638</v>
      </c>
      <c r="BI40" s="10">
        <f t="shared" si="30"/>
        <v>638</v>
      </c>
      <c r="BJ40" s="10">
        <f t="shared" si="30"/>
        <v>638</v>
      </c>
      <c r="BK40" s="10">
        <f t="shared" si="30"/>
        <v>638</v>
      </c>
      <c r="BL40" s="10">
        <f t="shared" si="30"/>
        <v>638</v>
      </c>
      <c r="BM40" s="10">
        <f t="shared" si="30"/>
        <v>638</v>
      </c>
    </row>
    <row r="41" spans="1:65" x14ac:dyDescent="0.2">
      <c r="A41" s="39">
        <v>44044</v>
      </c>
      <c r="B41" s="53">
        <v>120</v>
      </c>
      <c r="C41" s="54">
        <v>7.0000000000000007E-2</v>
      </c>
      <c r="D41" s="53">
        <v>300000</v>
      </c>
      <c r="E41" s="53">
        <v>60</v>
      </c>
      <c r="F41" s="32">
        <f t="shared" si="2"/>
        <v>5000</v>
      </c>
      <c r="G41" s="54">
        <v>0.48</v>
      </c>
      <c r="H41" s="6">
        <f t="shared" si="3"/>
        <v>2400</v>
      </c>
      <c r="I41" s="32">
        <f t="shared" si="4"/>
        <v>7400</v>
      </c>
      <c r="J41" s="24">
        <f t="shared" si="5"/>
        <v>40.54054054054054</v>
      </c>
      <c r="K41" s="105">
        <f>Q41+R40+S39+T38+U37+V36+W35+X34+Y33+Z32+AA31+AB30+AC29+AD28+AE27+AF26+AG25+AH24+AI23+AJ22+AK21+AL20+AM19+AN18+AO17+AP16+AQ15+AR14+AS13+AT12+AU11+AV10+AW9</f>
        <v>21872</v>
      </c>
      <c r="L41" s="107">
        <f t="shared" si="6"/>
        <v>32251</v>
      </c>
      <c r="M41" s="55">
        <f t="shared" si="7"/>
        <v>265.62408476938822</v>
      </c>
      <c r="N41" s="56">
        <f t="shared" si="8"/>
        <v>6.5520607576449095</v>
      </c>
      <c r="O41" s="34">
        <f t="shared" si="9"/>
        <v>0.66166788588149228</v>
      </c>
      <c r="P41" s="34"/>
      <c r="Q41" s="35">
        <f t="shared" si="10"/>
        <v>7400</v>
      </c>
      <c r="R41" s="11">
        <f t="shared" si="26"/>
        <v>1980</v>
      </c>
      <c r="S41" s="11">
        <f t="shared" si="26"/>
        <v>1188</v>
      </c>
      <c r="T41" s="11">
        <f t="shared" si="26"/>
        <v>950</v>
      </c>
      <c r="U41" s="11">
        <f t="shared" si="26"/>
        <v>871</v>
      </c>
      <c r="V41" s="11">
        <f t="shared" si="26"/>
        <v>792</v>
      </c>
      <c r="W41" s="11">
        <f t="shared" si="26"/>
        <v>713</v>
      </c>
      <c r="X41" s="11">
        <f t="shared" si="26"/>
        <v>633</v>
      </c>
      <c r="Y41" s="11">
        <f t="shared" si="26"/>
        <v>633</v>
      </c>
      <c r="Z41" s="11">
        <f t="shared" si="26"/>
        <v>633</v>
      </c>
      <c r="AA41" s="11">
        <f t="shared" si="26"/>
        <v>633</v>
      </c>
      <c r="AB41" s="11">
        <f t="shared" si="27"/>
        <v>633</v>
      </c>
      <c r="AC41" s="11">
        <f t="shared" si="27"/>
        <v>633</v>
      </c>
      <c r="AD41" s="11">
        <f t="shared" si="27"/>
        <v>633</v>
      </c>
      <c r="AE41" s="11">
        <f t="shared" si="27"/>
        <v>633</v>
      </c>
      <c r="AF41" s="11">
        <f t="shared" si="27"/>
        <v>633</v>
      </c>
      <c r="AG41" s="11">
        <f t="shared" si="27"/>
        <v>633</v>
      </c>
      <c r="AH41" s="10">
        <f t="shared" si="27"/>
        <v>633</v>
      </c>
      <c r="AI41" s="10">
        <f t="shared" si="27"/>
        <v>633</v>
      </c>
      <c r="AJ41" s="10">
        <f t="shared" si="27"/>
        <v>633</v>
      </c>
      <c r="AK41" s="10">
        <f t="shared" si="27"/>
        <v>633</v>
      </c>
      <c r="AL41" s="10">
        <f t="shared" si="28"/>
        <v>633</v>
      </c>
      <c r="AM41" s="10">
        <f t="shared" si="28"/>
        <v>633</v>
      </c>
      <c r="AN41" s="10">
        <f t="shared" si="28"/>
        <v>633</v>
      </c>
      <c r="AO41" s="10">
        <f t="shared" si="28"/>
        <v>633</v>
      </c>
      <c r="AP41" s="10">
        <f t="shared" si="28"/>
        <v>633</v>
      </c>
      <c r="AQ41" s="10">
        <f t="shared" si="28"/>
        <v>633</v>
      </c>
      <c r="AR41" s="10">
        <f t="shared" si="28"/>
        <v>633</v>
      </c>
      <c r="AS41" s="10">
        <f t="shared" si="28"/>
        <v>633</v>
      </c>
      <c r="AT41" s="10">
        <f t="shared" si="28"/>
        <v>633</v>
      </c>
      <c r="AU41" s="10">
        <f t="shared" si="28"/>
        <v>633</v>
      </c>
      <c r="AV41" s="10">
        <f t="shared" si="29"/>
        <v>633</v>
      </c>
      <c r="AW41" s="10">
        <f t="shared" si="29"/>
        <v>633</v>
      </c>
      <c r="AX41" s="10">
        <f t="shared" si="29"/>
        <v>633</v>
      </c>
      <c r="AY41" s="10">
        <f t="shared" si="29"/>
        <v>633</v>
      </c>
      <c r="AZ41" s="10">
        <f t="shared" si="29"/>
        <v>633</v>
      </c>
      <c r="BA41" s="10">
        <f t="shared" si="29"/>
        <v>633</v>
      </c>
      <c r="BB41" s="10">
        <f t="shared" si="29"/>
        <v>633</v>
      </c>
      <c r="BC41" s="10">
        <f t="shared" si="29"/>
        <v>633</v>
      </c>
      <c r="BD41" s="10">
        <f t="shared" si="29"/>
        <v>633</v>
      </c>
      <c r="BE41" s="10">
        <f t="shared" si="29"/>
        <v>633</v>
      </c>
      <c r="BF41" s="10">
        <f t="shared" si="30"/>
        <v>633</v>
      </c>
      <c r="BG41" s="10">
        <f t="shared" si="30"/>
        <v>633</v>
      </c>
      <c r="BH41" s="10">
        <f t="shared" si="30"/>
        <v>633</v>
      </c>
      <c r="BI41" s="10">
        <f t="shared" si="30"/>
        <v>633</v>
      </c>
      <c r="BJ41" s="10">
        <f t="shared" si="30"/>
        <v>633</v>
      </c>
      <c r="BK41" s="10">
        <f t="shared" si="30"/>
        <v>633</v>
      </c>
      <c r="BL41" s="10">
        <f t="shared" si="30"/>
        <v>633</v>
      </c>
      <c r="BM41" s="10">
        <f t="shared" si="30"/>
        <v>633</v>
      </c>
    </row>
    <row r="42" spans="1:65" x14ac:dyDescent="0.2">
      <c r="A42" s="39">
        <v>44075</v>
      </c>
      <c r="B42" s="53">
        <v>120</v>
      </c>
      <c r="C42" s="54">
        <v>0.08</v>
      </c>
      <c r="D42" s="53">
        <v>300000</v>
      </c>
      <c r="E42" s="53">
        <v>60</v>
      </c>
      <c r="F42" s="32">
        <f t="shared" si="2"/>
        <v>5000</v>
      </c>
      <c r="G42" s="54">
        <v>0.47</v>
      </c>
      <c r="H42" s="6">
        <f t="shared" si="3"/>
        <v>2350</v>
      </c>
      <c r="I42" s="32">
        <f t="shared" si="4"/>
        <v>7350</v>
      </c>
      <c r="J42" s="24">
        <f t="shared" si="5"/>
        <v>40.816326530612244</v>
      </c>
      <c r="K42" s="105">
        <f>Q42+R41+S40+T39+U38+V37+W36+X35+Y34+Z33+AA32+AB31+AC30+AD29+AE28+AF27+AG26+AH25+AI24+AJ23+AK22+AL21+AM20+AN19+AO18+AP17+AQ16+AR15+AS14+AT13+AU12+AV11+AW10+AX9</f>
        <v>22505</v>
      </c>
      <c r="L42" s="107">
        <f t="shared" si="6"/>
        <v>32275</v>
      </c>
      <c r="M42" s="55">
        <f t="shared" si="7"/>
        <v>267.63006361832726</v>
      </c>
      <c r="N42" s="56">
        <f t="shared" si="8"/>
        <v>6.556936558649018</v>
      </c>
      <c r="O42" s="34">
        <f t="shared" si="9"/>
        <v>0.67340590979782267</v>
      </c>
      <c r="P42" s="34"/>
      <c r="Q42" s="35">
        <f t="shared" si="10"/>
        <v>7350</v>
      </c>
      <c r="R42" s="11">
        <f t="shared" si="26"/>
        <v>1985</v>
      </c>
      <c r="S42" s="11">
        <f t="shared" si="26"/>
        <v>1191</v>
      </c>
      <c r="T42" s="11">
        <f t="shared" si="26"/>
        <v>953</v>
      </c>
      <c r="U42" s="11">
        <f t="shared" si="26"/>
        <v>873</v>
      </c>
      <c r="V42" s="11">
        <f t="shared" si="26"/>
        <v>794</v>
      </c>
      <c r="W42" s="11">
        <f t="shared" si="26"/>
        <v>714</v>
      </c>
      <c r="X42" s="11">
        <f t="shared" si="26"/>
        <v>635</v>
      </c>
      <c r="Y42" s="11">
        <f t="shared" si="26"/>
        <v>635</v>
      </c>
      <c r="Z42" s="11">
        <f t="shared" si="26"/>
        <v>635</v>
      </c>
      <c r="AA42" s="11">
        <f t="shared" si="26"/>
        <v>635</v>
      </c>
      <c r="AB42" s="11">
        <f t="shared" si="27"/>
        <v>635</v>
      </c>
      <c r="AC42" s="11">
        <f t="shared" si="27"/>
        <v>635</v>
      </c>
      <c r="AD42" s="11">
        <f t="shared" si="27"/>
        <v>635</v>
      </c>
      <c r="AE42" s="11">
        <f t="shared" si="27"/>
        <v>635</v>
      </c>
      <c r="AF42" s="11">
        <f t="shared" si="27"/>
        <v>635</v>
      </c>
      <c r="AG42" s="10">
        <f t="shared" si="27"/>
        <v>635</v>
      </c>
      <c r="AH42" s="10">
        <f t="shared" si="27"/>
        <v>635</v>
      </c>
      <c r="AI42" s="10">
        <f t="shared" si="27"/>
        <v>635</v>
      </c>
      <c r="AJ42" s="10">
        <f t="shared" si="27"/>
        <v>635</v>
      </c>
      <c r="AK42" s="10">
        <f t="shared" si="27"/>
        <v>635</v>
      </c>
      <c r="AL42" s="10">
        <f t="shared" si="28"/>
        <v>635</v>
      </c>
      <c r="AM42" s="10">
        <f t="shared" si="28"/>
        <v>635</v>
      </c>
      <c r="AN42" s="10">
        <f t="shared" si="28"/>
        <v>635</v>
      </c>
      <c r="AO42" s="10">
        <f t="shared" si="28"/>
        <v>635</v>
      </c>
      <c r="AP42" s="10">
        <f t="shared" si="28"/>
        <v>635</v>
      </c>
      <c r="AQ42" s="10">
        <f t="shared" si="28"/>
        <v>635</v>
      </c>
      <c r="AR42" s="10">
        <f t="shared" si="28"/>
        <v>635</v>
      </c>
      <c r="AS42" s="10">
        <f t="shared" si="28"/>
        <v>635</v>
      </c>
      <c r="AT42" s="10">
        <f t="shared" si="28"/>
        <v>635</v>
      </c>
      <c r="AU42" s="10">
        <f t="shared" si="28"/>
        <v>635</v>
      </c>
      <c r="AV42" s="10">
        <f t="shared" si="29"/>
        <v>635</v>
      </c>
      <c r="AW42" s="10">
        <f t="shared" si="29"/>
        <v>635</v>
      </c>
      <c r="AX42" s="10">
        <f t="shared" si="29"/>
        <v>635</v>
      </c>
      <c r="AY42" s="10">
        <f t="shared" si="29"/>
        <v>635</v>
      </c>
      <c r="AZ42" s="10">
        <f t="shared" si="29"/>
        <v>635</v>
      </c>
      <c r="BA42" s="10">
        <f t="shared" si="29"/>
        <v>635</v>
      </c>
      <c r="BB42" s="10">
        <f t="shared" si="29"/>
        <v>635</v>
      </c>
      <c r="BC42" s="10">
        <f t="shared" si="29"/>
        <v>635</v>
      </c>
      <c r="BD42" s="10">
        <f t="shared" si="29"/>
        <v>635</v>
      </c>
      <c r="BE42" s="10">
        <f t="shared" si="29"/>
        <v>635</v>
      </c>
      <c r="BF42" s="10">
        <f t="shared" si="30"/>
        <v>635</v>
      </c>
      <c r="BG42" s="10">
        <f t="shared" si="30"/>
        <v>635</v>
      </c>
      <c r="BH42" s="10">
        <f t="shared" si="30"/>
        <v>635</v>
      </c>
      <c r="BI42" s="10">
        <f t="shared" si="30"/>
        <v>635</v>
      </c>
      <c r="BJ42" s="10">
        <f t="shared" si="30"/>
        <v>635</v>
      </c>
      <c r="BK42" s="10">
        <f t="shared" si="30"/>
        <v>635</v>
      </c>
      <c r="BL42" s="10">
        <f t="shared" si="30"/>
        <v>635</v>
      </c>
      <c r="BM42" s="10">
        <f t="shared" si="30"/>
        <v>635</v>
      </c>
    </row>
    <row r="43" spans="1:65" x14ac:dyDescent="0.2">
      <c r="A43" s="39">
        <v>44105</v>
      </c>
      <c r="B43" s="53">
        <v>120</v>
      </c>
      <c r="C43" s="54">
        <v>0.08</v>
      </c>
      <c r="D43" s="53">
        <v>350000</v>
      </c>
      <c r="E43" s="53">
        <v>60</v>
      </c>
      <c r="F43" s="32">
        <f t="shared" si="2"/>
        <v>5833</v>
      </c>
      <c r="G43" s="54">
        <v>0.46</v>
      </c>
      <c r="H43" s="6">
        <f t="shared" si="3"/>
        <v>2683</v>
      </c>
      <c r="I43" s="32">
        <f t="shared" si="4"/>
        <v>8516</v>
      </c>
      <c r="J43" s="24">
        <f t="shared" si="5"/>
        <v>41.099107562235794</v>
      </c>
      <c r="K43" s="105">
        <f>Q43+R42+S41+T40+U39+V38+W37+X36+Y35+Z34+AA33+AB32+AC31+AD30+AE29+AF28+AG27+AH26+AI25+AJ24+AK23+AL22+AM21+AN20+AO19+AP18+AQ17+AR16+AS15+AT14+AU13+AV12+AW11+AX10+AY9</f>
        <v>24339</v>
      </c>
      <c r="L43" s="107">
        <f t="shared" si="6"/>
        <v>37403</v>
      </c>
      <c r="M43" s="55">
        <f t="shared" si="7"/>
        <v>267.68668529333144</v>
      </c>
      <c r="N43" s="56">
        <f t="shared" si="8"/>
        <v>6.5131994627371723</v>
      </c>
      <c r="O43" s="34">
        <f t="shared" si="9"/>
        <v>0.65010887875426271</v>
      </c>
      <c r="P43" s="34"/>
      <c r="Q43" s="35">
        <f t="shared" si="10"/>
        <v>8516</v>
      </c>
      <c r="R43" s="11">
        <f t="shared" si="26"/>
        <v>2299</v>
      </c>
      <c r="S43" s="11">
        <f t="shared" si="26"/>
        <v>1380</v>
      </c>
      <c r="T43" s="11">
        <f t="shared" si="26"/>
        <v>1104</v>
      </c>
      <c r="U43" s="11">
        <f t="shared" si="26"/>
        <v>1012</v>
      </c>
      <c r="V43" s="11">
        <f t="shared" si="26"/>
        <v>920</v>
      </c>
      <c r="W43" s="11">
        <f t="shared" si="26"/>
        <v>828</v>
      </c>
      <c r="X43" s="11">
        <f t="shared" si="26"/>
        <v>736</v>
      </c>
      <c r="Y43" s="11">
        <f t="shared" si="26"/>
        <v>736</v>
      </c>
      <c r="Z43" s="11">
        <f t="shared" si="26"/>
        <v>736</v>
      </c>
      <c r="AA43" s="11">
        <f t="shared" si="26"/>
        <v>736</v>
      </c>
      <c r="AB43" s="11">
        <f t="shared" si="27"/>
        <v>736</v>
      </c>
      <c r="AC43" s="11">
        <f t="shared" si="27"/>
        <v>736</v>
      </c>
      <c r="AD43" s="11">
        <f t="shared" si="27"/>
        <v>736</v>
      </c>
      <c r="AE43" s="11">
        <f t="shared" si="27"/>
        <v>736</v>
      </c>
      <c r="AF43" s="10">
        <f t="shared" si="27"/>
        <v>736</v>
      </c>
      <c r="AG43" s="10">
        <f t="shared" si="27"/>
        <v>736</v>
      </c>
      <c r="AH43" s="10">
        <f t="shared" si="27"/>
        <v>736</v>
      </c>
      <c r="AI43" s="10">
        <f t="shared" si="27"/>
        <v>736</v>
      </c>
      <c r="AJ43" s="10">
        <f t="shared" si="27"/>
        <v>736</v>
      </c>
      <c r="AK43" s="10">
        <f t="shared" si="27"/>
        <v>736</v>
      </c>
      <c r="AL43" s="10">
        <f t="shared" si="28"/>
        <v>736</v>
      </c>
      <c r="AM43" s="10">
        <f t="shared" si="28"/>
        <v>736</v>
      </c>
      <c r="AN43" s="10">
        <f t="shared" si="28"/>
        <v>736</v>
      </c>
      <c r="AO43" s="10">
        <f t="shared" si="28"/>
        <v>736</v>
      </c>
      <c r="AP43" s="10">
        <f t="shared" si="28"/>
        <v>736</v>
      </c>
      <c r="AQ43" s="10">
        <f t="shared" si="28"/>
        <v>736</v>
      </c>
      <c r="AR43" s="10">
        <f t="shared" si="28"/>
        <v>736</v>
      </c>
      <c r="AS43" s="10">
        <f t="shared" si="28"/>
        <v>736</v>
      </c>
      <c r="AT43" s="10">
        <f t="shared" si="28"/>
        <v>736</v>
      </c>
      <c r="AU43" s="10">
        <f t="shared" si="28"/>
        <v>736</v>
      </c>
      <c r="AV43" s="10">
        <f t="shared" si="29"/>
        <v>736</v>
      </c>
      <c r="AW43" s="10">
        <f t="shared" si="29"/>
        <v>736</v>
      </c>
      <c r="AX43" s="10">
        <f t="shared" si="29"/>
        <v>736</v>
      </c>
      <c r="AY43" s="10">
        <f t="shared" si="29"/>
        <v>736</v>
      </c>
      <c r="AZ43" s="10">
        <f t="shared" si="29"/>
        <v>736</v>
      </c>
      <c r="BA43" s="10">
        <f t="shared" si="29"/>
        <v>736</v>
      </c>
      <c r="BB43" s="10">
        <f t="shared" si="29"/>
        <v>736</v>
      </c>
      <c r="BC43" s="10">
        <f t="shared" si="29"/>
        <v>736</v>
      </c>
      <c r="BD43" s="10">
        <f t="shared" si="29"/>
        <v>736</v>
      </c>
      <c r="BE43" s="10">
        <f t="shared" si="29"/>
        <v>736</v>
      </c>
      <c r="BF43" s="10">
        <f t="shared" si="30"/>
        <v>736</v>
      </c>
      <c r="BG43" s="10">
        <f t="shared" si="30"/>
        <v>736</v>
      </c>
      <c r="BH43" s="10">
        <f t="shared" si="30"/>
        <v>736</v>
      </c>
      <c r="BI43" s="10">
        <f t="shared" si="30"/>
        <v>736</v>
      </c>
      <c r="BJ43" s="10">
        <f t="shared" si="30"/>
        <v>736</v>
      </c>
      <c r="BK43" s="10">
        <f t="shared" si="30"/>
        <v>736</v>
      </c>
      <c r="BL43" s="10">
        <f t="shared" si="30"/>
        <v>736</v>
      </c>
      <c r="BM43" s="10">
        <f t="shared" si="30"/>
        <v>736</v>
      </c>
    </row>
    <row r="44" spans="1:65" x14ac:dyDescent="0.2">
      <c r="A44" s="39">
        <v>44136</v>
      </c>
      <c r="B44" s="53">
        <v>120</v>
      </c>
      <c r="C44" s="54">
        <v>0.08</v>
      </c>
      <c r="D44" s="53">
        <v>350000</v>
      </c>
      <c r="E44" s="53">
        <v>70</v>
      </c>
      <c r="F44" s="32">
        <f t="shared" si="2"/>
        <v>5000</v>
      </c>
      <c r="G44" s="54">
        <v>0.45</v>
      </c>
      <c r="H44" s="6">
        <f t="shared" si="3"/>
        <v>2250</v>
      </c>
      <c r="I44" s="32">
        <f t="shared" si="4"/>
        <v>7250</v>
      </c>
      <c r="J44" s="24">
        <f t="shared" si="5"/>
        <v>48.275862068965516</v>
      </c>
      <c r="K44" s="105">
        <f>Q44+R43+S42+T41+U40+V39+W38+X37+Y36+Z35+AA34+AB33+AC32+AD31+AE30+AF29+AG28+AH27+AI26+AJ25+AK24+AL23+AM22+AN21+AO20+AP19+AQ18+AR17+AS16+AT15+AU14+AV13+AW12+AX11+AY10+AZ9</f>
        <v>24040</v>
      </c>
      <c r="L44" s="107">
        <f t="shared" si="6"/>
        <v>31826</v>
      </c>
      <c r="M44" s="55">
        <f t="shared" si="7"/>
        <v>267.54697027022775</v>
      </c>
      <c r="N44" s="56">
        <f t="shared" si="8"/>
        <v>5.542044384169003</v>
      </c>
      <c r="O44" s="34">
        <f t="shared" si="9"/>
        <v>0.6984193011647255</v>
      </c>
      <c r="P44" s="34"/>
      <c r="Q44" s="35">
        <f t="shared" si="10"/>
        <v>7250</v>
      </c>
      <c r="R44" s="11">
        <f t="shared" si="26"/>
        <v>1958</v>
      </c>
      <c r="S44" s="11">
        <f t="shared" si="26"/>
        <v>1175</v>
      </c>
      <c r="T44" s="11">
        <f t="shared" si="26"/>
        <v>940</v>
      </c>
      <c r="U44" s="11">
        <f t="shared" si="26"/>
        <v>861</v>
      </c>
      <c r="V44" s="11">
        <f t="shared" si="26"/>
        <v>783</v>
      </c>
      <c r="W44" s="11">
        <f t="shared" si="26"/>
        <v>705</v>
      </c>
      <c r="X44" s="11">
        <f t="shared" si="26"/>
        <v>626</v>
      </c>
      <c r="Y44" s="11">
        <f t="shared" si="26"/>
        <v>626</v>
      </c>
      <c r="Z44" s="11">
        <f t="shared" si="26"/>
        <v>626</v>
      </c>
      <c r="AA44" s="11">
        <f t="shared" si="26"/>
        <v>626</v>
      </c>
      <c r="AB44" s="11">
        <f t="shared" si="27"/>
        <v>626</v>
      </c>
      <c r="AC44" s="11">
        <f t="shared" si="27"/>
        <v>626</v>
      </c>
      <c r="AD44" s="11">
        <f t="shared" si="27"/>
        <v>626</v>
      </c>
      <c r="AE44" s="10">
        <f t="shared" si="27"/>
        <v>626</v>
      </c>
      <c r="AF44" s="10">
        <f t="shared" si="27"/>
        <v>626</v>
      </c>
      <c r="AG44" s="10">
        <f t="shared" si="27"/>
        <v>626</v>
      </c>
      <c r="AH44" s="10">
        <f t="shared" si="27"/>
        <v>626</v>
      </c>
      <c r="AI44" s="10">
        <f t="shared" si="27"/>
        <v>626</v>
      </c>
      <c r="AJ44" s="10">
        <f t="shared" si="27"/>
        <v>626</v>
      </c>
      <c r="AK44" s="10">
        <f t="shared" si="27"/>
        <v>626</v>
      </c>
      <c r="AL44" s="10">
        <f t="shared" si="28"/>
        <v>626</v>
      </c>
      <c r="AM44" s="10">
        <f t="shared" si="28"/>
        <v>626</v>
      </c>
      <c r="AN44" s="10">
        <f t="shared" si="28"/>
        <v>626</v>
      </c>
      <c r="AO44" s="10">
        <f t="shared" si="28"/>
        <v>626</v>
      </c>
      <c r="AP44" s="10">
        <f t="shared" si="28"/>
        <v>626</v>
      </c>
      <c r="AQ44" s="10">
        <f t="shared" si="28"/>
        <v>626</v>
      </c>
      <c r="AR44" s="10">
        <f t="shared" si="28"/>
        <v>626</v>
      </c>
      <c r="AS44" s="10">
        <f t="shared" si="28"/>
        <v>626</v>
      </c>
      <c r="AT44" s="10">
        <f t="shared" si="28"/>
        <v>626</v>
      </c>
      <c r="AU44" s="10">
        <f t="shared" si="28"/>
        <v>626</v>
      </c>
      <c r="AV44" s="10">
        <f t="shared" si="29"/>
        <v>626</v>
      </c>
      <c r="AW44" s="10">
        <f t="shared" si="29"/>
        <v>626</v>
      </c>
      <c r="AX44" s="10">
        <f t="shared" si="29"/>
        <v>626</v>
      </c>
      <c r="AY44" s="10">
        <f t="shared" si="29"/>
        <v>626</v>
      </c>
      <c r="AZ44" s="10">
        <f t="shared" si="29"/>
        <v>626</v>
      </c>
      <c r="BA44" s="10">
        <f t="shared" si="29"/>
        <v>626</v>
      </c>
      <c r="BB44" s="10">
        <f t="shared" si="29"/>
        <v>626</v>
      </c>
      <c r="BC44" s="10">
        <f t="shared" si="29"/>
        <v>626</v>
      </c>
      <c r="BD44" s="10">
        <f t="shared" si="29"/>
        <v>626</v>
      </c>
      <c r="BE44" s="10">
        <f t="shared" si="29"/>
        <v>626</v>
      </c>
      <c r="BF44" s="10">
        <f t="shared" si="30"/>
        <v>626</v>
      </c>
      <c r="BG44" s="10">
        <f t="shared" si="30"/>
        <v>626</v>
      </c>
      <c r="BH44" s="10">
        <f t="shared" si="30"/>
        <v>626</v>
      </c>
      <c r="BI44" s="10">
        <f t="shared" si="30"/>
        <v>626</v>
      </c>
      <c r="BJ44" s="10">
        <f t="shared" si="30"/>
        <v>626</v>
      </c>
      <c r="BK44" s="10">
        <f t="shared" si="30"/>
        <v>626</v>
      </c>
      <c r="BL44" s="10">
        <f t="shared" si="30"/>
        <v>626</v>
      </c>
      <c r="BM44" s="10">
        <f t="shared" si="30"/>
        <v>626</v>
      </c>
    </row>
    <row r="45" spans="1:65" x14ac:dyDescent="0.2">
      <c r="A45" s="39">
        <v>44166</v>
      </c>
      <c r="B45" s="53">
        <v>120</v>
      </c>
      <c r="C45" s="54">
        <v>0.08</v>
      </c>
      <c r="D45" s="53">
        <v>350000</v>
      </c>
      <c r="E45" s="53">
        <v>70</v>
      </c>
      <c r="F45" s="32">
        <f t="shared" si="2"/>
        <v>5000</v>
      </c>
      <c r="G45" s="54">
        <v>0.44</v>
      </c>
      <c r="H45" s="6">
        <f t="shared" si="3"/>
        <v>2200</v>
      </c>
      <c r="I45" s="32">
        <f t="shared" si="4"/>
        <v>7200</v>
      </c>
      <c r="J45" s="24">
        <f t="shared" si="5"/>
        <v>48.611111111111114</v>
      </c>
      <c r="K45" s="105">
        <f>Q45+R44+S43+T42+U41+V40+W39+X38+Y37+Z36+AA35+AB34+AC33+AD32+AE31+AF30+AG29+AH28+AI27+AJ26+AK25+AL24+AM23+AN22+AO21+AP20+AQ19+AR18+AS17+AT16+AU15+AV14+AW13+AX12+AY11+AZ10+BA9</f>
        <v>24485</v>
      </c>
      <c r="L45" s="107">
        <f t="shared" si="6"/>
        <v>31614</v>
      </c>
      <c r="M45" s="55">
        <f t="shared" si="7"/>
        <v>267.61036969420354</v>
      </c>
      <c r="N45" s="56">
        <f t="shared" si="8"/>
        <v>5.5051276051379014</v>
      </c>
      <c r="O45" s="34">
        <f t="shared" si="9"/>
        <v>0.7059424137226874</v>
      </c>
      <c r="P45" s="34"/>
      <c r="Q45" s="35">
        <f t="shared" si="10"/>
        <v>7200</v>
      </c>
      <c r="R45" s="11">
        <f t="shared" si="26"/>
        <v>1944</v>
      </c>
      <c r="S45" s="11">
        <f t="shared" si="26"/>
        <v>1166</v>
      </c>
      <c r="T45" s="11">
        <f t="shared" si="26"/>
        <v>933</v>
      </c>
      <c r="U45" s="11">
        <f t="shared" si="26"/>
        <v>855</v>
      </c>
      <c r="V45" s="11">
        <f t="shared" si="26"/>
        <v>778</v>
      </c>
      <c r="W45" s="11">
        <f t="shared" si="26"/>
        <v>700</v>
      </c>
      <c r="X45" s="11">
        <f t="shared" si="26"/>
        <v>622</v>
      </c>
      <c r="Y45" s="11">
        <f t="shared" si="26"/>
        <v>622</v>
      </c>
      <c r="Z45" s="11">
        <f t="shared" si="26"/>
        <v>622</v>
      </c>
      <c r="AA45" s="11">
        <f t="shared" si="26"/>
        <v>622</v>
      </c>
      <c r="AB45" s="11">
        <f t="shared" si="27"/>
        <v>622</v>
      </c>
      <c r="AC45" s="11">
        <f t="shared" si="27"/>
        <v>622</v>
      </c>
      <c r="AD45" s="10">
        <f t="shared" si="27"/>
        <v>622</v>
      </c>
      <c r="AE45" s="10">
        <f t="shared" si="27"/>
        <v>622</v>
      </c>
      <c r="AF45" s="10">
        <f t="shared" si="27"/>
        <v>622</v>
      </c>
      <c r="AG45" s="10">
        <f t="shared" si="27"/>
        <v>622</v>
      </c>
      <c r="AH45" s="10">
        <f t="shared" si="27"/>
        <v>622</v>
      </c>
      <c r="AI45" s="10">
        <f t="shared" si="27"/>
        <v>622</v>
      </c>
      <c r="AJ45" s="10">
        <f t="shared" si="27"/>
        <v>622</v>
      </c>
      <c r="AK45" s="10">
        <f t="shared" si="27"/>
        <v>622</v>
      </c>
      <c r="AL45" s="10">
        <f t="shared" si="28"/>
        <v>622</v>
      </c>
      <c r="AM45" s="10">
        <f t="shared" si="28"/>
        <v>622</v>
      </c>
      <c r="AN45" s="10">
        <f t="shared" si="28"/>
        <v>622</v>
      </c>
      <c r="AO45" s="10">
        <f t="shared" si="28"/>
        <v>622</v>
      </c>
      <c r="AP45" s="10">
        <f t="shared" si="28"/>
        <v>622</v>
      </c>
      <c r="AQ45" s="10">
        <f t="shared" si="28"/>
        <v>622</v>
      </c>
      <c r="AR45" s="10">
        <f t="shared" si="28"/>
        <v>622</v>
      </c>
      <c r="AS45" s="10">
        <f t="shared" si="28"/>
        <v>622</v>
      </c>
      <c r="AT45" s="10">
        <f t="shared" si="28"/>
        <v>622</v>
      </c>
      <c r="AU45" s="10">
        <f t="shared" si="28"/>
        <v>622</v>
      </c>
      <c r="AV45" s="10">
        <f t="shared" si="29"/>
        <v>622</v>
      </c>
      <c r="AW45" s="10">
        <f t="shared" si="29"/>
        <v>622</v>
      </c>
      <c r="AX45" s="10">
        <f t="shared" si="29"/>
        <v>622</v>
      </c>
      <c r="AY45" s="10">
        <f t="shared" si="29"/>
        <v>622</v>
      </c>
      <c r="AZ45" s="10">
        <f t="shared" si="29"/>
        <v>622</v>
      </c>
      <c r="BA45" s="10">
        <f t="shared" si="29"/>
        <v>622</v>
      </c>
      <c r="BB45" s="10">
        <f t="shared" si="29"/>
        <v>622</v>
      </c>
      <c r="BC45" s="10">
        <f t="shared" si="29"/>
        <v>622</v>
      </c>
      <c r="BD45" s="10">
        <f t="shared" si="29"/>
        <v>622</v>
      </c>
      <c r="BE45" s="10">
        <f t="shared" si="29"/>
        <v>622</v>
      </c>
      <c r="BF45" s="10">
        <f t="shared" si="30"/>
        <v>622</v>
      </c>
      <c r="BG45" s="10">
        <f t="shared" si="30"/>
        <v>622</v>
      </c>
      <c r="BH45" s="10">
        <f t="shared" si="30"/>
        <v>622</v>
      </c>
      <c r="BI45" s="10">
        <f t="shared" si="30"/>
        <v>622</v>
      </c>
      <c r="BJ45" s="10">
        <f t="shared" si="30"/>
        <v>622</v>
      </c>
      <c r="BK45" s="10">
        <f t="shared" si="30"/>
        <v>622</v>
      </c>
      <c r="BL45" s="10">
        <f t="shared" si="30"/>
        <v>622</v>
      </c>
      <c r="BM45" s="10">
        <f t="shared" si="30"/>
        <v>622</v>
      </c>
    </row>
    <row r="46" spans="1:65" x14ac:dyDescent="0.2">
      <c r="A46" s="39">
        <v>44197</v>
      </c>
      <c r="B46" s="53">
        <v>130</v>
      </c>
      <c r="C46" s="54">
        <v>0.09</v>
      </c>
      <c r="D46" s="53">
        <v>400000</v>
      </c>
      <c r="E46" s="53">
        <v>70</v>
      </c>
      <c r="F46" s="32">
        <f t="shared" ref="F46:F57" si="31">ROUND(D46/E46,0)</f>
        <v>5714</v>
      </c>
      <c r="G46" s="54">
        <v>0.43</v>
      </c>
      <c r="H46" s="6">
        <f t="shared" si="3"/>
        <v>2457</v>
      </c>
      <c r="I46" s="32">
        <f t="shared" si="4"/>
        <v>8171</v>
      </c>
      <c r="J46" s="24">
        <f t="shared" si="5"/>
        <v>48.953616448415126</v>
      </c>
      <c r="K46" s="105">
        <f>Q46+R45+S44+T43+U42+V41+W40+X39+Y38+Z37+AA36+AB35+AC34+AD33+AE32+AF31+AG30+AH29+AI28+AJ27+AK26+AL25+AM24+AN23+AO22+AP21+AQ20+AR19+AS18+AT17+AU16+AV15+AW14+AX13+AY12+AZ11+BA10+BB9</f>
        <v>26029</v>
      </c>
      <c r="L46" s="107">
        <f t="shared" si="6"/>
        <v>36153</v>
      </c>
      <c r="M46" s="55">
        <f t="shared" si="7"/>
        <v>291.11014928524349</v>
      </c>
      <c r="N46" s="56">
        <f t="shared" si="8"/>
        <v>5.946652574524312</v>
      </c>
      <c r="O46" s="34">
        <f t="shared" si="9"/>
        <v>0.68608090975450464</v>
      </c>
      <c r="P46" s="34"/>
      <c r="Q46" s="35">
        <f t="shared" si="10"/>
        <v>8171</v>
      </c>
      <c r="R46" s="11">
        <f t="shared" si="26"/>
        <v>2227</v>
      </c>
      <c r="S46" s="11">
        <f t="shared" si="26"/>
        <v>1336</v>
      </c>
      <c r="T46" s="11">
        <f t="shared" si="26"/>
        <v>1069</v>
      </c>
      <c r="U46" s="11">
        <f t="shared" si="26"/>
        <v>980</v>
      </c>
      <c r="V46" s="11">
        <f t="shared" si="26"/>
        <v>891</v>
      </c>
      <c r="W46" s="11">
        <f t="shared" si="26"/>
        <v>802</v>
      </c>
      <c r="X46" s="11">
        <f t="shared" si="26"/>
        <v>713</v>
      </c>
      <c r="Y46" s="11">
        <f t="shared" si="26"/>
        <v>713</v>
      </c>
      <c r="Z46" s="11">
        <f t="shared" si="26"/>
        <v>713</v>
      </c>
      <c r="AA46" s="11">
        <f t="shared" si="26"/>
        <v>713</v>
      </c>
      <c r="AB46" s="11">
        <f t="shared" si="27"/>
        <v>713</v>
      </c>
      <c r="AC46" s="10">
        <f t="shared" si="27"/>
        <v>713</v>
      </c>
      <c r="AD46" s="10">
        <f t="shared" si="27"/>
        <v>713</v>
      </c>
      <c r="AE46" s="10">
        <f t="shared" si="27"/>
        <v>713</v>
      </c>
      <c r="AF46" s="10">
        <f t="shared" si="27"/>
        <v>713</v>
      </c>
      <c r="AG46" s="10">
        <f t="shared" si="27"/>
        <v>713</v>
      </c>
      <c r="AH46" s="10">
        <f t="shared" si="27"/>
        <v>713</v>
      </c>
      <c r="AI46" s="10">
        <f t="shared" si="27"/>
        <v>713</v>
      </c>
      <c r="AJ46" s="10">
        <f t="shared" si="27"/>
        <v>713</v>
      </c>
      <c r="AK46" s="10">
        <f t="shared" si="27"/>
        <v>713</v>
      </c>
      <c r="AL46" s="10">
        <f t="shared" si="28"/>
        <v>713</v>
      </c>
      <c r="AM46" s="10">
        <f t="shared" si="28"/>
        <v>713</v>
      </c>
      <c r="AN46" s="10">
        <f t="shared" si="28"/>
        <v>713</v>
      </c>
      <c r="AO46" s="10">
        <f t="shared" si="28"/>
        <v>713</v>
      </c>
      <c r="AP46" s="10">
        <f t="shared" si="28"/>
        <v>713</v>
      </c>
      <c r="AQ46" s="10">
        <f t="shared" si="28"/>
        <v>713</v>
      </c>
      <c r="AR46" s="10">
        <f t="shared" si="28"/>
        <v>713</v>
      </c>
      <c r="AS46" s="10">
        <f t="shared" si="28"/>
        <v>713</v>
      </c>
      <c r="AT46" s="10">
        <f t="shared" si="28"/>
        <v>713</v>
      </c>
      <c r="AU46" s="10">
        <f t="shared" si="28"/>
        <v>713</v>
      </c>
      <c r="AV46" s="10">
        <f t="shared" si="29"/>
        <v>713</v>
      </c>
      <c r="AW46" s="10">
        <f t="shared" si="29"/>
        <v>713</v>
      </c>
      <c r="AX46" s="10">
        <f t="shared" si="29"/>
        <v>713</v>
      </c>
      <c r="AY46" s="10">
        <f t="shared" si="29"/>
        <v>713</v>
      </c>
      <c r="AZ46" s="10">
        <f t="shared" si="29"/>
        <v>713</v>
      </c>
      <c r="BA46" s="10">
        <f t="shared" si="29"/>
        <v>713</v>
      </c>
      <c r="BB46" s="10">
        <f t="shared" si="29"/>
        <v>713</v>
      </c>
      <c r="BC46" s="10">
        <f t="shared" si="29"/>
        <v>713</v>
      </c>
      <c r="BD46" s="10">
        <f t="shared" si="29"/>
        <v>713</v>
      </c>
      <c r="BE46" s="10">
        <f t="shared" si="29"/>
        <v>713</v>
      </c>
      <c r="BF46" s="10">
        <f t="shared" si="30"/>
        <v>713</v>
      </c>
      <c r="BG46" s="10">
        <f t="shared" si="30"/>
        <v>713</v>
      </c>
      <c r="BH46" s="10">
        <f t="shared" si="30"/>
        <v>713</v>
      </c>
      <c r="BI46" s="10">
        <f t="shared" si="30"/>
        <v>713</v>
      </c>
      <c r="BJ46" s="10">
        <f t="shared" si="30"/>
        <v>713</v>
      </c>
      <c r="BK46" s="10">
        <f t="shared" si="30"/>
        <v>713</v>
      </c>
      <c r="BL46" s="10">
        <f t="shared" si="30"/>
        <v>713</v>
      </c>
      <c r="BM46" s="10">
        <f t="shared" si="30"/>
        <v>713</v>
      </c>
    </row>
    <row r="47" spans="1:65" x14ac:dyDescent="0.2">
      <c r="A47" s="39">
        <v>44228</v>
      </c>
      <c r="B47" s="53">
        <v>130</v>
      </c>
      <c r="C47" s="54">
        <v>0.09</v>
      </c>
      <c r="D47" s="53">
        <v>400000</v>
      </c>
      <c r="E47" s="53">
        <v>70</v>
      </c>
      <c r="F47" s="32">
        <f t="shared" si="31"/>
        <v>5714</v>
      </c>
      <c r="G47" s="54">
        <v>0.42</v>
      </c>
      <c r="H47" s="6">
        <f t="shared" si="3"/>
        <v>2400</v>
      </c>
      <c r="I47" s="32">
        <f t="shared" si="4"/>
        <v>8114</v>
      </c>
      <c r="J47" s="24">
        <f t="shared" si="5"/>
        <v>49.297510475720976</v>
      </c>
      <c r="K47" s="105">
        <f>Q47+R46+S45+T44+U43+V42+W41+X40+Y39+Z38+AA37+AB36+AC35+AD34+AE33+AF32+AG31+AH30+AI29+AJ28+AK27+AL26+AM25+AN24+AO23+AP22+AQ21+AR20+AS19+AT18+AU17+AV16+AW15+AX14+AY13+AZ12+BA11+BB10+BC9</f>
        <v>26857</v>
      </c>
      <c r="L47" s="107">
        <f t="shared" si="6"/>
        <v>35898</v>
      </c>
      <c r="M47" s="55">
        <f t="shared" si="7"/>
        <v>291.08743966135836</v>
      </c>
      <c r="N47" s="56">
        <f t="shared" si="8"/>
        <v>5.9047087135306544</v>
      </c>
      <c r="O47" s="34">
        <f t="shared" si="9"/>
        <v>0.69788137170942399</v>
      </c>
      <c r="P47" s="34"/>
      <c r="Q47" s="35">
        <f t="shared" si="10"/>
        <v>8114</v>
      </c>
      <c r="R47" s="11">
        <f t="shared" si="26"/>
        <v>2211</v>
      </c>
      <c r="S47" s="11">
        <f t="shared" si="26"/>
        <v>1327</v>
      </c>
      <c r="T47" s="11">
        <f t="shared" si="26"/>
        <v>1061</v>
      </c>
      <c r="U47" s="11">
        <f t="shared" si="26"/>
        <v>973</v>
      </c>
      <c r="V47" s="11">
        <f t="shared" si="26"/>
        <v>884</v>
      </c>
      <c r="W47" s="11">
        <f t="shared" si="26"/>
        <v>796</v>
      </c>
      <c r="X47" s="11">
        <f t="shared" si="26"/>
        <v>708</v>
      </c>
      <c r="Y47" s="11">
        <f t="shared" si="26"/>
        <v>708</v>
      </c>
      <c r="Z47" s="11">
        <f t="shared" si="26"/>
        <v>708</v>
      </c>
      <c r="AA47" s="11">
        <f t="shared" si="26"/>
        <v>708</v>
      </c>
      <c r="AB47" s="10">
        <f t="shared" si="27"/>
        <v>708</v>
      </c>
      <c r="AC47" s="10">
        <f t="shared" si="27"/>
        <v>708</v>
      </c>
      <c r="AD47" s="10">
        <f t="shared" si="27"/>
        <v>708</v>
      </c>
      <c r="AE47" s="10">
        <f t="shared" si="27"/>
        <v>708</v>
      </c>
      <c r="AF47" s="10">
        <f t="shared" si="27"/>
        <v>708</v>
      </c>
      <c r="AG47" s="10">
        <f t="shared" si="27"/>
        <v>708</v>
      </c>
      <c r="AH47" s="10">
        <f t="shared" si="27"/>
        <v>708</v>
      </c>
      <c r="AI47" s="10">
        <f t="shared" si="27"/>
        <v>708</v>
      </c>
      <c r="AJ47" s="10">
        <f t="shared" si="27"/>
        <v>708</v>
      </c>
      <c r="AK47" s="10">
        <f t="shared" si="27"/>
        <v>708</v>
      </c>
      <c r="AL47" s="10">
        <f t="shared" si="28"/>
        <v>708</v>
      </c>
      <c r="AM47" s="10">
        <f t="shared" si="28"/>
        <v>708</v>
      </c>
      <c r="AN47" s="10">
        <f t="shared" si="28"/>
        <v>708</v>
      </c>
      <c r="AO47" s="10">
        <f t="shared" si="28"/>
        <v>708</v>
      </c>
      <c r="AP47" s="10">
        <f t="shared" si="28"/>
        <v>708</v>
      </c>
      <c r="AQ47" s="10">
        <f t="shared" si="28"/>
        <v>708</v>
      </c>
      <c r="AR47" s="10">
        <f t="shared" si="28"/>
        <v>708</v>
      </c>
      <c r="AS47" s="10">
        <f t="shared" si="28"/>
        <v>708</v>
      </c>
      <c r="AT47" s="10">
        <f t="shared" si="28"/>
        <v>708</v>
      </c>
      <c r="AU47" s="10">
        <f t="shared" si="28"/>
        <v>708</v>
      </c>
      <c r="AV47" s="10">
        <f t="shared" si="29"/>
        <v>708</v>
      </c>
      <c r="AW47" s="10">
        <f t="shared" si="29"/>
        <v>708</v>
      </c>
      <c r="AX47" s="10">
        <f t="shared" si="29"/>
        <v>708</v>
      </c>
      <c r="AY47" s="10">
        <f t="shared" si="29"/>
        <v>708</v>
      </c>
      <c r="AZ47" s="10">
        <f t="shared" si="29"/>
        <v>708</v>
      </c>
      <c r="BA47" s="10">
        <f t="shared" si="29"/>
        <v>708</v>
      </c>
      <c r="BB47" s="10">
        <f t="shared" si="29"/>
        <v>708</v>
      </c>
      <c r="BC47" s="10">
        <f t="shared" si="29"/>
        <v>708</v>
      </c>
      <c r="BD47" s="10">
        <f t="shared" si="29"/>
        <v>708</v>
      </c>
      <c r="BE47" s="10">
        <f t="shared" si="29"/>
        <v>708</v>
      </c>
      <c r="BF47" s="10">
        <f t="shared" si="30"/>
        <v>708</v>
      </c>
      <c r="BG47" s="10">
        <f t="shared" si="30"/>
        <v>708</v>
      </c>
      <c r="BH47" s="10">
        <f t="shared" si="30"/>
        <v>708</v>
      </c>
      <c r="BI47" s="10">
        <f t="shared" si="30"/>
        <v>708</v>
      </c>
      <c r="BJ47" s="10">
        <f t="shared" si="30"/>
        <v>708</v>
      </c>
      <c r="BK47" s="10">
        <f t="shared" si="30"/>
        <v>708</v>
      </c>
      <c r="BL47" s="10">
        <f t="shared" si="30"/>
        <v>708</v>
      </c>
      <c r="BM47" s="10">
        <f t="shared" si="30"/>
        <v>708</v>
      </c>
    </row>
    <row r="48" spans="1:65" x14ac:dyDescent="0.2">
      <c r="A48" s="39">
        <v>44256</v>
      </c>
      <c r="B48" s="53">
        <v>130</v>
      </c>
      <c r="C48" s="54">
        <v>0.09</v>
      </c>
      <c r="D48" s="53">
        <v>400000</v>
      </c>
      <c r="E48" s="53">
        <v>70</v>
      </c>
      <c r="F48" s="32">
        <f t="shared" si="31"/>
        <v>5714</v>
      </c>
      <c r="G48" s="54">
        <v>0.41</v>
      </c>
      <c r="H48" s="6">
        <f t="shared" si="3"/>
        <v>2343</v>
      </c>
      <c r="I48" s="32">
        <f t="shared" si="4"/>
        <v>8057</v>
      </c>
      <c r="J48" s="24">
        <f t="shared" si="5"/>
        <v>49.646270323941913</v>
      </c>
      <c r="K48" s="105">
        <f>Q48+R47+S46+T45+U44+V43+W42+X41+Y40+Z39+AA38+AB37+AC36+AD35+AE34+AF33+AG32+AH31+AI30+AJ29+AK28+AL27+AM26+AN25+AO24+AP23+AQ22+AR21+AS20+AT19+AU18+AV17+AW16+AX15+AY14+AZ13+BA12+BB11+BC10+BD9</f>
        <v>27556</v>
      </c>
      <c r="L48" s="107">
        <f t="shared" si="6"/>
        <v>35645</v>
      </c>
      <c r="M48" s="55">
        <f t="shared" si="7"/>
        <v>291.08074092072837</v>
      </c>
      <c r="N48" s="56">
        <f t="shared" si="8"/>
        <v>5.8630938239957713</v>
      </c>
      <c r="O48" s="34">
        <f t="shared" si="9"/>
        <v>0.70761358687763098</v>
      </c>
      <c r="P48" s="34"/>
      <c r="Q48" s="35">
        <f t="shared" si="10"/>
        <v>8057</v>
      </c>
      <c r="R48" s="11">
        <f t="shared" si="26"/>
        <v>2196</v>
      </c>
      <c r="S48" s="11">
        <f t="shared" si="26"/>
        <v>1317</v>
      </c>
      <c r="T48" s="11">
        <f t="shared" si="26"/>
        <v>1054</v>
      </c>
      <c r="U48" s="11">
        <f t="shared" si="26"/>
        <v>966</v>
      </c>
      <c r="V48" s="11">
        <f t="shared" si="26"/>
        <v>878</v>
      </c>
      <c r="W48" s="11">
        <f t="shared" si="26"/>
        <v>790</v>
      </c>
      <c r="X48" s="11">
        <f t="shared" si="26"/>
        <v>703</v>
      </c>
      <c r="Y48" s="11">
        <f t="shared" si="26"/>
        <v>703</v>
      </c>
      <c r="Z48" s="11">
        <f t="shared" si="26"/>
        <v>703</v>
      </c>
      <c r="AA48" s="10">
        <f t="shared" si="26"/>
        <v>703</v>
      </c>
      <c r="AB48" s="10">
        <f t="shared" si="27"/>
        <v>703</v>
      </c>
      <c r="AC48" s="10">
        <f t="shared" si="27"/>
        <v>703</v>
      </c>
      <c r="AD48" s="10">
        <f t="shared" si="27"/>
        <v>703</v>
      </c>
      <c r="AE48" s="10">
        <f t="shared" si="27"/>
        <v>703</v>
      </c>
      <c r="AF48" s="10">
        <f t="shared" si="27"/>
        <v>703</v>
      </c>
      <c r="AG48" s="10">
        <f t="shared" si="27"/>
        <v>703</v>
      </c>
      <c r="AH48" s="10">
        <f t="shared" si="27"/>
        <v>703</v>
      </c>
      <c r="AI48" s="10">
        <f t="shared" si="27"/>
        <v>703</v>
      </c>
      <c r="AJ48" s="10">
        <f t="shared" si="27"/>
        <v>703</v>
      </c>
      <c r="AK48" s="10">
        <f t="shared" si="27"/>
        <v>703</v>
      </c>
      <c r="AL48" s="10">
        <f t="shared" si="28"/>
        <v>703</v>
      </c>
      <c r="AM48" s="10">
        <f t="shared" si="28"/>
        <v>703</v>
      </c>
      <c r="AN48" s="10">
        <f t="shared" si="28"/>
        <v>703</v>
      </c>
      <c r="AO48" s="10">
        <f t="shared" si="28"/>
        <v>703</v>
      </c>
      <c r="AP48" s="10">
        <f t="shared" si="28"/>
        <v>703</v>
      </c>
      <c r="AQ48" s="10">
        <f t="shared" si="28"/>
        <v>703</v>
      </c>
      <c r="AR48" s="10">
        <f t="shared" si="28"/>
        <v>703</v>
      </c>
      <c r="AS48" s="10">
        <f t="shared" si="28"/>
        <v>703</v>
      </c>
      <c r="AT48" s="10">
        <f t="shared" si="28"/>
        <v>703</v>
      </c>
      <c r="AU48" s="10">
        <f t="shared" si="28"/>
        <v>703</v>
      </c>
      <c r="AV48" s="10">
        <f t="shared" si="29"/>
        <v>703</v>
      </c>
      <c r="AW48" s="10">
        <f t="shared" si="29"/>
        <v>703</v>
      </c>
      <c r="AX48" s="10">
        <f t="shared" si="29"/>
        <v>703</v>
      </c>
      <c r="AY48" s="10">
        <f t="shared" si="29"/>
        <v>703</v>
      </c>
      <c r="AZ48" s="10">
        <f t="shared" si="29"/>
        <v>703</v>
      </c>
      <c r="BA48" s="10">
        <f t="shared" si="29"/>
        <v>703</v>
      </c>
      <c r="BB48" s="10">
        <f t="shared" si="29"/>
        <v>703</v>
      </c>
      <c r="BC48" s="10">
        <f t="shared" si="29"/>
        <v>703</v>
      </c>
      <c r="BD48" s="10">
        <f t="shared" si="29"/>
        <v>703</v>
      </c>
      <c r="BE48" s="10">
        <f t="shared" si="29"/>
        <v>703</v>
      </c>
      <c r="BF48" s="10">
        <f t="shared" si="30"/>
        <v>703</v>
      </c>
      <c r="BG48" s="10">
        <f t="shared" si="30"/>
        <v>703</v>
      </c>
      <c r="BH48" s="10">
        <f t="shared" si="30"/>
        <v>703</v>
      </c>
      <c r="BI48" s="10">
        <f t="shared" si="30"/>
        <v>703</v>
      </c>
      <c r="BJ48" s="10">
        <f t="shared" si="30"/>
        <v>703</v>
      </c>
      <c r="BK48" s="10">
        <f t="shared" si="30"/>
        <v>703</v>
      </c>
      <c r="BL48" s="10">
        <f t="shared" si="30"/>
        <v>703</v>
      </c>
      <c r="BM48" s="10">
        <f t="shared" si="30"/>
        <v>703</v>
      </c>
    </row>
    <row r="49" spans="1:65" x14ac:dyDescent="0.2">
      <c r="A49" s="39">
        <v>44287</v>
      </c>
      <c r="B49" s="53">
        <v>130</v>
      </c>
      <c r="C49" s="54">
        <v>0.1</v>
      </c>
      <c r="D49" s="53">
        <v>450000</v>
      </c>
      <c r="E49" s="53">
        <v>70</v>
      </c>
      <c r="F49" s="32">
        <f t="shared" si="31"/>
        <v>6429</v>
      </c>
      <c r="G49" s="54">
        <v>0.4</v>
      </c>
      <c r="H49" s="6">
        <f t="shared" si="3"/>
        <v>2572</v>
      </c>
      <c r="I49" s="32">
        <f t="shared" si="4"/>
        <v>9001</v>
      </c>
      <c r="J49" s="24">
        <f t="shared" si="5"/>
        <v>49.994445061659817</v>
      </c>
      <c r="K49" s="105">
        <f>Q49+R48+S47+T46+U45+V44+W43+X42+Y41+Z40+AA39+AB38+AC37+AD36+AE35+AF34+AG33+AH32+AI31+AJ30+AK29+AL28+AM27+AN26+AO25+AP24+AQ23+AR22+AS21+AT20+AU19+AV18+AW17+AX16+AY15+AZ14+BA13+BB12+BC11+BD10+BE9</f>
        <v>29218</v>
      </c>
      <c r="L49" s="107">
        <f t="shared" si="6"/>
        <v>40087</v>
      </c>
      <c r="M49" s="55">
        <f t="shared" si="7"/>
        <v>293.02252789389382</v>
      </c>
      <c r="N49" s="56">
        <f t="shared" si="8"/>
        <v>5.861101719050974</v>
      </c>
      <c r="O49" s="34">
        <f t="shared" si="9"/>
        <v>0.69193647751386134</v>
      </c>
      <c r="P49" s="34"/>
      <c r="Q49" s="35">
        <f t="shared" si="10"/>
        <v>9001</v>
      </c>
      <c r="R49" s="11">
        <f t="shared" si="26"/>
        <v>2475</v>
      </c>
      <c r="S49" s="11">
        <f t="shared" si="26"/>
        <v>1485</v>
      </c>
      <c r="T49" s="11">
        <f t="shared" si="26"/>
        <v>1188</v>
      </c>
      <c r="U49" s="11">
        <f t="shared" si="26"/>
        <v>1089</v>
      </c>
      <c r="V49" s="11">
        <f t="shared" si="26"/>
        <v>990</v>
      </c>
      <c r="W49" s="11">
        <f t="shared" si="26"/>
        <v>891</v>
      </c>
      <c r="X49" s="11">
        <f t="shared" si="26"/>
        <v>792</v>
      </c>
      <c r="Y49" s="11">
        <f t="shared" si="26"/>
        <v>792</v>
      </c>
      <c r="Z49" s="10">
        <f t="shared" si="26"/>
        <v>792</v>
      </c>
      <c r="AA49" s="10">
        <f t="shared" si="26"/>
        <v>792</v>
      </c>
      <c r="AB49" s="10">
        <f t="shared" si="27"/>
        <v>792</v>
      </c>
      <c r="AC49" s="10">
        <f t="shared" si="27"/>
        <v>792</v>
      </c>
      <c r="AD49" s="10">
        <f t="shared" si="27"/>
        <v>792</v>
      </c>
      <c r="AE49" s="10">
        <f t="shared" si="27"/>
        <v>792</v>
      </c>
      <c r="AF49" s="10">
        <f t="shared" si="27"/>
        <v>792</v>
      </c>
      <c r="AG49" s="10">
        <f t="shared" si="27"/>
        <v>792</v>
      </c>
      <c r="AH49" s="10">
        <f t="shared" si="27"/>
        <v>792</v>
      </c>
      <c r="AI49" s="10">
        <f t="shared" si="27"/>
        <v>792</v>
      </c>
      <c r="AJ49" s="10">
        <f t="shared" si="27"/>
        <v>792</v>
      </c>
      <c r="AK49" s="10">
        <f t="shared" si="27"/>
        <v>792</v>
      </c>
      <c r="AL49" s="10">
        <f t="shared" si="28"/>
        <v>792</v>
      </c>
      <c r="AM49" s="10">
        <f t="shared" si="28"/>
        <v>792</v>
      </c>
      <c r="AN49" s="10">
        <f t="shared" si="28"/>
        <v>792</v>
      </c>
      <c r="AO49" s="10">
        <f t="shared" si="28"/>
        <v>792</v>
      </c>
      <c r="AP49" s="10">
        <f t="shared" si="28"/>
        <v>792</v>
      </c>
      <c r="AQ49" s="10">
        <f t="shared" si="28"/>
        <v>792</v>
      </c>
      <c r="AR49" s="10">
        <f t="shared" si="28"/>
        <v>792</v>
      </c>
      <c r="AS49" s="10">
        <f t="shared" si="28"/>
        <v>792</v>
      </c>
      <c r="AT49" s="10">
        <f t="shared" si="28"/>
        <v>792</v>
      </c>
      <c r="AU49" s="10">
        <f t="shared" si="28"/>
        <v>792</v>
      </c>
      <c r="AV49" s="10">
        <f t="shared" si="29"/>
        <v>792</v>
      </c>
      <c r="AW49" s="10">
        <f t="shared" si="29"/>
        <v>792</v>
      </c>
      <c r="AX49" s="10">
        <f t="shared" si="29"/>
        <v>792</v>
      </c>
      <c r="AY49" s="10">
        <f t="shared" si="29"/>
        <v>792</v>
      </c>
      <c r="AZ49" s="10">
        <f t="shared" si="29"/>
        <v>792</v>
      </c>
      <c r="BA49" s="10">
        <f t="shared" si="29"/>
        <v>792</v>
      </c>
      <c r="BB49" s="10">
        <f t="shared" si="29"/>
        <v>792</v>
      </c>
      <c r="BC49" s="10">
        <f t="shared" si="29"/>
        <v>792</v>
      </c>
      <c r="BD49" s="10">
        <f t="shared" si="29"/>
        <v>792</v>
      </c>
      <c r="BE49" s="10">
        <f t="shared" si="29"/>
        <v>792</v>
      </c>
      <c r="BF49" s="10">
        <f t="shared" si="30"/>
        <v>792</v>
      </c>
      <c r="BG49" s="10">
        <f t="shared" si="30"/>
        <v>792</v>
      </c>
      <c r="BH49" s="10">
        <f t="shared" si="30"/>
        <v>792</v>
      </c>
      <c r="BI49" s="10">
        <f t="shared" si="30"/>
        <v>792</v>
      </c>
      <c r="BJ49" s="10">
        <f t="shared" si="30"/>
        <v>792</v>
      </c>
      <c r="BK49" s="10">
        <f t="shared" si="30"/>
        <v>792</v>
      </c>
      <c r="BL49" s="10">
        <f t="shared" si="30"/>
        <v>792</v>
      </c>
      <c r="BM49" s="10">
        <f t="shared" si="30"/>
        <v>792</v>
      </c>
    </row>
    <row r="50" spans="1:65" x14ac:dyDescent="0.2">
      <c r="A50" s="39">
        <v>44317</v>
      </c>
      <c r="B50" s="53">
        <v>130</v>
      </c>
      <c r="C50" s="54">
        <v>0.1</v>
      </c>
      <c r="D50" s="53">
        <v>450000</v>
      </c>
      <c r="E50" s="53">
        <v>70</v>
      </c>
      <c r="F50" s="32">
        <f t="shared" si="31"/>
        <v>6429</v>
      </c>
      <c r="G50" s="54">
        <v>0.4</v>
      </c>
      <c r="H50" s="6">
        <f t="shared" si="3"/>
        <v>2572</v>
      </c>
      <c r="I50" s="32">
        <f t="shared" si="4"/>
        <v>9001</v>
      </c>
      <c r="J50" s="24">
        <f t="shared" si="5"/>
        <v>49.994445061659817</v>
      </c>
      <c r="K50" s="105">
        <f>Q50+R49+S48+T47+U46+V45+W44+X43+Y42+Z41+AA40+AB39+AC38+AD37+AE36+AF35+AG34+AH33+AI32+AJ31+AK30+AL29+AM28+AN27+AO26+AP25+AQ24+AR23+AS22+AT21+AU20+AV19+AW18+AX17+AY16+AZ15+BA14+BB13+BC12+BD11+BE10+BF9</f>
        <v>30212</v>
      </c>
      <c r="L50" s="107">
        <f t="shared" si="6"/>
        <v>40087</v>
      </c>
      <c r="M50" s="55">
        <f t="shared" si="7"/>
        <v>293.02252789389382</v>
      </c>
      <c r="N50" s="56">
        <f t="shared" si="8"/>
        <v>5.861101719050974</v>
      </c>
      <c r="O50" s="34">
        <f t="shared" si="9"/>
        <v>0.70207202436118099</v>
      </c>
      <c r="P50" s="34"/>
      <c r="Q50" s="35">
        <f t="shared" si="10"/>
        <v>9001</v>
      </c>
      <c r="R50" s="11">
        <f t="shared" ref="R50:AA57" si="32">ROUND($Q50*R$4*(1+$C50),0)</f>
        <v>2475</v>
      </c>
      <c r="S50" s="11">
        <f t="shared" si="32"/>
        <v>1485</v>
      </c>
      <c r="T50" s="11">
        <f t="shared" si="32"/>
        <v>1188</v>
      </c>
      <c r="U50" s="11">
        <f t="shared" si="32"/>
        <v>1089</v>
      </c>
      <c r="V50" s="11">
        <f t="shared" si="32"/>
        <v>990</v>
      </c>
      <c r="W50" s="11">
        <f t="shared" si="32"/>
        <v>891</v>
      </c>
      <c r="X50" s="11">
        <f t="shared" si="32"/>
        <v>792</v>
      </c>
      <c r="Y50" s="10">
        <f t="shared" si="32"/>
        <v>792</v>
      </c>
      <c r="Z50" s="10">
        <f t="shared" si="32"/>
        <v>792</v>
      </c>
      <c r="AA50" s="10">
        <f t="shared" si="32"/>
        <v>792</v>
      </c>
      <c r="AB50" s="10">
        <f t="shared" ref="AB50:AK57" si="33">ROUND($Q50*AB$4*(1+$C50),0)</f>
        <v>792</v>
      </c>
      <c r="AC50" s="10">
        <f t="shared" si="33"/>
        <v>792</v>
      </c>
      <c r="AD50" s="10">
        <f t="shared" si="33"/>
        <v>792</v>
      </c>
      <c r="AE50" s="10">
        <f t="shared" si="33"/>
        <v>792</v>
      </c>
      <c r="AF50" s="10">
        <f t="shared" si="33"/>
        <v>792</v>
      </c>
      <c r="AG50" s="10">
        <f t="shared" si="33"/>
        <v>792</v>
      </c>
      <c r="AH50" s="10">
        <f t="shared" si="33"/>
        <v>792</v>
      </c>
      <c r="AI50" s="10">
        <f t="shared" si="33"/>
        <v>792</v>
      </c>
      <c r="AJ50" s="10">
        <f t="shared" si="33"/>
        <v>792</v>
      </c>
      <c r="AK50" s="10">
        <f t="shared" si="33"/>
        <v>792</v>
      </c>
      <c r="AL50" s="10">
        <f t="shared" ref="AL50:AU57" si="34">ROUND($Q50*AL$4*(1+$C50),0)</f>
        <v>792</v>
      </c>
      <c r="AM50" s="10">
        <f t="shared" si="34"/>
        <v>792</v>
      </c>
      <c r="AN50" s="10">
        <f t="shared" si="34"/>
        <v>792</v>
      </c>
      <c r="AO50" s="10">
        <f t="shared" si="34"/>
        <v>792</v>
      </c>
      <c r="AP50" s="10">
        <f t="shared" si="34"/>
        <v>792</v>
      </c>
      <c r="AQ50" s="10">
        <f t="shared" si="34"/>
        <v>792</v>
      </c>
      <c r="AR50" s="10">
        <f t="shared" si="34"/>
        <v>792</v>
      </c>
      <c r="AS50" s="10">
        <f t="shared" si="34"/>
        <v>792</v>
      </c>
      <c r="AT50" s="10">
        <f t="shared" si="34"/>
        <v>792</v>
      </c>
      <c r="AU50" s="10">
        <f t="shared" si="34"/>
        <v>792</v>
      </c>
      <c r="AV50" s="10">
        <f t="shared" ref="AV50:BE57" si="35">ROUND($Q50*AV$4*(1+$C50),0)</f>
        <v>792</v>
      </c>
      <c r="AW50" s="10">
        <f t="shared" si="35"/>
        <v>792</v>
      </c>
      <c r="AX50" s="10">
        <f t="shared" si="35"/>
        <v>792</v>
      </c>
      <c r="AY50" s="10">
        <f t="shared" si="35"/>
        <v>792</v>
      </c>
      <c r="AZ50" s="10">
        <f t="shared" si="35"/>
        <v>792</v>
      </c>
      <c r="BA50" s="10">
        <f t="shared" si="35"/>
        <v>792</v>
      </c>
      <c r="BB50" s="10">
        <f t="shared" si="35"/>
        <v>792</v>
      </c>
      <c r="BC50" s="10">
        <f t="shared" si="35"/>
        <v>792</v>
      </c>
      <c r="BD50" s="10">
        <f t="shared" si="35"/>
        <v>792</v>
      </c>
      <c r="BE50" s="10">
        <f t="shared" si="35"/>
        <v>792</v>
      </c>
      <c r="BF50" s="10">
        <f t="shared" ref="BF50:BM57" si="36">ROUND($Q50*BF$4*(1+$C50),0)</f>
        <v>792</v>
      </c>
      <c r="BG50" s="10">
        <f t="shared" si="36"/>
        <v>792</v>
      </c>
      <c r="BH50" s="10">
        <f t="shared" si="36"/>
        <v>792</v>
      </c>
      <c r="BI50" s="10">
        <f t="shared" si="36"/>
        <v>792</v>
      </c>
      <c r="BJ50" s="10">
        <f t="shared" si="36"/>
        <v>792</v>
      </c>
      <c r="BK50" s="10">
        <f t="shared" si="36"/>
        <v>792</v>
      </c>
      <c r="BL50" s="10">
        <f t="shared" si="36"/>
        <v>792</v>
      </c>
      <c r="BM50" s="10">
        <f t="shared" si="36"/>
        <v>792</v>
      </c>
    </row>
    <row r="51" spans="1:65" x14ac:dyDescent="0.2">
      <c r="A51" s="39">
        <v>44348</v>
      </c>
      <c r="B51" s="53">
        <v>130</v>
      </c>
      <c r="C51" s="54">
        <v>0.1</v>
      </c>
      <c r="D51" s="53">
        <v>450000</v>
      </c>
      <c r="E51" s="53">
        <v>70</v>
      </c>
      <c r="F51" s="32">
        <f t="shared" si="31"/>
        <v>6429</v>
      </c>
      <c r="G51" s="54">
        <v>0.4</v>
      </c>
      <c r="H51" s="6">
        <f t="shared" si="3"/>
        <v>2572</v>
      </c>
      <c r="I51" s="32">
        <f t="shared" si="4"/>
        <v>9001</v>
      </c>
      <c r="J51" s="24">
        <f t="shared" si="5"/>
        <v>49.994445061659817</v>
      </c>
      <c r="K51" s="105">
        <f>Q51+R50+S49+T48+U47+V46+W45+X44+Y43+Z42+AA41+AB40+AC39+AD38+AE37+AF36+AG35+AH34+AI33+AJ32+AK31+AL30+AM29+AN28+AO27+AP26+AQ25+AR24+AS23+AT22+AU21+AV20+AW19+AX18+AY17+AZ16+BA15+BB14+BC13+BD12+BE11+BF10+BG9</f>
        <v>31100</v>
      </c>
      <c r="L51" s="107">
        <f t="shared" si="6"/>
        <v>40087</v>
      </c>
      <c r="M51" s="55">
        <f t="shared" si="7"/>
        <v>293.02252789389382</v>
      </c>
      <c r="N51" s="56">
        <f t="shared" si="8"/>
        <v>5.861101719050974</v>
      </c>
      <c r="O51" s="34">
        <f t="shared" si="9"/>
        <v>0.71057877813504822</v>
      </c>
      <c r="P51" s="34"/>
      <c r="Q51" s="35">
        <f t="shared" si="10"/>
        <v>9001</v>
      </c>
      <c r="R51" s="11">
        <f t="shared" si="32"/>
        <v>2475</v>
      </c>
      <c r="S51" s="11">
        <f t="shared" si="32"/>
        <v>1485</v>
      </c>
      <c r="T51" s="11">
        <f t="shared" si="32"/>
        <v>1188</v>
      </c>
      <c r="U51" s="11">
        <f t="shared" si="32"/>
        <v>1089</v>
      </c>
      <c r="V51" s="11">
        <f t="shared" si="32"/>
        <v>990</v>
      </c>
      <c r="W51" s="11">
        <f t="shared" si="32"/>
        <v>891</v>
      </c>
      <c r="X51" s="10">
        <f t="shared" si="32"/>
        <v>792</v>
      </c>
      <c r="Y51" s="10">
        <f t="shared" si="32"/>
        <v>792</v>
      </c>
      <c r="Z51" s="10">
        <f t="shared" si="32"/>
        <v>792</v>
      </c>
      <c r="AA51" s="10">
        <f t="shared" si="32"/>
        <v>792</v>
      </c>
      <c r="AB51" s="10">
        <f t="shared" si="33"/>
        <v>792</v>
      </c>
      <c r="AC51" s="10">
        <f t="shared" si="33"/>
        <v>792</v>
      </c>
      <c r="AD51" s="10">
        <f t="shared" si="33"/>
        <v>792</v>
      </c>
      <c r="AE51" s="10">
        <f t="shared" si="33"/>
        <v>792</v>
      </c>
      <c r="AF51" s="10">
        <f t="shared" si="33"/>
        <v>792</v>
      </c>
      <c r="AG51" s="10">
        <f t="shared" si="33"/>
        <v>792</v>
      </c>
      <c r="AH51" s="10">
        <f t="shared" si="33"/>
        <v>792</v>
      </c>
      <c r="AI51" s="10">
        <f t="shared" si="33"/>
        <v>792</v>
      </c>
      <c r="AJ51" s="10">
        <f t="shared" si="33"/>
        <v>792</v>
      </c>
      <c r="AK51" s="10">
        <f t="shared" si="33"/>
        <v>792</v>
      </c>
      <c r="AL51" s="10">
        <f t="shared" si="34"/>
        <v>792</v>
      </c>
      <c r="AM51" s="10">
        <f t="shared" si="34"/>
        <v>792</v>
      </c>
      <c r="AN51" s="10">
        <f t="shared" si="34"/>
        <v>792</v>
      </c>
      <c r="AO51" s="10">
        <f t="shared" si="34"/>
        <v>792</v>
      </c>
      <c r="AP51" s="10">
        <f t="shared" si="34"/>
        <v>792</v>
      </c>
      <c r="AQ51" s="10">
        <f t="shared" si="34"/>
        <v>792</v>
      </c>
      <c r="AR51" s="10">
        <f t="shared" si="34"/>
        <v>792</v>
      </c>
      <c r="AS51" s="10">
        <f t="shared" si="34"/>
        <v>792</v>
      </c>
      <c r="AT51" s="10">
        <f t="shared" si="34"/>
        <v>792</v>
      </c>
      <c r="AU51" s="10">
        <f t="shared" si="34"/>
        <v>792</v>
      </c>
      <c r="AV51" s="10">
        <f t="shared" si="35"/>
        <v>792</v>
      </c>
      <c r="AW51" s="10">
        <f t="shared" si="35"/>
        <v>792</v>
      </c>
      <c r="AX51" s="10">
        <f t="shared" si="35"/>
        <v>792</v>
      </c>
      <c r="AY51" s="10">
        <f t="shared" si="35"/>
        <v>792</v>
      </c>
      <c r="AZ51" s="10">
        <f t="shared" si="35"/>
        <v>792</v>
      </c>
      <c r="BA51" s="10">
        <f t="shared" si="35"/>
        <v>792</v>
      </c>
      <c r="BB51" s="10">
        <f t="shared" si="35"/>
        <v>792</v>
      </c>
      <c r="BC51" s="10">
        <f t="shared" si="35"/>
        <v>792</v>
      </c>
      <c r="BD51" s="10">
        <f t="shared" si="35"/>
        <v>792</v>
      </c>
      <c r="BE51" s="10">
        <f t="shared" si="35"/>
        <v>792</v>
      </c>
      <c r="BF51" s="10">
        <f t="shared" si="36"/>
        <v>792</v>
      </c>
      <c r="BG51" s="10">
        <f t="shared" si="36"/>
        <v>792</v>
      </c>
      <c r="BH51" s="10">
        <f t="shared" si="36"/>
        <v>792</v>
      </c>
      <c r="BI51" s="10">
        <f t="shared" si="36"/>
        <v>792</v>
      </c>
      <c r="BJ51" s="10">
        <f t="shared" si="36"/>
        <v>792</v>
      </c>
      <c r="BK51" s="10">
        <f t="shared" si="36"/>
        <v>792</v>
      </c>
      <c r="BL51" s="10">
        <f t="shared" si="36"/>
        <v>792</v>
      </c>
      <c r="BM51" s="10">
        <f t="shared" si="36"/>
        <v>792</v>
      </c>
    </row>
    <row r="52" spans="1:65" x14ac:dyDescent="0.2">
      <c r="A52" s="39">
        <v>44378</v>
      </c>
      <c r="B52" s="53">
        <v>130</v>
      </c>
      <c r="C52" s="54">
        <v>0.11</v>
      </c>
      <c r="D52" s="53">
        <v>500000</v>
      </c>
      <c r="E52" s="53">
        <v>80</v>
      </c>
      <c r="F52" s="32">
        <f t="shared" si="31"/>
        <v>6250</v>
      </c>
      <c r="G52" s="54">
        <v>0.4</v>
      </c>
      <c r="H52" s="6">
        <f t="shared" si="3"/>
        <v>2500</v>
      </c>
      <c r="I52" s="32">
        <f t="shared" si="4"/>
        <v>8750</v>
      </c>
      <c r="J52" s="24">
        <f t="shared" si="5"/>
        <v>57.142857142857146</v>
      </c>
      <c r="K52" s="105">
        <f>Q52+R51+S50+T49+U48+V47+W46+X45+Y44+Z43+AA42+AB41+AC40+AD39+AE38+AF37+AG36+AH35+AI34+AJ33+AK32+AL31+AM30+AN29+AO28+AP27+AQ26+AR25+AS24+AT23+AU22+AV21+AW20+AX19+AY18+AZ17+BA16+BB15+BC14+BD13+BE12+BF11+BG10+BH9</f>
        <v>31693</v>
      </c>
      <c r="L52" s="107">
        <f t="shared" si="6"/>
        <v>39247</v>
      </c>
      <c r="M52" s="55">
        <f t="shared" si="7"/>
        <v>295.11183639987922</v>
      </c>
      <c r="N52" s="56">
        <f t="shared" si="8"/>
        <v>5.1644571369978864</v>
      </c>
      <c r="O52" s="34">
        <f t="shared" si="9"/>
        <v>0.72391379799955824</v>
      </c>
      <c r="P52" s="34"/>
      <c r="Q52" s="35">
        <f t="shared" si="10"/>
        <v>8750</v>
      </c>
      <c r="R52" s="11">
        <f t="shared" si="32"/>
        <v>2428</v>
      </c>
      <c r="S52" s="11">
        <f t="shared" si="32"/>
        <v>1457</v>
      </c>
      <c r="T52" s="11">
        <f t="shared" si="32"/>
        <v>1166</v>
      </c>
      <c r="U52" s="11">
        <f t="shared" si="32"/>
        <v>1068</v>
      </c>
      <c r="V52" s="11">
        <f t="shared" si="32"/>
        <v>971</v>
      </c>
      <c r="W52" s="10">
        <f t="shared" si="32"/>
        <v>874</v>
      </c>
      <c r="X52" s="10">
        <f t="shared" si="32"/>
        <v>777</v>
      </c>
      <c r="Y52" s="10">
        <f t="shared" si="32"/>
        <v>777</v>
      </c>
      <c r="Z52" s="10">
        <f t="shared" si="32"/>
        <v>777</v>
      </c>
      <c r="AA52" s="10">
        <f t="shared" si="32"/>
        <v>777</v>
      </c>
      <c r="AB52" s="10">
        <f t="shared" si="33"/>
        <v>777</v>
      </c>
      <c r="AC52" s="10">
        <f t="shared" si="33"/>
        <v>777</v>
      </c>
      <c r="AD52" s="10">
        <f t="shared" si="33"/>
        <v>777</v>
      </c>
      <c r="AE52" s="10">
        <f t="shared" si="33"/>
        <v>777</v>
      </c>
      <c r="AF52" s="10">
        <f t="shared" si="33"/>
        <v>777</v>
      </c>
      <c r="AG52" s="10">
        <f t="shared" si="33"/>
        <v>777</v>
      </c>
      <c r="AH52" s="10">
        <f t="shared" si="33"/>
        <v>777</v>
      </c>
      <c r="AI52" s="10">
        <f t="shared" si="33"/>
        <v>777</v>
      </c>
      <c r="AJ52" s="10">
        <f t="shared" si="33"/>
        <v>777</v>
      </c>
      <c r="AK52" s="10">
        <f t="shared" si="33"/>
        <v>777</v>
      </c>
      <c r="AL52" s="10">
        <f t="shared" si="34"/>
        <v>777</v>
      </c>
      <c r="AM52" s="10">
        <f t="shared" si="34"/>
        <v>777</v>
      </c>
      <c r="AN52" s="10">
        <f t="shared" si="34"/>
        <v>777</v>
      </c>
      <c r="AO52" s="10">
        <f t="shared" si="34"/>
        <v>777</v>
      </c>
      <c r="AP52" s="10">
        <f t="shared" si="34"/>
        <v>777</v>
      </c>
      <c r="AQ52" s="10">
        <f t="shared" si="34"/>
        <v>777</v>
      </c>
      <c r="AR52" s="10">
        <f t="shared" si="34"/>
        <v>777</v>
      </c>
      <c r="AS52" s="10">
        <f t="shared" si="34"/>
        <v>777</v>
      </c>
      <c r="AT52" s="10">
        <f t="shared" si="34"/>
        <v>777</v>
      </c>
      <c r="AU52" s="10">
        <f t="shared" si="34"/>
        <v>777</v>
      </c>
      <c r="AV52" s="10">
        <f t="shared" si="35"/>
        <v>777</v>
      </c>
      <c r="AW52" s="10">
        <f t="shared" si="35"/>
        <v>777</v>
      </c>
      <c r="AX52" s="10">
        <f t="shared" si="35"/>
        <v>777</v>
      </c>
      <c r="AY52" s="10">
        <f t="shared" si="35"/>
        <v>777</v>
      </c>
      <c r="AZ52" s="10">
        <f t="shared" si="35"/>
        <v>777</v>
      </c>
      <c r="BA52" s="10">
        <f t="shared" si="35"/>
        <v>777</v>
      </c>
      <c r="BB52" s="10">
        <f t="shared" si="35"/>
        <v>777</v>
      </c>
      <c r="BC52" s="10">
        <f t="shared" si="35"/>
        <v>777</v>
      </c>
      <c r="BD52" s="10">
        <f t="shared" si="35"/>
        <v>777</v>
      </c>
      <c r="BE52" s="10">
        <f t="shared" si="35"/>
        <v>777</v>
      </c>
      <c r="BF52" s="10">
        <f t="shared" si="36"/>
        <v>777</v>
      </c>
      <c r="BG52" s="10">
        <f t="shared" si="36"/>
        <v>777</v>
      </c>
      <c r="BH52" s="10">
        <f t="shared" si="36"/>
        <v>777</v>
      </c>
      <c r="BI52" s="10">
        <f t="shared" si="36"/>
        <v>777</v>
      </c>
      <c r="BJ52" s="10">
        <f t="shared" si="36"/>
        <v>777</v>
      </c>
      <c r="BK52" s="10">
        <f t="shared" si="36"/>
        <v>777</v>
      </c>
      <c r="BL52" s="10">
        <f t="shared" si="36"/>
        <v>777</v>
      </c>
      <c r="BM52" s="10">
        <f t="shared" si="36"/>
        <v>777</v>
      </c>
    </row>
    <row r="53" spans="1:65" x14ac:dyDescent="0.2">
      <c r="A53" s="39">
        <v>44409</v>
      </c>
      <c r="B53" s="53">
        <v>130</v>
      </c>
      <c r="C53" s="54">
        <v>0.11</v>
      </c>
      <c r="D53" s="53">
        <v>500000</v>
      </c>
      <c r="E53" s="53">
        <v>80</v>
      </c>
      <c r="F53" s="32">
        <f t="shared" si="31"/>
        <v>6250</v>
      </c>
      <c r="G53" s="54">
        <v>0.4</v>
      </c>
      <c r="H53" s="6">
        <f t="shared" si="3"/>
        <v>2500</v>
      </c>
      <c r="I53" s="32">
        <f t="shared" si="4"/>
        <v>8750</v>
      </c>
      <c r="J53" s="24">
        <f t="shared" si="5"/>
        <v>57.142857142857146</v>
      </c>
      <c r="K53" s="105">
        <f>Q53+R52+S51+T50+U49+V48+W47+X46+Y45+Z44+AA43+AB42+AC41+AD40+AE39+AF38+AG37+AH36+AI35+AJ34+AK33+AL32+AM31+AN30+AO29+AP28+AQ27+AR26+AS25+AT24+AU23+AV22+AW21+AX20+AY19+AZ18+BA17+BB16+BC15+BD14+BE13+BF12+BG11+BH10+BI9</f>
        <v>32470</v>
      </c>
      <c r="L53" s="107">
        <f t="shared" si="6"/>
        <v>39247</v>
      </c>
      <c r="M53" s="55">
        <f t="shared" si="7"/>
        <v>295.11183639987922</v>
      </c>
      <c r="N53" s="56">
        <f t="shared" si="8"/>
        <v>5.1644571369978864</v>
      </c>
      <c r="O53" s="34">
        <f t="shared" si="9"/>
        <v>0.73052048044348628</v>
      </c>
      <c r="P53" s="34"/>
      <c r="Q53" s="35">
        <f t="shared" si="10"/>
        <v>8750</v>
      </c>
      <c r="R53" s="11">
        <f t="shared" si="32"/>
        <v>2428</v>
      </c>
      <c r="S53" s="11">
        <f t="shared" si="32"/>
        <v>1457</v>
      </c>
      <c r="T53" s="11">
        <f t="shared" si="32"/>
        <v>1166</v>
      </c>
      <c r="U53" s="11">
        <f t="shared" si="32"/>
        <v>1068</v>
      </c>
      <c r="V53" s="10">
        <f t="shared" si="32"/>
        <v>971</v>
      </c>
      <c r="W53" s="10">
        <f t="shared" si="32"/>
        <v>874</v>
      </c>
      <c r="X53" s="10">
        <f t="shared" si="32"/>
        <v>777</v>
      </c>
      <c r="Y53" s="10">
        <f t="shared" si="32"/>
        <v>777</v>
      </c>
      <c r="Z53" s="10">
        <f t="shared" si="32"/>
        <v>777</v>
      </c>
      <c r="AA53" s="10">
        <f t="shared" si="32"/>
        <v>777</v>
      </c>
      <c r="AB53" s="10">
        <f t="shared" si="33"/>
        <v>777</v>
      </c>
      <c r="AC53" s="10">
        <f t="shared" si="33"/>
        <v>777</v>
      </c>
      <c r="AD53" s="10">
        <f t="shared" si="33"/>
        <v>777</v>
      </c>
      <c r="AE53" s="10">
        <f t="shared" si="33"/>
        <v>777</v>
      </c>
      <c r="AF53" s="10">
        <f t="shared" si="33"/>
        <v>777</v>
      </c>
      <c r="AG53" s="10">
        <f t="shared" si="33"/>
        <v>777</v>
      </c>
      <c r="AH53" s="10">
        <f t="shared" si="33"/>
        <v>777</v>
      </c>
      <c r="AI53" s="10">
        <f t="shared" si="33"/>
        <v>777</v>
      </c>
      <c r="AJ53" s="10">
        <f t="shared" si="33"/>
        <v>777</v>
      </c>
      <c r="AK53" s="10">
        <f t="shared" si="33"/>
        <v>777</v>
      </c>
      <c r="AL53" s="10">
        <f t="shared" si="34"/>
        <v>777</v>
      </c>
      <c r="AM53" s="10">
        <f t="shared" si="34"/>
        <v>777</v>
      </c>
      <c r="AN53" s="10">
        <f t="shared" si="34"/>
        <v>777</v>
      </c>
      <c r="AO53" s="10">
        <f t="shared" si="34"/>
        <v>777</v>
      </c>
      <c r="AP53" s="10">
        <f t="shared" si="34"/>
        <v>777</v>
      </c>
      <c r="AQ53" s="10">
        <f t="shared" si="34"/>
        <v>777</v>
      </c>
      <c r="AR53" s="10">
        <f t="shared" si="34"/>
        <v>777</v>
      </c>
      <c r="AS53" s="10">
        <f t="shared" si="34"/>
        <v>777</v>
      </c>
      <c r="AT53" s="10">
        <f t="shared" si="34"/>
        <v>777</v>
      </c>
      <c r="AU53" s="10">
        <f t="shared" si="34"/>
        <v>777</v>
      </c>
      <c r="AV53" s="10">
        <f t="shared" si="35"/>
        <v>777</v>
      </c>
      <c r="AW53" s="10">
        <f t="shared" si="35"/>
        <v>777</v>
      </c>
      <c r="AX53" s="10">
        <f t="shared" si="35"/>
        <v>777</v>
      </c>
      <c r="AY53" s="10">
        <f t="shared" si="35"/>
        <v>777</v>
      </c>
      <c r="AZ53" s="10">
        <f t="shared" si="35"/>
        <v>777</v>
      </c>
      <c r="BA53" s="10">
        <f t="shared" si="35"/>
        <v>777</v>
      </c>
      <c r="BB53" s="10">
        <f t="shared" si="35"/>
        <v>777</v>
      </c>
      <c r="BC53" s="10">
        <f t="shared" si="35"/>
        <v>777</v>
      </c>
      <c r="BD53" s="10">
        <f t="shared" si="35"/>
        <v>777</v>
      </c>
      <c r="BE53" s="10">
        <f t="shared" si="35"/>
        <v>777</v>
      </c>
      <c r="BF53" s="10">
        <f t="shared" si="36"/>
        <v>777</v>
      </c>
      <c r="BG53" s="10">
        <f t="shared" si="36"/>
        <v>777</v>
      </c>
      <c r="BH53" s="10">
        <f t="shared" si="36"/>
        <v>777</v>
      </c>
      <c r="BI53" s="10">
        <f t="shared" si="36"/>
        <v>777</v>
      </c>
      <c r="BJ53" s="10">
        <f t="shared" si="36"/>
        <v>777</v>
      </c>
      <c r="BK53" s="10">
        <f t="shared" si="36"/>
        <v>777</v>
      </c>
      <c r="BL53" s="10">
        <f t="shared" si="36"/>
        <v>777</v>
      </c>
      <c r="BM53" s="10">
        <f t="shared" si="36"/>
        <v>777</v>
      </c>
    </row>
    <row r="54" spans="1:65" x14ac:dyDescent="0.2">
      <c r="A54" s="39">
        <v>44440</v>
      </c>
      <c r="B54" s="53">
        <v>130</v>
      </c>
      <c r="C54" s="54">
        <v>0.11</v>
      </c>
      <c r="D54" s="53">
        <v>500000</v>
      </c>
      <c r="E54" s="53">
        <v>80</v>
      </c>
      <c r="F54" s="32">
        <f t="shared" si="31"/>
        <v>6250</v>
      </c>
      <c r="G54" s="54">
        <v>0.4</v>
      </c>
      <c r="H54" s="6">
        <f t="shared" si="3"/>
        <v>2500</v>
      </c>
      <c r="I54" s="32">
        <f t="shared" si="4"/>
        <v>8750</v>
      </c>
      <c r="J54" s="24">
        <f t="shared" si="5"/>
        <v>57.142857142857146</v>
      </c>
      <c r="K54" s="105">
        <f>Q54+R53+S52+T51+U50+V49+W48+X47+Y46+Z45+AA44+AB43+AC42+AD41+AE40+AF39+AG38+AH37+AI36+AJ35+AK34+AL33+AM32+AN31+AO30+AP29+AQ28+AR27+AS26+AT25+AU24+AV23+AW22+AX21+AY20+AZ19+BA18+BB17+BC16+BD15+BE14+BF13+BG12+BH11+BI10+BJ9</f>
        <v>33256</v>
      </c>
      <c r="L54" s="107">
        <f t="shared" si="6"/>
        <v>39247</v>
      </c>
      <c r="M54" s="55">
        <f t="shared" si="7"/>
        <v>295.11183639987922</v>
      </c>
      <c r="N54" s="56">
        <f t="shared" si="8"/>
        <v>5.1644571369978864</v>
      </c>
      <c r="O54" s="34">
        <f t="shared" si="9"/>
        <v>0.73688958383449599</v>
      </c>
      <c r="P54" s="34"/>
      <c r="Q54" s="35">
        <f t="shared" si="10"/>
        <v>8750</v>
      </c>
      <c r="R54" s="11">
        <f t="shared" si="32"/>
        <v>2428</v>
      </c>
      <c r="S54" s="207">
        <f>ROUND($Q54*S$4*(1+$C54),0)</f>
        <v>1457</v>
      </c>
      <c r="T54" s="11">
        <f t="shared" si="32"/>
        <v>1166</v>
      </c>
      <c r="U54" s="10">
        <f t="shared" si="32"/>
        <v>1068</v>
      </c>
      <c r="V54" s="10">
        <f t="shared" si="32"/>
        <v>971</v>
      </c>
      <c r="W54" s="10">
        <f t="shared" si="32"/>
        <v>874</v>
      </c>
      <c r="X54" s="10">
        <f t="shared" si="32"/>
        <v>777</v>
      </c>
      <c r="Y54" s="10">
        <f t="shared" si="32"/>
        <v>777</v>
      </c>
      <c r="Z54" s="10">
        <f t="shared" si="32"/>
        <v>777</v>
      </c>
      <c r="AA54" s="10">
        <f t="shared" si="32"/>
        <v>777</v>
      </c>
      <c r="AB54" s="10">
        <f t="shared" si="33"/>
        <v>777</v>
      </c>
      <c r="AC54" s="10">
        <f t="shared" si="33"/>
        <v>777</v>
      </c>
      <c r="AD54" s="10">
        <f t="shared" si="33"/>
        <v>777</v>
      </c>
      <c r="AE54" s="10">
        <f t="shared" si="33"/>
        <v>777</v>
      </c>
      <c r="AF54" s="10">
        <f t="shared" si="33"/>
        <v>777</v>
      </c>
      <c r="AG54" s="10">
        <f t="shared" si="33"/>
        <v>777</v>
      </c>
      <c r="AH54" s="10">
        <f t="shared" si="33"/>
        <v>777</v>
      </c>
      <c r="AI54" s="10">
        <f t="shared" si="33"/>
        <v>777</v>
      </c>
      <c r="AJ54" s="10">
        <f t="shared" si="33"/>
        <v>777</v>
      </c>
      <c r="AK54" s="10">
        <f t="shared" si="33"/>
        <v>777</v>
      </c>
      <c r="AL54" s="10">
        <f t="shared" si="34"/>
        <v>777</v>
      </c>
      <c r="AM54" s="10">
        <f t="shared" si="34"/>
        <v>777</v>
      </c>
      <c r="AN54" s="10">
        <f t="shared" si="34"/>
        <v>777</v>
      </c>
      <c r="AO54" s="10">
        <f t="shared" si="34"/>
        <v>777</v>
      </c>
      <c r="AP54" s="10">
        <f t="shared" si="34"/>
        <v>777</v>
      </c>
      <c r="AQ54" s="10">
        <f t="shared" si="34"/>
        <v>777</v>
      </c>
      <c r="AR54" s="10">
        <f t="shared" si="34"/>
        <v>777</v>
      </c>
      <c r="AS54" s="10">
        <f t="shared" si="34"/>
        <v>777</v>
      </c>
      <c r="AT54" s="10">
        <f t="shared" si="34"/>
        <v>777</v>
      </c>
      <c r="AU54" s="10">
        <f t="shared" si="34"/>
        <v>777</v>
      </c>
      <c r="AV54" s="10">
        <f t="shared" si="35"/>
        <v>777</v>
      </c>
      <c r="AW54" s="10">
        <f t="shared" si="35"/>
        <v>777</v>
      </c>
      <c r="AX54" s="10">
        <f t="shared" si="35"/>
        <v>777</v>
      </c>
      <c r="AY54" s="10">
        <f t="shared" si="35"/>
        <v>777</v>
      </c>
      <c r="AZ54" s="10">
        <f t="shared" si="35"/>
        <v>777</v>
      </c>
      <c r="BA54" s="10">
        <f t="shared" si="35"/>
        <v>777</v>
      </c>
      <c r="BB54" s="10">
        <f t="shared" si="35"/>
        <v>777</v>
      </c>
      <c r="BC54" s="10">
        <f t="shared" si="35"/>
        <v>777</v>
      </c>
      <c r="BD54" s="10">
        <f t="shared" si="35"/>
        <v>777</v>
      </c>
      <c r="BE54" s="10">
        <f t="shared" si="35"/>
        <v>777</v>
      </c>
      <c r="BF54" s="10">
        <f t="shared" si="36"/>
        <v>777</v>
      </c>
      <c r="BG54" s="10">
        <f t="shared" si="36"/>
        <v>777</v>
      </c>
      <c r="BH54" s="10">
        <f t="shared" si="36"/>
        <v>777</v>
      </c>
      <c r="BI54" s="10">
        <f t="shared" si="36"/>
        <v>777</v>
      </c>
      <c r="BJ54" s="10">
        <f t="shared" si="36"/>
        <v>777</v>
      </c>
      <c r="BK54" s="10">
        <f t="shared" si="36"/>
        <v>777</v>
      </c>
      <c r="BL54" s="10">
        <f t="shared" si="36"/>
        <v>777</v>
      </c>
      <c r="BM54" s="10">
        <f t="shared" si="36"/>
        <v>777</v>
      </c>
    </row>
    <row r="55" spans="1:65" x14ac:dyDescent="0.2">
      <c r="A55" s="39">
        <v>44470</v>
      </c>
      <c r="B55" s="53">
        <v>130</v>
      </c>
      <c r="C55" s="54">
        <v>0.12</v>
      </c>
      <c r="D55" s="53">
        <v>600000</v>
      </c>
      <c r="E55" s="53">
        <v>80</v>
      </c>
      <c r="F55" s="32">
        <f t="shared" si="31"/>
        <v>7500</v>
      </c>
      <c r="G55" s="54">
        <v>0.4</v>
      </c>
      <c r="H55" s="6">
        <f t="shared" si="3"/>
        <v>3000</v>
      </c>
      <c r="I55" s="32">
        <f t="shared" si="4"/>
        <v>10500</v>
      </c>
      <c r="J55" s="24">
        <f t="shared" si="5"/>
        <v>57.142857142857146</v>
      </c>
      <c r="K55" s="105">
        <f>Q55+R54+S53+T52+U51+V50+W49+X48+Y47+Z46+AA45+AB44+AC43+AD42+AE41+AF40+AG39+AH38+AI37+AJ36+AK35+AL34+AM33+AN32+AO31+AP30+AQ29+AR28+AS27+AT26+AU25+AV24+AW23+AX22+AY21+AZ20+BA19+BB18+BC17+BD16+BE15+BF14+BG13+BH12+BI11+BJ10+BK9</f>
        <v>35788</v>
      </c>
      <c r="L55" s="107">
        <f t="shared" si="6"/>
        <v>47432</v>
      </c>
      <c r="M55" s="55">
        <f t="shared" si="7"/>
        <v>297.21474728682171</v>
      </c>
      <c r="N55" s="56">
        <f t="shared" si="8"/>
        <v>5.2012580775193795</v>
      </c>
      <c r="O55" s="34">
        <f t="shared" si="9"/>
        <v>0.70660556611154579</v>
      </c>
      <c r="P55" s="34"/>
      <c r="Q55" s="35">
        <f t="shared" si="10"/>
        <v>10500</v>
      </c>
      <c r="R55" s="11">
        <f t="shared" si="32"/>
        <v>2940</v>
      </c>
      <c r="S55" s="11">
        <f t="shared" si="32"/>
        <v>1764</v>
      </c>
      <c r="T55" s="10">
        <f t="shared" si="32"/>
        <v>1411</v>
      </c>
      <c r="U55" s="10">
        <f t="shared" si="32"/>
        <v>1294</v>
      </c>
      <c r="V55" s="10">
        <f t="shared" si="32"/>
        <v>1176</v>
      </c>
      <c r="W55" s="10">
        <f t="shared" si="32"/>
        <v>1058</v>
      </c>
      <c r="X55" s="10">
        <f t="shared" si="32"/>
        <v>941</v>
      </c>
      <c r="Y55" s="10">
        <f t="shared" si="32"/>
        <v>941</v>
      </c>
      <c r="Z55" s="10">
        <f t="shared" si="32"/>
        <v>941</v>
      </c>
      <c r="AA55" s="10">
        <f t="shared" si="32"/>
        <v>941</v>
      </c>
      <c r="AB55" s="10">
        <f t="shared" si="33"/>
        <v>941</v>
      </c>
      <c r="AC55" s="10">
        <f t="shared" si="33"/>
        <v>941</v>
      </c>
      <c r="AD55" s="10">
        <f t="shared" si="33"/>
        <v>941</v>
      </c>
      <c r="AE55" s="10">
        <f t="shared" si="33"/>
        <v>941</v>
      </c>
      <c r="AF55" s="10">
        <f t="shared" si="33"/>
        <v>941</v>
      </c>
      <c r="AG55" s="10">
        <f t="shared" si="33"/>
        <v>941</v>
      </c>
      <c r="AH55" s="10">
        <f t="shared" si="33"/>
        <v>941</v>
      </c>
      <c r="AI55" s="10">
        <f t="shared" si="33"/>
        <v>941</v>
      </c>
      <c r="AJ55" s="10">
        <f t="shared" si="33"/>
        <v>941</v>
      </c>
      <c r="AK55" s="10">
        <f t="shared" si="33"/>
        <v>941</v>
      </c>
      <c r="AL55" s="10">
        <f t="shared" si="34"/>
        <v>941</v>
      </c>
      <c r="AM55" s="10">
        <f t="shared" si="34"/>
        <v>941</v>
      </c>
      <c r="AN55" s="10">
        <f t="shared" si="34"/>
        <v>941</v>
      </c>
      <c r="AO55" s="10">
        <f t="shared" si="34"/>
        <v>941</v>
      </c>
      <c r="AP55" s="10">
        <f t="shared" si="34"/>
        <v>941</v>
      </c>
      <c r="AQ55" s="10">
        <f t="shared" si="34"/>
        <v>941</v>
      </c>
      <c r="AR55" s="10">
        <f t="shared" si="34"/>
        <v>941</v>
      </c>
      <c r="AS55" s="10">
        <f t="shared" si="34"/>
        <v>941</v>
      </c>
      <c r="AT55" s="10">
        <f t="shared" si="34"/>
        <v>941</v>
      </c>
      <c r="AU55" s="10">
        <f t="shared" si="34"/>
        <v>941</v>
      </c>
      <c r="AV55" s="10">
        <f t="shared" si="35"/>
        <v>941</v>
      </c>
      <c r="AW55" s="10">
        <f t="shared" si="35"/>
        <v>941</v>
      </c>
      <c r="AX55" s="10">
        <f t="shared" si="35"/>
        <v>941</v>
      </c>
      <c r="AY55" s="10">
        <f t="shared" si="35"/>
        <v>941</v>
      </c>
      <c r="AZ55" s="10">
        <f t="shared" si="35"/>
        <v>941</v>
      </c>
      <c r="BA55" s="10">
        <f t="shared" si="35"/>
        <v>941</v>
      </c>
      <c r="BB55" s="10">
        <f t="shared" si="35"/>
        <v>941</v>
      </c>
      <c r="BC55" s="10">
        <f t="shared" si="35"/>
        <v>941</v>
      </c>
      <c r="BD55" s="10">
        <f t="shared" si="35"/>
        <v>941</v>
      </c>
      <c r="BE55" s="10">
        <f t="shared" si="35"/>
        <v>941</v>
      </c>
      <c r="BF55" s="10">
        <f t="shared" si="36"/>
        <v>941</v>
      </c>
      <c r="BG55" s="10">
        <f t="shared" si="36"/>
        <v>941</v>
      </c>
      <c r="BH55" s="10">
        <f t="shared" si="36"/>
        <v>941</v>
      </c>
      <c r="BI55" s="10">
        <f t="shared" si="36"/>
        <v>941</v>
      </c>
      <c r="BJ55" s="10">
        <f t="shared" si="36"/>
        <v>941</v>
      </c>
      <c r="BK55" s="10">
        <f t="shared" si="36"/>
        <v>941</v>
      </c>
      <c r="BL55" s="10">
        <f t="shared" si="36"/>
        <v>941</v>
      </c>
      <c r="BM55" s="10">
        <f t="shared" si="36"/>
        <v>941</v>
      </c>
    </row>
    <row r="56" spans="1:65" x14ac:dyDescent="0.2">
      <c r="A56" s="39">
        <v>44501</v>
      </c>
      <c r="B56" s="53">
        <v>130</v>
      </c>
      <c r="C56" s="54">
        <v>0.12</v>
      </c>
      <c r="D56" s="53">
        <v>600000</v>
      </c>
      <c r="E56" s="53">
        <v>80</v>
      </c>
      <c r="F56" s="32">
        <f t="shared" si="31"/>
        <v>7500</v>
      </c>
      <c r="G56" s="54">
        <v>0.4</v>
      </c>
      <c r="H56" s="6">
        <f t="shared" si="3"/>
        <v>3000</v>
      </c>
      <c r="I56" s="32">
        <f t="shared" si="4"/>
        <v>10500</v>
      </c>
      <c r="J56" s="24">
        <f t="shared" si="5"/>
        <v>57.142857142857146</v>
      </c>
      <c r="K56" s="105">
        <f>Q56+R55+S54+T53+U52+V51+W50+X49+Y48+Z47+AA46+AB45+AC44+AD43+AE42+AF41+AG40+AH39+AI38+AJ37+AK36+AL35+AM34+AN33+AO32+AP31+AQ30+AR29+AS28+AT27+AU26+AV25+AW24+AX23+AY22+AZ21+BA20+BB19+BC18+BD17+BE16+BF15+BG14+BH13+BI12+BJ11+BK10+BL9</f>
        <v>37071</v>
      </c>
      <c r="L56" s="107">
        <f t="shared" si="6"/>
        <v>47432</v>
      </c>
      <c r="M56" s="55">
        <f t="shared" si="7"/>
        <v>297.21474728682171</v>
      </c>
      <c r="N56" s="56">
        <f t="shared" si="8"/>
        <v>5.2012580775193795</v>
      </c>
      <c r="O56" s="34">
        <f t="shared" si="9"/>
        <v>0.71675973132637372</v>
      </c>
      <c r="P56" s="34"/>
      <c r="Q56" s="35">
        <f t="shared" si="10"/>
        <v>10500</v>
      </c>
      <c r="R56" s="11">
        <f t="shared" si="32"/>
        <v>2940</v>
      </c>
      <c r="S56" s="10">
        <f t="shared" si="32"/>
        <v>1764</v>
      </c>
      <c r="T56" s="10">
        <f t="shared" si="32"/>
        <v>1411</v>
      </c>
      <c r="U56" s="10">
        <f t="shared" si="32"/>
        <v>1294</v>
      </c>
      <c r="V56" s="10">
        <f t="shared" si="32"/>
        <v>1176</v>
      </c>
      <c r="W56" s="10">
        <f t="shared" si="32"/>
        <v>1058</v>
      </c>
      <c r="X56" s="10">
        <f t="shared" si="32"/>
        <v>941</v>
      </c>
      <c r="Y56" s="10">
        <f t="shared" si="32"/>
        <v>941</v>
      </c>
      <c r="Z56" s="10">
        <f t="shared" si="32"/>
        <v>941</v>
      </c>
      <c r="AA56" s="10">
        <f t="shared" si="32"/>
        <v>941</v>
      </c>
      <c r="AB56" s="10">
        <f t="shared" si="33"/>
        <v>941</v>
      </c>
      <c r="AC56" s="10">
        <f t="shared" si="33"/>
        <v>941</v>
      </c>
      <c r="AD56" s="10">
        <f t="shared" si="33"/>
        <v>941</v>
      </c>
      <c r="AE56" s="10">
        <f t="shared" si="33"/>
        <v>941</v>
      </c>
      <c r="AF56" s="10">
        <f t="shared" si="33"/>
        <v>941</v>
      </c>
      <c r="AG56" s="10">
        <f t="shared" si="33"/>
        <v>941</v>
      </c>
      <c r="AH56" s="10">
        <f t="shared" si="33"/>
        <v>941</v>
      </c>
      <c r="AI56" s="10">
        <f t="shared" si="33"/>
        <v>941</v>
      </c>
      <c r="AJ56" s="10">
        <f t="shared" si="33"/>
        <v>941</v>
      </c>
      <c r="AK56" s="10">
        <f t="shared" si="33"/>
        <v>941</v>
      </c>
      <c r="AL56" s="10">
        <f t="shared" si="34"/>
        <v>941</v>
      </c>
      <c r="AM56" s="10">
        <f t="shared" si="34"/>
        <v>941</v>
      </c>
      <c r="AN56" s="10">
        <f t="shared" si="34"/>
        <v>941</v>
      </c>
      <c r="AO56" s="10">
        <f t="shared" si="34"/>
        <v>941</v>
      </c>
      <c r="AP56" s="10">
        <f t="shared" si="34"/>
        <v>941</v>
      </c>
      <c r="AQ56" s="10">
        <f t="shared" si="34"/>
        <v>941</v>
      </c>
      <c r="AR56" s="10">
        <f t="shared" si="34"/>
        <v>941</v>
      </c>
      <c r="AS56" s="10">
        <f t="shared" si="34"/>
        <v>941</v>
      </c>
      <c r="AT56" s="10">
        <f t="shared" si="34"/>
        <v>941</v>
      </c>
      <c r="AU56" s="10">
        <f t="shared" si="34"/>
        <v>941</v>
      </c>
      <c r="AV56" s="10">
        <f t="shared" si="35"/>
        <v>941</v>
      </c>
      <c r="AW56" s="10">
        <f t="shared" si="35"/>
        <v>941</v>
      </c>
      <c r="AX56" s="10">
        <f t="shared" si="35"/>
        <v>941</v>
      </c>
      <c r="AY56" s="10">
        <f t="shared" si="35"/>
        <v>941</v>
      </c>
      <c r="AZ56" s="10">
        <f t="shared" si="35"/>
        <v>941</v>
      </c>
      <c r="BA56" s="10">
        <f t="shared" si="35"/>
        <v>941</v>
      </c>
      <c r="BB56" s="10">
        <f t="shared" si="35"/>
        <v>941</v>
      </c>
      <c r="BC56" s="10">
        <f t="shared" si="35"/>
        <v>941</v>
      </c>
      <c r="BD56" s="10">
        <f t="shared" si="35"/>
        <v>941</v>
      </c>
      <c r="BE56" s="10">
        <f t="shared" si="35"/>
        <v>941</v>
      </c>
      <c r="BF56" s="10">
        <f t="shared" si="36"/>
        <v>941</v>
      </c>
      <c r="BG56" s="10">
        <f t="shared" si="36"/>
        <v>941</v>
      </c>
      <c r="BH56" s="10">
        <f t="shared" si="36"/>
        <v>941</v>
      </c>
      <c r="BI56" s="10">
        <f t="shared" si="36"/>
        <v>941</v>
      </c>
      <c r="BJ56" s="10">
        <f t="shared" si="36"/>
        <v>941</v>
      </c>
      <c r="BK56" s="10">
        <f t="shared" si="36"/>
        <v>941</v>
      </c>
      <c r="BL56" s="10">
        <f t="shared" si="36"/>
        <v>941</v>
      </c>
      <c r="BM56" s="10">
        <f t="shared" si="36"/>
        <v>941</v>
      </c>
    </row>
    <row r="57" spans="1:65" x14ac:dyDescent="0.2">
      <c r="A57" s="39">
        <v>44531</v>
      </c>
      <c r="B57" s="53">
        <v>130</v>
      </c>
      <c r="C57" s="54">
        <v>0.12</v>
      </c>
      <c r="D57" s="53">
        <v>600000</v>
      </c>
      <c r="E57" s="53">
        <v>80</v>
      </c>
      <c r="F57" s="32">
        <f t="shared" si="31"/>
        <v>7500</v>
      </c>
      <c r="G57" s="54">
        <v>0.4</v>
      </c>
      <c r="H57" s="6">
        <f t="shared" si="3"/>
        <v>3000</v>
      </c>
      <c r="I57" s="32">
        <f t="shared" si="4"/>
        <v>10500</v>
      </c>
      <c r="J57" s="24">
        <f t="shared" si="5"/>
        <v>57.142857142857146</v>
      </c>
      <c r="K57" s="105">
        <f>Q57+R56+S55+T54+U53+V52+W51+X50+Y49+Z48+AA47+AB46+AC45+AD44+AE43+AF42+AG41+AH40+AI39+AJ38+AK37+AL36+AM35+AN34+AO33+AP32+AQ31+AR30+AS29+AT28+AU27+AV26+AW25+AX24+AY23+AZ22+BA21+BB20+BC19+BD18+BE17+BF16+BG15+BH14+BI13+BJ12+BK11+BL10+BM9</f>
        <v>38151</v>
      </c>
      <c r="L57" s="107">
        <f t="shared" si="6"/>
        <v>47432</v>
      </c>
      <c r="M57" s="55">
        <f t="shared" si="7"/>
        <v>297.21474728682165</v>
      </c>
      <c r="N57" s="56">
        <f t="shared" si="8"/>
        <v>5.2012580775193786</v>
      </c>
      <c r="O57" s="34">
        <f t="shared" si="9"/>
        <v>0.72477785641267589</v>
      </c>
      <c r="P57" s="34"/>
      <c r="Q57" s="35">
        <f t="shared" si="10"/>
        <v>10500</v>
      </c>
      <c r="R57" s="10">
        <f t="shared" si="32"/>
        <v>2940</v>
      </c>
      <c r="S57" s="10">
        <f t="shared" si="32"/>
        <v>1764</v>
      </c>
      <c r="T57" s="10">
        <f t="shared" si="32"/>
        <v>1411</v>
      </c>
      <c r="U57" s="10">
        <f t="shared" si="32"/>
        <v>1294</v>
      </c>
      <c r="V57" s="10">
        <f t="shared" si="32"/>
        <v>1176</v>
      </c>
      <c r="W57" s="10">
        <f t="shared" si="32"/>
        <v>1058</v>
      </c>
      <c r="X57" s="10">
        <f t="shared" si="32"/>
        <v>941</v>
      </c>
      <c r="Y57" s="10">
        <f t="shared" si="32"/>
        <v>941</v>
      </c>
      <c r="Z57" s="10">
        <f t="shared" si="32"/>
        <v>941</v>
      </c>
      <c r="AA57" s="10">
        <f t="shared" si="32"/>
        <v>941</v>
      </c>
      <c r="AB57" s="10">
        <f t="shared" si="33"/>
        <v>941</v>
      </c>
      <c r="AC57" s="10">
        <f t="shared" si="33"/>
        <v>941</v>
      </c>
      <c r="AD57" s="10">
        <f t="shared" si="33"/>
        <v>941</v>
      </c>
      <c r="AE57" s="10">
        <f t="shared" si="33"/>
        <v>941</v>
      </c>
      <c r="AF57" s="10">
        <f t="shared" si="33"/>
        <v>941</v>
      </c>
      <c r="AG57" s="10">
        <f t="shared" si="33"/>
        <v>941</v>
      </c>
      <c r="AH57" s="10">
        <f t="shared" si="33"/>
        <v>941</v>
      </c>
      <c r="AI57" s="10">
        <f t="shared" si="33"/>
        <v>941</v>
      </c>
      <c r="AJ57" s="10">
        <f t="shared" si="33"/>
        <v>941</v>
      </c>
      <c r="AK57" s="10">
        <f t="shared" si="33"/>
        <v>941</v>
      </c>
      <c r="AL57" s="10">
        <f t="shared" si="34"/>
        <v>941</v>
      </c>
      <c r="AM57" s="10">
        <f t="shared" si="34"/>
        <v>941</v>
      </c>
      <c r="AN57" s="10">
        <f t="shared" si="34"/>
        <v>941</v>
      </c>
      <c r="AO57" s="10">
        <f t="shared" si="34"/>
        <v>941</v>
      </c>
      <c r="AP57" s="10">
        <f t="shared" si="34"/>
        <v>941</v>
      </c>
      <c r="AQ57" s="10">
        <f t="shared" si="34"/>
        <v>941</v>
      </c>
      <c r="AR57" s="10">
        <f t="shared" si="34"/>
        <v>941</v>
      </c>
      <c r="AS57" s="10">
        <f t="shared" si="34"/>
        <v>941</v>
      </c>
      <c r="AT57" s="10">
        <f t="shared" si="34"/>
        <v>941</v>
      </c>
      <c r="AU57" s="10">
        <f t="shared" si="34"/>
        <v>941</v>
      </c>
      <c r="AV57" s="10">
        <f t="shared" si="35"/>
        <v>941</v>
      </c>
      <c r="AW57" s="10">
        <f t="shared" si="35"/>
        <v>941</v>
      </c>
      <c r="AX57" s="10">
        <f t="shared" si="35"/>
        <v>941</v>
      </c>
      <c r="AY57" s="10">
        <f t="shared" si="35"/>
        <v>941</v>
      </c>
      <c r="AZ57" s="10">
        <f t="shared" si="35"/>
        <v>941</v>
      </c>
      <c r="BA57" s="10">
        <f t="shared" si="35"/>
        <v>941</v>
      </c>
      <c r="BB57" s="10">
        <f t="shared" si="35"/>
        <v>941</v>
      </c>
      <c r="BC57" s="10">
        <f t="shared" si="35"/>
        <v>941</v>
      </c>
      <c r="BD57" s="10">
        <f t="shared" si="35"/>
        <v>941</v>
      </c>
      <c r="BE57" s="10">
        <f t="shared" si="35"/>
        <v>941</v>
      </c>
      <c r="BF57" s="10">
        <f t="shared" si="36"/>
        <v>941</v>
      </c>
      <c r="BG57" s="10">
        <f t="shared" si="36"/>
        <v>941</v>
      </c>
      <c r="BH57" s="10">
        <f t="shared" si="36"/>
        <v>941</v>
      </c>
      <c r="BI57" s="10">
        <f t="shared" si="36"/>
        <v>941</v>
      </c>
      <c r="BJ57" s="10">
        <f t="shared" si="36"/>
        <v>941</v>
      </c>
      <c r="BK57" s="10">
        <f t="shared" si="36"/>
        <v>941</v>
      </c>
      <c r="BL57" s="10">
        <f t="shared" si="36"/>
        <v>941</v>
      </c>
      <c r="BM57" s="10">
        <f t="shared" si="36"/>
        <v>941</v>
      </c>
    </row>
    <row r="58" spans="1:65" x14ac:dyDescent="0.2">
      <c r="L58" s="36"/>
      <c r="O58" s="36"/>
      <c r="P58" s="36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</row>
    <row r="59" spans="1:65" x14ac:dyDescent="0.2">
      <c r="L59" s="36"/>
      <c r="O59" s="36"/>
      <c r="P59" s="36"/>
      <c r="Q59" s="37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</row>
    <row r="60" spans="1:65" x14ac:dyDescent="0.2">
      <c r="L60" s="36"/>
      <c r="O60" s="36"/>
      <c r="P60" s="36"/>
      <c r="Q60" s="37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</row>
    <row r="61" spans="1:65" x14ac:dyDescent="0.2">
      <c r="L61" s="36"/>
      <c r="O61" s="36"/>
      <c r="P61" s="36"/>
      <c r="Q61" s="37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</row>
    <row r="62" spans="1:65" x14ac:dyDescent="0.2">
      <c r="L62" s="36"/>
      <c r="O62" s="36"/>
      <c r="P62" s="36"/>
      <c r="Q62" s="37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</row>
    <row r="63" spans="1:65" x14ac:dyDescent="0.2">
      <c r="L63" s="36"/>
      <c r="O63" s="36"/>
      <c r="P63" s="36"/>
      <c r="Q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</row>
    <row r="64" spans="1:65" x14ac:dyDescent="0.2">
      <c r="L64" s="36"/>
      <c r="O64" s="36"/>
      <c r="P64" s="36"/>
      <c r="Q64" s="37"/>
      <c r="R64" s="38"/>
      <c r="S64" s="38"/>
      <c r="T64" s="38" t="s">
        <v>41</v>
      </c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</row>
    <row r="65" spans="12:65" x14ac:dyDescent="0.2">
      <c r="L65" s="36"/>
      <c r="O65" s="36"/>
      <c r="P65" s="36"/>
      <c r="Q65" s="37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</row>
    <row r="66" spans="12:65" x14ac:dyDescent="0.2">
      <c r="L66" s="36"/>
      <c r="O66" s="36"/>
      <c r="P66" s="36"/>
      <c r="Q66" s="37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</row>
    <row r="67" spans="12:65" x14ac:dyDescent="0.2">
      <c r="L67" s="36"/>
      <c r="O67" s="36"/>
      <c r="P67" s="36"/>
      <c r="Q67" s="37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</row>
    <row r="68" spans="12:65" x14ac:dyDescent="0.2">
      <c r="L68" s="36"/>
      <c r="O68" s="36"/>
      <c r="P68" s="36"/>
      <c r="Q68" s="37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</row>
    <row r="69" spans="12:65" x14ac:dyDescent="0.2">
      <c r="L69" s="36"/>
      <c r="O69" s="36"/>
      <c r="P69" s="36"/>
      <c r="Q69" s="37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</row>
    <row r="70" spans="12:65" x14ac:dyDescent="0.2">
      <c r="L70" s="36"/>
      <c r="O70" s="36"/>
      <c r="P70" s="36"/>
      <c r="Q70" s="37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</row>
    <row r="71" spans="12:65" x14ac:dyDescent="0.2">
      <c r="L71" s="36"/>
      <c r="O71" s="36"/>
      <c r="P71" s="36"/>
      <c r="Q71" s="37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</row>
    <row r="72" spans="12:65" x14ac:dyDescent="0.2">
      <c r="L72" s="36"/>
      <c r="O72" s="36"/>
      <c r="P72" s="36"/>
      <c r="Q72" s="37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</row>
    <row r="73" spans="12:65" x14ac:dyDescent="0.2">
      <c r="L73" s="36"/>
      <c r="O73" s="36"/>
      <c r="P73" s="36"/>
      <c r="Q73" s="37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</row>
    <row r="74" spans="12:65" x14ac:dyDescent="0.2">
      <c r="L74" s="36"/>
      <c r="O74" s="36"/>
      <c r="P74" s="36"/>
      <c r="Q74" s="37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</row>
    <row r="75" spans="12:65" x14ac:dyDescent="0.2">
      <c r="L75" s="36"/>
      <c r="O75" s="36"/>
      <c r="P75" s="36"/>
      <c r="Q75" s="37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</row>
    <row r="76" spans="12:65" x14ac:dyDescent="0.2">
      <c r="L76" s="36"/>
      <c r="O76" s="36"/>
      <c r="P76" s="36"/>
      <c r="Q76" s="37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</row>
    <row r="77" spans="12:65" x14ac:dyDescent="0.2">
      <c r="L77" s="36"/>
      <c r="O77" s="36"/>
      <c r="P77" s="36"/>
      <c r="Q77" s="37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</row>
    <row r="78" spans="12:65" x14ac:dyDescent="0.2">
      <c r="L78" s="36"/>
      <c r="O78" s="36"/>
      <c r="P78" s="36"/>
      <c r="Q78" s="37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</row>
    <row r="79" spans="12:65" x14ac:dyDescent="0.2">
      <c r="L79" s="36"/>
      <c r="O79" s="36"/>
      <c r="P79" s="36"/>
      <c r="Q79" s="37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</row>
    <row r="80" spans="12:65" x14ac:dyDescent="0.2">
      <c r="L80" s="36"/>
      <c r="O80" s="36"/>
      <c r="P80" s="36"/>
      <c r="Q80" s="37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</row>
    <row r="81" spans="12:65" x14ac:dyDescent="0.2">
      <c r="L81" s="36"/>
      <c r="O81" s="36"/>
      <c r="P81" s="36"/>
      <c r="Q81" s="37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</row>
    <row r="82" spans="12:65" x14ac:dyDescent="0.2">
      <c r="L82" s="36"/>
      <c r="O82" s="36"/>
      <c r="P82" s="36"/>
      <c r="Q82" s="37"/>
      <c r="R82" s="38"/>
      <c r="S82" s="38" t="s">
        <v>41</v>
      </c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</row>
    <row r="83" spans="12:65" x14ac:dyDescent="0.2">
      <c r="L83" s="36"/>
      <c r="O83" s="36"/>
      <c r="P83" s="36"/>
      <c r="Q83" s="37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</row>
    <row r="84" spans="12:65" x14ac:dyDescent="0.2">
      <c r="L84" s="36"/>
      <c r="O84" s="36"/>
      <c r="P84" s="36"/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</row>
    <row r="85" spans="12:65" x14ac:dyDescent="0.2">
      <c r="L85" s="36"/>
      <c r="O85" s="36"/>
      <c r="P85" s="36"/>
      <c r="Q85" s="37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</row>
    <row r="86" spans="12:65" x14ac:dyDescent="0.2">
      <c r="L86" s="36"/>
      <c r="O86" s="36"/>
      <c r="P86" s="36"/>
      <c r="Q86" s="37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</row>
    <row r="87" spans="12:65" x14ac:dyDescent="0.2">
      <c r="L87" s="36"/>
      <c r="O87" s="36"/>
      <c r="P87" s="36"/>
      <c r="Q87" s="37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</row>
    <row r="88" spans="12:65" x14ac:dyDescent="0.2">
      <c r="L88" s="36"/>
      <c r="O88" s="36"/>
      <c r="P88" s="36"/>
      <c r="Q88" s="37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Summary</vt:lpstr>
      <vt:lpstr>Monthly Model</vt:lpstr>
      <vt:lpstr>Cohort Model</vt:lpstr>
      <vt:lpstr>IS_Rev_COGS</vt:lpstr>
      <vt:lpstr>'Monthly Model'!Print_Area</vt:lpstr>
      <vt:lpstr>Summary!Print_Area</vt:lpstr>
      <vt:lpstr>'Monthly Model'!Print_Titles</vt:lpstr>
    </vt:vector>
  </TitlesOfParts>
  <Company>ShoeDazzle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Microsoft Office User</cp:lastModifiedBy>
  <cp:lastPrinted>2011-07-18T04:24:18Z</cp:lastPrinted>
  <dcterms:created xsi:type="dcterms:W3CDTF">2011-05-03T16:50:11Z</dcterms:created>
  <dcterms:modified xsi:type="dcterms:W3CDTF">2018-11-13T20:05:48Z</dcterms:modified>
</cp:coreProperties>
</file>