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3.xml" ContentType="application/vnd.openxmlformats-officedocument.drawing+xml"/>
  <Override PartName="/xl/comments3.xml" ContentType="application/vnd.openxmlformats-officedocument.spreadsheetml.comments+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drawings/drawing4.xml" ContentType="application/vnd.openxmlformats-officedocument.drawing+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322"/>
  <workbookPr showInkAnnotation="0" autoCompressPictures="0"/>
  <bookViews>
    <workbookView xWindow="25600" yWindow="0" windowWidth="25600" windowHeight="27060" tabRatio="500"/>
  </bookViews>
  <sheets>
    <sheet name="Summary" sheetId="4" r:id="rId1"/>
    <sheet name="Revenues" sheetId="1" r:id="rId2"/>
    <sheet name="Costs" sheetId="3" r:id="rId3"/>
    <sheet name="Sales Team Hiring Plan" sheetId="2" r:id="rId4"/>
    <sheet name="All charts on one page" sheetId="5" r:id="rId5"/>
  </sheets>
  <definedNames>
    <definedName name="_xlnm.Print_Area" localSheetId="2">Costs!$B$2:$V$146</definedName>
    <definedName name="_xlnm.Print_Area" localSheetId="1">Revenues!$B$2:$U$129</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L23" i="1" l="1"/>
  <c r="L22" i="1"/>
  <c r="AH126" i="3"/>
  <c r="AG126" i="3"/>
  <c r="AF126" i="3"/>
  <c r="AE126" i="3"/>
  <c r="AD126" i="3"/>
  <c r="AC126" i="3"/>
  <c r="AB126" i="3"/>
  <c r="AA126" i="3"/>
  <c r="Z126" i="3"/>
  <c r="Y126" i="3"/>
  <c r="X126" i="3"/>
  <c r="W126" i="3"/>
  <c r="U126" i="3"/>
  <c r="T126" i="3"/>
  <c r="S126" i="3"/>
  <c r="R126" i="3"/>
  <c r="Q126" i="3"/>
  <c r="P126" i="3"/>
  <c r="O126" i="3"/>
  <c r="N126" i="3"/>
  <c r="M126" i="3"/>
  <c r="L126" i="3"/>
  <c r="K126" i="3"/>
  <c r="J126" i="3"/>
  <c r="J127" i="3"/>
  <c r="J135" i="3"/>
  <c r="V48" i="1"/>
  <c r="V55" i="1"/>
  <c r="W46" i="1"/>
  <c r="W54" i="1"/>
  <c r="W76" i="1"/>
  <c r="W90" i="1"/>
  <c r="W75" i="1"/>
  <c r="W89" i="1"/>
  <c r="W94" i="1"/>
  <c r="X86" i="1"/>
  <c r="X87" i="1"/>
  <c r="V15" i="1"/>
  <c r="W49" i="1"/>
  <c r="W52" i="1"/>
  <c r="W53" i="1"/>
  <c r="W55" i="1"/>
  <c r="X46" i="1"/>
  <c r="X54" i="1"/>
  <c r="X76" i="1"/>
  <c r="X90" i="1"/>
  <c r="X75" i="1"/>
  <c r="X89" i="1"/>
  <c r="X94" i="1"/>
  <c r="Y86" i="1"/>
  <c r="Y87" i="1"/>
  <c r="W23" i="1"/>
  <c r="W15" i="1"/>
  <c r="X49" i="1"/>
  <c r="W25" i="1"/>
  <c r="W28" i="1"/>
  <c r="X20" i="1"/>
  <c r="X51" i="1"/>
  <c r="X52" i="1"/>
  <c r="X53" i="1"/>
  <c r="X55" i="1"/>
  <c r="Y46" i="1"/>
  <c r="Y54" i="1"/>
  <c r="Y76" i="1"/>
  <c r="Y90" i="1"/>
  <c r="Y75" i="1"/>
  <c r="Y89" i="1"/>
  <c r="Y94" i="1"/>
  <c r="Z86" i="1"/>
  <c r="Z87" i="1"/>
  <c r="X23" i="1"/>
  <c r="X15" i="1"/>
  <c r="Y49" i="1"/>
  <c r="X25" i="1"/>
  <c r="X26" i="1"/>
  <c r="X27" i="1"/>
  <c r="X28" i="1"/>
  <c r="Y20" i="1"/>
  <c r="Y51" i="1"/>
  <c r="Y52" i="1"/>
  <c r="Y53" i="1"/>
  <c r="Y55" i="1"/>
  <c r="Z46" i="1"/>
  <c r="Z54" i="1"/>
  <c r="Z76" i="1"/>
  <c r="Z90" i="1"/>
  <c r="Z75" i="1"/>
  <c r="Z89" i="1"/>
  <c r="Z94" i="1"/>
  <c r="AA86" i="1"/>
  <c r="AA87" i="1"/>
  <c r="Y23" i="1"/>
  <c r="Y15" i="1"/>
  <c r="Z49" i="1"/>
  <c r="Y25" i="1"/>
  <c r="Y26" i="1"/>
  <c r="Y27" i="1"/>
  <c r="Y28" i="1"/>
  <c r="Z20" i="1"/>
  <c r="Z51" i="1"/>
  <c r="Z52" i="1"/>
  <c r="Z53" i="1"/>
  <c r="Z55" i="1"/>
  <c r="AA46" i="1"/>
  <c r="AA54" i="1"/>
  <c r="AA76" i="1"/>
  <c r="AA90" i="1"/>
  <c r="AA75" i="1"/>
  <c r="AA89" i="1"/>
  <c r="AA94" i="1"/>
  <c r="AB86" i="1"/>
  <c r="AB87" i="1"/>
  <c r="Z23" i="1"/>
  <c r="Z15" i="1"/>
  <c r="AA49" i="1"/>
  <c r="Z25" i="1"/>
  <c r="Z26" i="1"/>
  <c r="Z27" i="1"/>
  <c r="Z28" i="1"/>
  <c r="AA20" i="1"/>
  <c r="AA51" i="1"/>
  <c r="AA52" i="1"/>
  <c r="AA53" i="1"/>
  <c r="AA55" i="1"/>
  <c r="AB46" i="1"/>
  <c r="AB54" i="1"/>
  <c r="AB76" i="1"/>
  <c r="AB90" i="1"/>
  <c r="AB75" i="1"/>
  <c r="AB89" i="1"/>
  <c r="AB94" i="1"/>
  <c r="AC86" i="1"/>
  <c r="AC87" i="1"/>
  <c r="AA23" i="1"/>
  <c r="AA15" i="1"/>
  <c r="AB49" i="1"/>
  <c r="AA25" i="1"/>
  <c r="AA26" i="1"/>
  <c r="AA27" i="1"/>
  <c r="AA28" i="1"/>
  <c r="AB20" i="1"/>
  <c r="AB51" i="1"/>
  <c r="AB52" i="1"/>
  <c r="AB53" i="1"/>
  <c r="AB55" i="1"/>
  <c r="AC46" i="1"/>
  <c r="AC54" i="1"/>
  <c r="AC76" i="1"/>
  <c r="AC90" i="1"/>
  <c r="AC75" i="1"/>
  <c r="AC89" i="1"/>
  <c r="AC94" i="1"/>
  <c r="AD86" i="1"/>
  <c r="AD87" i="1"/>
  <c r="AB23" i="1"/>
  <c r="AB15" i="1"/>
  <c r="AC49" i="1"/>
  <c r="AB25" i="1"/>
  <c r="AB26" i="1"/>
  <c r="AB27" i="1"/>
  <c r="AB28" i="1"/>
  <c r="AC20" i="1"/>
  <c r="AC51" i="1"/>
  <c r="AC52" i="1"/>
  <c r="AC53" i="1"/>
  <c r="AC55" i="1"/>
  <c r="AD46" i="1"/>
  <c r="AD54" i="1"/>
  <c r="AD76" i="1"/>
  <c r="AD90" i="1"/>
  <c r="AD75" i="1"/>
  <c r="AD89" i="1"/>
  <c r="AD94" i="1"/>
  <c r="AE86" i="1"/>
  <c r="AE87" i="1"/>
  <c r="AC23" i="1"/>
  <c r="AC15" i="1"/>
  <c r="AD49" i="1"/>
  <c r="AC25" i="1"/>
  <c r="AC26" i="1"/>
  <c r="AC27" i="1"/>
  <c r="AC28" i="1"/>
  <c r="AD20" i="1"/>
  <c r="AD51" i="1"/>
  <c r="AD52" i="1"/>
  <c r="AD53" i="1"/>
  <c r="AD55" i="1"/>
  <c r="AE46" i="1"/>
  <c r="AE54" i="1"/>
  <c r="AE76" i="1"/>
  <c r="AE90" i="1"/>
  <c r="AE75" i="1"/>
  <c r="AE89" i="1"/>
  <c r="AE94" i="1"/>
  <c r="AF86" i="1"/>
  <c r="AF87" i="1"/>
  <c r="AD23" i="1"/>
  <c r="AD15" i="1"/>
  <c r="AE49" i="1"/>
  <c r="AD25" i="1"/>
  <c r="AD26" i="1"/>
  <c r="AD27" i="1"/>
  <c r="AD28" i="1"/>
  <c r="AE20" i="1"/>
  <c r="AE51" i="1"/>
  <c r="AE52" i="1"/>
  <c r="AE53" i="1"/>
  <c r="AE55" i="1"/>
  <c r="AF46" i="1"/>
  <c r="AF54" i="1"/>
  <c r="AF76" i="1"/>
  <c r="AF90" i="1"/>
  <c r="AF75" i="1"/>
  <c r="AF89" i="1"/>
  <c r="AF94" i="1"/>
  <c r="AG86" i="1"/>
  <c r="AG87" i="1"/>
  <c r="AE23" i="1"/>
  <c r="AE15" i="1"/>
  <c r="AF49" i="1"/>
  <c r="AE25" i="1"/>
  <c r="AE26" i="1"/>
  <c r="AE27" i="1"/>
  <c r="AE28" i="1"/>
  <c r="AF20" i="1"/>
  <c r="AF51" i="1"/>
  <c r="AF52" i="1"/>
  <c r="AF53" i="1"/>
  <c r="AF55" i="1"/>
  <c r="AG46" i="1"/>
  <c r="AG54" i="1"/>
  <c r="AG76" i="1"/>
  <c r="AG90" i="1"/>
  <c r="AG75" i="1"/>
  <c r="AG89" i="1"/>
  <c r="AE96" i="1"/>
  <c r="AB96" i="1"/>
  <c r="Y96" i="1"/>
  <c r="V96" i="1"/>
  <c r="R96" i="1"/>
  <c r="O96" i="1"/>
  <c r="L96" i="1"/>
  <c r="I96" i="1"/>
  <c r="J23" i="1"/>
  <c r="W86" i="1"/>
  <c r="V86" i="1"/>
  <c r="T86" i="1"/>
  <c r="S86" i="1"/>
  <c r="R86" i="1"/>
  <c r="Q86" i="1"/>
  <c r="P86" i="1"/>
  <c r="O86" i="1"/>
  <c r="N86" i="1"/>
  <c r="M86" i="1"/>
  <c r="L86" i="1"/>
  <c r="K86" i="1"/>
  <c r="J86" i="1"/>
  <c r="AF23" i="1"/>
  <c r="AF15" i="1"/>
  <c r="AG49" i="1"/>
  <c r="V49" i="1"/>
  <c r="T49" i="1"/>
  <c r="S49" i="1"/>
  <c r="R49" i="1"/>
  <c r="Q49" i="1"/>
  <c r="P49" i="1"/>
  <c r="O49" i="1"/>
  <c r="N49" i="1"/>
  <c r="M49" i="1"/>
  <c r="L49" i="1"/>
  <c r="K49" i="1"/>
  <c r="J49" i="1"/>
  <c r="I49" i="1"/>
  <c r="J15" i="1"/>
  <c r="K23" i="1"/>
  <c r="K15" i="1"/>
  <c r="L15" i="1"/>
  <c r="M23" i="1"/>
  <c r="M15" i="1"/>
  <c r="N23" i="1"/>
  <c r="N15" i="1"/>
  <c r="O23" i="1"/>
  <c r="O15" i="1"/>
  <c r="P23" i="1"/>
  <c r="P15" i="1"/>
  <c r="Q23" i="1"/>
  <c r="Q15" i="1"/>
  <c r="R23" i="1"/>
  <c r="R15" i="1"/>
  <c r="S23" i="1"/>
  <c r="S15" i="1"/>
  <c r="T23" i="1"/>
  <c r="T15" i="1"/>
  <c r="V23" i="1"/>
  <c r="AG23" i="1"/>
  <c r="I23" i="1"/>
  <c r="AG15" i="1"/>
  <c r="I6" i="1"/>
  <c r="I9" i="1"/>
  <c r="I10" i="1"/>
  <c r="I11" i="1"/>
  <c r="I12" i="1"/>
  <c r="I13" i="1"/>
  <c r="I14" i="1"/>
  <c r="J6" i="1"/>
  <c r="I74" i="1"/>
  <c r="I86" i="1"/>
  <c r="E75" i="1"/>
  <c r="E78" i="1"/>
  <c r="I88" i="1"/>
  <c r="J88" i="1"/>
  <c r="K88" i="1"/>
  <c r="L88" i="1"/>
  <c r="M88" i="1"/>
  <c r="N88" i="1"/>
  <c r="O88" i="1"/>
  <c r="P88" i="1"/>
  <c r="Q88" i="1"/>
  <c r="R88" i="1"/>
  <c r="S88" i="1"/>
  <c r="T88" i="1"/>
  <c r="E79" i="1"/>
  <c r="V88" i="1"/>
  <c r="W88" i="1"/>
  <c r="X88" i="1"/>
  <c r="Y88" i="1"/>
  <c r="Z88" i="1"/>
  <c r="AA88" i="1"/>
  <c r="AB88" i="1"/>
  <c r="AC88" i="1"/>
  <c r="AD88" i="1"/>
  <c r="AE88" i="1"/>
  <c r="AF88" i="1"/>
  <c r="AG88" i="1"/>
  <c r="J122" i="3"/>
  <c r="I48" i="1"/>
  <c r="I50" i="1"/>
  <c r="I56" i="1"/>
  <c r="J10" i="1"/>
  <c r="K10" i="1"/>
  <c r="L10" i="1"/>
  <c r="M10" i="1"/>
  <c r="N10" i="1"/>
  <c r="O10" i="1"/>
  <c r="P10" i="1"/>
  <c r="Q10" i="1"/>
  <c r="R10" i="1"/>
  <c r="S10" i="1"/>
  <c r="T10" i="1"/>
  <c r="V10" i="1"/>
  <c r="W10" i="1"/>
  <c r="X10" i="1"/>
  <c r="Y10" i="1"/>
  <c r="Z10" i="1"/>
  <c r="AA10" i="1"/>
  <c r="AB10" i="1"/>
  <c r="AC10" i="1"/>
  <c r="AD10" i="1"/>
  <c r="AE10" i="1"/>
  <c r="AF10" i="1"/>
  <c r="AG10" i="1"/>
  <c r="AH122" i="3"/>
  <c r="J8" i="1"/>
  <c r="J9" i="1"/>
  <c r="K8" i="1"/>
  <c r="K9" i="1"/>
  <c r="L8" i="1"/>
  <c r="L9" i="1"/>
  <c r="M8" i="1"/>
  <c r="M9" i="1"/>
  <c r="N8" i="1"/>
  <c r="N9" i="1"/>
  <c r="O8" i="1"/>
  <c r="O9" i="1"/>
  <c r="P8" i="1"/>
  <c r="P9" i="1"/>
  <c r="Q8" i="1"/>
  <c r="Q9" i="1"/>
  <c r="R8" i="1"/>
  <c r="R9" i="1"/>
  <c r="S8" i="1"/>
  <c r="S9" i="1"/>
  <c r="T8" i="1"/>
  <c r="T9" i="1"/>
  <c r="V8" i="1"/>
  <c r="V9" i="1"/>
  <c r="W8" i="1"/>
  <c r="W9" i="1"/>
  <c r="X8" i="1"/>
  <c r="X9" i="1"/>
  <c r="Y8" i="1"/>
  <c r="Y9" i="1"/>
  <c r="Z8" i="1"/>
  <c r="Z9" i="1"/>
  <c r="AA8" i="1"/>
  <c r="AA9" i="1"/>
  <c r="AB8" i="1"/>
  <c r="AB9" i="1"/>
  <c r="AC8" i="1"/>
  <c r="AC9" i="1"/>
  <c r="AD8" i="1"/>
  <c r="AD9" i="1"/>
  <c r="AE8" i="1"/>
  <c r="AE9" i="1"/>
  <c r="AF8" i="1"/>
  <c r="AF9" i="1"/>
  <c r="AF11" i="1"/>
  <c r="AF12" i="1"/>
  <c r="AF13" i="1"/>
  <c r="AG48" i="1"/>
  <c r="J11" i="1"/>
  <c r="J12" i="1"/>
  <c r="J13" i="1"/>
  <c r="J14" i="1"/>
  <c r="K6" i="1"/>
  <c r="K11" i="1"/>
  <c r="K12" i="1"/>
  <c r="K13" i="1"/>
  <c r="K14" i="1"/>
  <c r="L6" i="1"/>
  <c r="L11" i="1"/>
  <c r="L12" i="1"/>
  <c r="L13" i="1"/>
  <c r="L14" i="1"/>
  <c r="M6" i="1"/>
  <c r="M11" i="1"/>
  <c r="M12" i="1"/>
  <c r="M13" i="1"/>
  <c r="M14" i="1"/>
  <c r="N6" i="1"/>
  <c r="N11" i="1"/>
  <c r="N12" i="1"/>
  <c r="N13" i="1"/>
  <c r="N14" i="1"/>
  <c r="O6" i="1"/>
  <c r="O11" i="1"/>
  <c r="O12" i="1"/>
  <c r="O13" i="1"/>
  <c r="O14" i="1"/>
  <c r="P6" i="1"/>
  <c r="P11" i="1"/>
  <c r="P12" i="1"/>
  <c r="P13" i="1"/>
  <c r="P14" i="1"/>
  <c r="Q6" i="1"/>
  <c r="Q11" i="1"/>
  <c r="Q12" i="1"/>
  <c r="Q13" i="1"/>
  <c r="Q14" i="1"/>
  <c r="R6" i="1"/>
  <c r="R11" i="1"/>
  <c r="R12" i="1"/>
  <c r="R13" i="1"/>
  <c r="R14" i="1"/>
  <c r="S6" i="1"/>
  <c r="S11" i="1"/>
  <c r="S12" i="1"/>
  <c r="S13" i="1"/>
  <c r="S14" i="1"/>
  <c r="T6" i="1"/>
  <c r="T11" i="1"/>
  <c r="T12" i="1"/>
  <c r="T13" i="1"/>
  <c r="T14" i="1"/>
  <c r="V6" i="1"/>
  <c r="V11" i="1"/>
  <c r="V12" i="1"/>
  <c r="V13" i="1"/>
  <c r="V14" i="1"/>
  <c r="W6" i="1"/>
  <c r="W11" i="1"/>
  <c r="W12" i="1"/>
  <c r="W13" i="1"/>
  <c r="W14" i="1"/>
  <c r="X6" i="1"/>
  <c r="X11" i="1"/>
  <c r="X12" i="1"/>
  <c r="X13" i="1"/>
  <c r="X14" i="1"/>
  <c r="Y6" i="1"/>
  <c r="Y11" i="1"/>
  <c r="Y12" i="1"/>
  <c r="Y13" i="1"/>
  <c r="Y14" i="1"/>
  <c r="Z6" i="1"/>
  <c r="Z11" i="1"/>
  <c r="Z12" i="1"/>
  <c r="Z13" i="1"/>
  <c r="Z14" i="1"/>
  <c r="AA6" i="1"/>
  <c r="AA11" i="1"/>
  <c r="AA12" i="1"/>
  <c r="AA13" i="1"/>
  <c r="AA14" i="1"/>
  <c r="AB6" i="1"/>
  <c r="AB11" i="1"/>
  <c r="AB12" i="1"/>
  <c r="AB13" i="1"/>
  <c r="AB14" i="1"/>
  <c r="AC6" i="1"/>
  <c r="AC11" i="1"/>
  <c r="AC12" i="1"/>
  <c r="AC13" i="1"/>
  <c r="AC14" i="1"/>
  <c r="AD6" i="1"/>
  <c r="AD11" i="1"/>
  <c r="AD12" i="1"/>
  <c r="AD13" i="1"/>
  <c r="AD14" i="1"/>
  <c r="AE6" i="1"/>
  <c r="AE11" i="1"/>
  <c r="AE12" i="1"/>
  <c r="AE13" i="1"/>
  <c r="AE14" i="1"/>
  <c r="AF6" i="1"/>
  <c r="AF14" i="1"/>
  <c r="AG6" i="1"/>
  <c r="AG50" i="1"/>
  <c r="AG56" i="1"/>
  <c r="AG122" i="3"/>
  <c r="AF48" i="1"/>
  <c r="AF50" i="1"/>
  <c r="AF56" i="1"/>
  <c r="AF122" i="3"/>
  <c r="AE48" i="1"/>
  <c r="AE50" i="1"/>
  <c r="AE56" i="1"/>
  <c r="AE122" i="3"/>
  <c r="AD48" i="1"/>
  <c r="AD50" i="1"/>
  <c r="AD56" i="1"/>
  <c r="AD122" i="3"/>
  <c r="AC48" i="1"/>
  <c r="AC50" i="1"/>
  <c r="AC56" i="1"/>
  <c r="AC122" i="3"/>
  <c r="AB48" i="1"/>
  <c r="AB50" i="1"/>
  <c r="AB56" i="1"/>
  <c r="AB122" i="3"/>
  <c r="AA48" i="1"/>
  <c r="AA50" i="1"/>
  <c r="AA56" i="1"/>
  <c r="AA122" i="3"/>
  <c r="Z48" i="1"/>
  <c r="Z50" i="1"/>
  <c r="Z56" i="1"/>
  <c r="Z122" i="3"/>
  <c r="Y48" i="1"/>
  <c r="Y50" i="1"/>
  <c r="Y56" i="1"/>
  <c r="Y122" i="3"/>
  <c r="X48" i="1"/>
  <c r="X50" i="1"/>
  <c r="X56" i="1"/>
  <c r="X122" i="3"/>
  <c r="W48" i="1"/>
  <c r="W50" i="1"/>
  <c r="W56" i="1"/>
  <c r="W122" i="3"/>
  <c r="V50" i="1"/>
  <c r="V56" i="1"/>
  <c r="U122" i="3"/>
  <c r="T48" i="1"/>
  <c r="T50" i="1"/>
  <c r="T56" i="1"/>
  <c r="T122" i="3"/>
  <c r="S48" i="1"/>
  <c r="S50" i="1"/>
  <c r="S56" i="1"/>
  <c r="S122" i="3"/>
  <c r="R48" i="1"/>
  <c r="R50" i="1"/>
  <c r="R56" i="1"/>
  <c r="R122" i="3"/>
  <c r="Q48" i="1"/>
  <c r="Q50" i="1"/>
  <c r="Q56" i="1"/>
  <c r="Q122" i="3"/>
  <c r="P48" i="1"/>
  <c r="P50" i="1"/>
  <c r="P56" i="1"/>
  <c r="P122" i="3"/>
  <c r="O48" i="1"/>
  <c r="O50" i="1"/>
  <c r="O56" i="1"/>
  <c r="O122" i="3"/>
  <c r="N48" i="1"/>
  <c r="N50" i="1"/>
  <c r="N56" i="1"/>
  <c r="N122" i="3"/>
  <c r="M48" i="1"/>
  <c r="M50" i="1"/>
  <c r="M56" i="1"/>
  <c r="M122" i="3"/>
  <c r="L48" i="1"/>
  <c r="L50" i="1"/>
  <c r="L56" i="1"/>
  <c r="L122" i="3"/>
  <c r="K48" i="1"/>
  <c r="K50" i="1"/>
  <c r="K56" i="1"/>
  <c r="K122" i="3"/>
  <c r="J48" i="1"/>
  <c r="J50" i="1"/>
  <c r="J56" i="1"/>
  <c r="I22" i="1"/>
  <c r="E21" i="2"/>
  <c r="F21" i="2"/>
  <c r="G21" i="2"/>
  <c r="H21" i="2"/>
  <c r="I21" i="2"/>
  <c r="J21" i="2"/>
  <c r="K21" i="2"/>
  <c r="L21" i="2"/>
  <c r="M21" i="2"/>
  <c r="N21" i="2"/>
  <c r="O21" i="2"/>
  <c r="P21" i="2"/>
  <c r="Q21" i="2"/>
  <c r="I77" i="1"/>
  <c r="I79" i="1"/>
  <c r="I78" i="1"/>
  <c r="I85" i="1"/>
  <c r="I91" i="1"/>
  <c r="I92" i="1"/>
  <c r="I87" i="1"/>
  <c r="I46" i="1"/>
  <c r="I54" i="1"/>
  <c r="I76" i="1"/>
  <c r="I84" i="1"/>
  <c r="I90" i="1"/>
  <c r="I75" i="1"/>
  <c r="I89" i="1"/>
  <c r="D18" i="2"/>
  <c r="D22" i="2"/>
  <c r="E22" i="2"/>
  <c r="F22" i="2"/>
  <c r="G22" i="2"/>
  <c r="H22" i="2"/>
  <c r="I22" i="2"/>
  <c r="J22" i="2"/>
  <c r="K22" i="2"/>
  <c r="L22" i="2"/>
  <c r="M22" i="2"/>
  <c r="N22" i="2"/>
  <c r="O22" i="2"/>
  <c r="P22" i="2"/>
  <c r="Q22" i="2"/>
  <c r="D23" i="2"/>
  <c r="E23" i="2"/>
  <c r="F23" i="2"/>
  <c r="G23" i="2"/>
  <c r="H23" i="2"/>
  <c r="I23" i="2"/>
  <c r="J23" i="2"/>
  <c r="K23" i="2"/>
  <c r="L23" i="2"/>
  <c r="M23" i="2"/>
  <c r="N23" i="2"/>
  <c r="O23" i="2"/>
  <c r="P23" i="2"/>
  <c r="Q23" i="2"/>
  <c r="D24" i="2"/>
  <c r="E24" i="2"/>
  <c r="F24" i="2"/>
  <c r="G24" i="2"/>
  <c r="H24" i="2"/>
  <c r="I24" i="2"/>
  <c r="J24" i="2"/>
  <c r="K24" i="2"/>
  <c r="L24" i="2"/>
  <c r="M24" i="2"/>
  <c r="N24" i="2"/>
  <c r="O24" i="2"/>
  <c r="P24" i="2"/>
  <c r="Q24" i="2"/>
  <c r="D25" i="2"/>
  <c r="E25" i="2"/>
  <c r="F25" i="2"/>
  <c r="G25" i="2"/>
  <c r="H25" i="2"/>
  <c r="I25" i="2"/>
  <c r="J25" i="2"/>
  <c r="K25" i="2"/>
  <c r="L25" i="2"/>
  <c r="M25" i="2"/>
  <c r="N25" i="2"/>
  <c r="O25" i="2"/>
  <c r="P25" i="2"/>
  <c r="Q25" i="2"/>
  <c r="J77" i="1"/>
  <c r="J79" i="1"/>
  <c r="J78" i="1"/>
  <c r="J85" i="1"/>
  <c r="J91" i="1"/>
  <c r="J92" i="1"/>
  <c r="J87" i="1"/>
  <c r="I20" i="1"/>
  <c r="I51" i="1"/>
  <c r="I52" i="1"/>
  <c r="I53" i="1"/>
  <c r="I55" i="1"/>
  <c r="J46" i="1"/>
  <c r="J54" i="1"/>
  <c r="J76" i="1"/>
  <c r="J84" i="1"/>
  <c r="J90" i="1"/>
  <c r="J75" i="1"/>
  <c r="J89" i="1"/>
  <c r="F18" i="2"/>
  <c r="D26" i="2"/>
  <c r="E18" i="2"/>
  <c r="E26" i="2"/>
  <c r="F26" i="2"/>
  <c r="G26" i="2"/>
  <c r="H26" i="2"/>
  <c r="I26" i="2"/>
  <c r="J26" i="2"/>
  <c r="K26" i="2"/>
  <c r="L26" i="2"/>
  <c r="M26" i="2"/>
  <c r="N26" i="2"/>
  <c r="O26" i="2"/>
  <c r="P26" i="2"/>
  <c r="Q26" i="2"/>
  <c r="D27" i="2"/>
  <c r="E27" i="2"/>
  <c r="F27" i="2"/>
  <c r="G27" i="2"/>
  <c r="H27" i="2"/>
  <c r="I27" i="2"/>
  <c r="J27" i="2"/>
  <c r="K27" i="2"/>
  <c r="L27" i="2"/>
  <c r="M27" i="2"/>
  <c r="N27" i="2"/>
  <c r="O27" i="2"/>
  <c r="P27" i="2"/>
  <c r="Q27" i="2"/>
  <c r="D28" i="2"/>
  <c r="E28" i="2"/>
  <c r="F28" i="2"/>
  <c r="G28" i="2"/>
  <c r="H28" i="2"/>
  <c r="I28" i="2"/>
  <c r="J28" i="2"/>
  <c r="K28" i="2"/>
  <c r="L28" i="2"/>
  <c r="M28" i="2"/>
  <c r="N28" i="2"/>
  <c r="O28" i="2"/>
  <c r="P28" i="2"/>
  <c r="Q28" i="2"/>
  <c r="D29" i="2"/>
  <c r="E29" i="2"/>
  <c r="F29" i="2"/>
  <c r="G29" i="2"/>
  <c r="H29" i="2"/>
  <c r="I29" i="2"/>
  <c r="J29" i="2"/>
  <c r="K29" i="2"/>
  <c r="L29" i="2"/>
  <c r="M29" i="2"/>
  <c r="N29" i="2"/>
  <c r="O29" i="2"/>
  <c r="P29" i="2"/>
  <c r="Q29" i="2"/>
  <c r="D30" i="2"/>
  <c r="E30" i="2"/>
  <c r="F30" i="2"/>
  <c r="G30" i="2"/>
  <c r="H30" i="2"/>
  <c r="I30" i="2"/>
  <c r="J30" i="2"/>
  <c r="K30" i="2"/>
  <c r="L30" i="2"/>
  <c r="M30" i="2"/>
  <c r="N30" i="2"/>
  <c r="O30" i="2"/>
  <c r="P30" i="2"/>
  <c r="Q30" i="2"/>
  <c r="D31" i="2"/>
  <c r="E31" i="2"/>
  <c r="F31" i="2"/>
  <c r="G31" i="2"/>
  <c r="H31" i="2"/>
  <c r="I31" i="2"/>
  <c r="J31" i="2"/>
  <c r="K31" i="2"/>
  <c r="L31" i="2"/>
  <c r="M31" i="2"/>
  <c r="N31" i="2"/>
  <c r="O31" i="2"/>
  <c r="P31" i="2"/>
  <c r="Q31" i="2"/>
  <c r="D32" i="2"/>
  <c r="E32" i="2"/>
  <c r="F32" i="2"/>
  <c r="K77" i="1"/>
  <c r="K79" i="1"/>
  <c r="K78" i="1"/>
  <c r="K85" i="1"/>
  <c r="K91" i="1"/>
  <c r="K92" i="1"/>
  <c r="K87" i="1"/>
  <c r="I25" i="1"/>
  <c r="I26" i="1"/>
  <c r="I27" i="1"/>
  <c r="J52" i="1"/>
  <c r="J53" i="1"/>
  <c r="K84" i="1"/>
  <c r="L77" i="1"/>
  <c r="L79" i="1"/>
  <c r="L78" i="1"/>
  <c r="L85" i="1"/>
  <c r="L91" i="1"/>
  <c r="L92" i="1"/>
  <c r="L87" i="1"/>
  <c r="J22" i="1"/>
  <c r="J25" i="1"/>
  <c r="L84" i="1"/>
  <c r="M77" i="1"/>
  <c r="M79" i="1"/>
  <c r="M78" i="1"/>
  <c r="M85" i="1"/>
  <c r="M91" i="1"/>
  <c r="M92" i="1"/>
  <c r="M87" i="1"/>
  <c r="K22" i="1"/>
  <c r="M84" i="1"/>
  <c r="N77" i="1"/>
  <c r="N79" i="1"/>
  <c r="N78" i="1"/>
  <c r="N85" i="1"/>
  <c r="N91" i="1"/>
  <c r="N92" i="1"/>
  <c r="N87" i="1"/>
  <c r="N84" i="1"/>
  <c r="O77" i="1"/>
  <c r="O79" i="1"/>
  <c r="O78" i="1"/>
  <c r="O85" i="1"/>
  <c r="O91" i="1"/>
  <c r="O92" i="1"/>
  <c r="O87" i="1"/>
  <c r="M22" i="1"/>
  <c r="O84" i="1"/>
  <c r="P77" i="1"/>
  <c r="P79" i="1"/>
  <c r="P78" i="1"/>
  <c r="P85" i="1"/>
  <c r="P91" i="1"/>
  <c r="P92" i="1"/>
  <c r="P87" i="1"/>
  <c r="N22" i="1"/>
  <c r="P84" i="1"/>
  <c r="Q77" i="1"/>
  <c r="Q79" i="1"/>
  <c r="Q78" i="1"/>
  <c r="Q85" i="1"/>
  <c r="Q91" i="1"/>
  <c r="Q92" i="1"/>
  <c r="Q87" i="1"/>
  <c r="O22" i="1"/>
  <c r="Q84" i="1"/>
  <c r="R77" i="1"/>
  <c r="R79" i="1"/>
  <c r="R78" i="1"/>
  <c r="R85" i="1"/>
  <c r="R91" i="1"/>
  <c r="R92" i="1"/>
  <c r="R87" i="1"/>
  <c r="P22" i="1"/>
  <c r="R84" i="1"/>
  <c r="S77" i="1"/>
  <c r="S79" i="1"/>
  <c r="S78" i="1"/>
  <c r="S85" i="1"/>
  <c r="S91" i="1"/>
  <c r="S92" i="1"/>
  <c r="S87" i="1"/>
  <c r="Q22" i="1"/>
  <c r="S84" i="1"/>
  <c r="T77" i="1"/>
  <c r="T79" i="1"/>
  <c r="T78" i="1"/>
  <c r="T85" i="1"/>
  <c r="T91" i="1"/>
  <c r="T92" i="1"/>
  <c r="T87" i="1"/>
  <c r="R22" i="1"/>
  <c r="T84" i="1"/>
  <c r="V77" i="1"/>
  <c r="V79" i="1"/>
  <c r="V78" i="1"/>
  <c r="V85" i="1"/>
  <c r="V91" i="1"/>
  <c r="V92" i="1"/>
  <c r="V87" i="1"/>
  <c r="S22" i="1"/>
  <c r="V84" i="1"/>
  <c r="D33" i="2"/>
  <c r="E33" i="2"/>
  <c r="F33" i="2"/>
  <c r="D34" i="2"/>
  <c r="E34" i="2"/>
  <c r="F34" i="2"/>
  <c r="D35" i="2"/>
  <c r="E35" i="2"/>
  <c r="F35" i="2"/>
  <c r="D36" i="2"/>
  <c r="E36" i="2"/>
  <c r="F36" i="2"/>
  <c r="D37" i="2"/>
  <c r="E37" i="2"/>
  <c r="F37" i="2"/>
  <c r="D38" i="2"/>
  <c r="E38" i="2"/>
  <c r="F38" i="2"/>
  <c r="D39" i="2"/>
  <c r="E39" i="2"/>
  <c r="F39" i="2"/>
  <c r="D40" i="2"/>
  <c r="E40" i="2"/>
  <c r="F40" i="2"/>
  <c r="D41" i="2"/>
  <c r="E41" i="2"/>
  <c r="F41" i="2"/>
  <c r="D42" i="2"/>
  <c r="E42" i="2"/>
  <c r="F42" i="2"/>
  <c r="D43" i="2"/>
  <c r="E43" i="2"/>
  <c r="F43" i="2"/>
  <c r="D44" i="2"/>
  <c r="E44" i="2"/>
  <c r="F44" i="2"/>
  <c r="D45" i="2"/>
  <c r="E45" i="2"/>
  <c r="F45" i="2"/>
  <c r="I80" i="1"/>
  <c r="J74" i="1"/>
  <c r="J80" i="1"/>
  <c r="K74" i="1"/>
  <c r="T22" i="1"/>
  <c r="V22" i="1"/>
  <c r="F50" i="2"/>
  <c r="K68" i="3"/>
  <c r="F48" i="2"/>
  <c r="K69" i="3"/>
  <c r="F51" i="2"/>
  <c r="F52" i="2"/>
  <c r="K70" i="3"/>
  <c r="K71" i="3"/>
  <c r="K73" i="3"/>
  <c r="E50" i="2"/>
  <c r="J68" i="3"/>
  <c r="E48" i="2"/>
  <c r="J69" i="3"/>
  <c r="E51" i="2"/>
  <c r="E52" i="2"/>
  <c r="J70" i="3"/>
  <c r="J71" i="3"/>
  <c r="J73" i="3"/>
  <c r="R122" i="1"/>
  <c r="AG85" i="1"/>
  <c r="AF85" i="1"/>
  <c r="AE85" i="1"/>
  <c r="AD85" i="1"/>
  <c r="AC85" i="1"/>
  <c r="AB85" i="1"/>
  <c r="AA85" i="1"/>
  <c r="Z85" i="1"/>
  <c r="Y85" i="1"/>
  <c r="X85" i="1"/>
  <c r="W77" i="1"/>
  <c r="W79" i="1"/>
  <c r="W78" i="1"/>
  <c r="W85" i="1"/>
  <c r="W122" i="1"/>
  <c r="V122" i="1"/>
  <c r="W22" i="1"/>
  <c r="X22" i="1"/>
  <c r="Y22" i="1"/>
  <c r="Z22" i="1"/>
  <c r="AA22" i="1"/>
  <c r="AB22" i="1"/>
  <c r="AC22" i="1"/>
  <c r="AD22" i="1"/>
  <c r="AE22" i="1"/>
  <c r="AG84" i="1"/>
  <c r="AF84" i="1"/>
  <c r="AE84" i="1"/>
  <c r="AD84" i="1"/>
  <c r="AC84" i="1"/>
  <c r="AB84" i="1"/>
  <c r="AA84" i="1"/>
  <c r="Z84" i="1"/>
  <c r="Y84" i="1"/>
  <c r="X84" i="1"/>
  <c r="W91" i="1"/>
  <c r="W92" i="1"/>
  <c r="W87" i="1"/>
  <c r="W84" i="1"/>
  <c r="I59" i="1"/>
  <c r="I60" i="1"/>
  <c r="I61" i="1"/>
  <c r="I62" i="1"/>
  <c r="I63" i="1"/>
  <c r="I64" i="1"/>
  <c r="I65" i="1"/>
  <c r="I66" i="1"/>
  <c r="I68" i="1"/>
  <c r="J60" i="1"/>
  <c r="J59" i="1"/>
  <c r="J61" i="1"/>
  <c r="J63" i="1"/>
  <c r="J64" i="1"/>
  <c r="J65" i="1"/>
  <c r="J66" i="1"/>
  <c r="K59" i="1"/>
  <c r="K61" i="1"/>
  <c r="L59" i="1"/>
  <c r="L61" i="1"/>
  <c r="M59" i="1"/>
  <c r="M61" i="1"/>
  <c r="N59" i="1"/>
  <c r="N61" i="1"/>
  <c r="O59" i="1"/>
  <c r="O61" i="1"/>
  <c r="P59" i="1"/>
  <c r="P61" i="1"/>
  <c r="Q59" i="1"/>
  <c r="Q61" i="1"/>
  <c r="R59" i="1"/>
  <c r="R61" i="1"/>
  <c r="S59" i="1"/>
  <c r="S61" i="1"/>
  <c r="T59" i="1"/>
  <c r="T61" i="1"/>
  <c r="V59" i="1"/>
  <c r="V61" i="1"/>
  <c r="W59" i="1"/>
  <c r="W61" i="1"/>
  <c r="X59" i="1"/>
  <c r="X61" i="1"/>
  <c r="Y59" i="1"/>
  <c r="Y61" i="1"/>
  <c r="Z59" i="1"/>
  <c r="Z61" i="1"/>
  <c r="AA59" i="1"/>
  <c r="AA61" i="1"/>
  <c r="AB59" i="1"/>
  <c r="AB61" i="1"/>
  <c r="AC59" i="1"/>
  <c r="AC61" i="1"/>
  <c r="AD59" i="1"/>
  <c r="AD61" i="1"/>
  <c r="AE59" i="1"/>
  <c r="AE61" i="1"/>
  <c r="AF59" i="1"/>
  <c r="AF61" i="1"/>
  <c r="AG59" i="1"/>
  <c r="AG61" i="1"/>
  <c r="AF22" i="1"/>
  <c r="I32" i="1"/>
  <c r="I33" i="1"/>
  <c r="I35" i="1"/>
  <c r="I36" i="1"/>
  <c r="I37" i="1"/>
  <c r="I38" i="1"/>
  <c r="J24" i="1"/>
  <c r="J32" i="1"/>
  <c r="J34" i="1"/>
  <c r="J35" i="1"/>
  <c r="K24" i="1"/>
  <c r="K32" i="1"/>
  <c r="K34" i="1"/>
  <c r="L24" i="1"/>
  <c r="L32" i="1"/>
  <c r="L34" i="1"/>
  <c r="M24" i="1"/>
  <c r="M32" i="1"/>
  <c r="M34" i="1"/>
  <c r="N24" i="1"/>
  <c r="N32" i="1"/>
  <c r="N34" i="1"/>
  <c r="O24" i="1"/>
  <c r="O32" i="1"/>
  <c r="O34" i="1"/>
  <c r="P24" i="1"/>
  <c r="P32" i="1"/>
  <c r="P34" i="1"/>
  <c r="Q24" i="1"/>
  <c r="Q32" i="1"/>
  <c r="Q34" i="1"/>
  <c r="R24" i="1"/>
  <c r="R32" i="1"/>
  <c r="R34" i="1"/>
  <c r="S24" i="1"/>
  <c r="S32" i="1"/>
  <c r="S34" i="1"/>
  <c r="T24" i="1"/>
  <c r="T32" i="1"/>
  <c r="T34" i="1"/>
  <c r="V24" i="1"/>
  <c r="V32" i="1"/>
  <c r="V34" i="1"/>
  <c r="W24" i="1"/>
  <c r="W32" i="1"/>
  <c r="W34" i="1"/>
  <c r="X24" i="1"/>
  <c r="X32" i="1"/>
  <c r="X34" i="1"/>
  <c r="Y24" i="1"/>
  <c r="Y32" i="1"/>
  <c r="Y34" i="1"/>
  <c r="Z24" i="1"/>
  <c r="Z32" i="1"/>
  <c r="Z34" i="1"/>
  <c r="AA24" i="1"/>
  <c r="AA32" i="1"/>
  <c r="AA34" i="1"/>
  <c r="AB24" i="1"/>
  <c r="AB32" i="1"/>
  <c r="AB34" i="1"/>
  <c r="AC24" i="1"/>
  <c r="AC32" i="1"/>
  <c r="AC34" i="1"/>
  <c r="AD24" i="1"/>
  <c r="AD32" i="1"/>
  <c r="AD34" i="1"/>
  <c r="AE24" i="1"/>
  <c r="AE32" i="1"/>
  <c r="AE34" i="1"/>
  <c r="AF24" i="1"/>
  <c r="AF32" i="1"/>
  <c r="AF34" i="1"/>
  <c r="AG22" i="1"/>
  <c r="AG24" i="1"/>
  <c r="AG32" i="1"/>
  <c r="AG34" i="1"/>
  <c r="J121" i="1"/>
  <c r="J122" i="1"/>
  <c r="K122" i="1"/>
  <c r="L122" i="1"/>
  <c r="M122" i="1"/>
  <c r="N122" i="1"/>
  <c r="O122" i="1"/>
  <c r="P122" i="1"/>
  <c r="Q122" i="1"/>
  <c r="S122" i="1"/>
  <c r="T122" i="1"/>
  <c r="I122" i="1"/>
  <c r="I121" i="1"/>
  <c r="I120" i="1"/>
  <c r="I107" i="1"/>
  <c r="I109" i="1"/>
  <c r="I110" i="1"/>
  <c r="J108" i="1"/>
  <c r="L67" i="3"/>
  <c r="L77" i="3"/>
  <c r="L7" i="3"/>
  <c r="L8" i="3"/>
  <c r="L9" i="3"/>
  <c r="L10" i="3"/>
  <c r="L11" i="3"/>
  <c r="L12" i="3"/>
  <c r="L13" i="3"/>
  <c r="L14" i="3"/>
  <c r="L15" i="3"/>
  <c r="L18"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51" i="3"/>
  <c r="L54" i="3"/>
  <c r="L55" i="3"/>
  <c r="L56" i="3"/>
  <c r="L57" i="3"/>
  <c r="L58" i="3"/>
  <c r="L59" i="3"/>
  <c r="L60" i="3"/>
  <c r="L61" i="3"/>
  <c r="L64" i="3"/>
  <c r="F54" i="2"/>
  <c r="K67" i="3"/>
  <c r="K74" i="3"/>
  <c r="K77" i="3"/>
  <c r="K7" i="3"/>
  <c r="K8" i="3"/>
  <c r="K9" i="3"/>
  <c r="K10" i="3"/>
  <c r="K11" i="3"/>
  <c r="K12" i="3"/>
  <c r="K13" i="3"/>
  <c r="K14" i="3"/>
  <c r="K15" i="3"/>
  <c r="K18"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51" i="3"/>
  <c r="K54" i="3"/>
  <c r="K55" i="3"/>
  <c r="K56" i="3"/>
  <c r="K57" i="3"/>
  <c r="K58" i="3"/>
  <c r="K59" i="3"/>
  <c r="K60" i="3"/>
  <c r="K61" i="3"/>
  <c r="K64" i="3"/>
  <c r="K123" i="3"/>
  <c r="K125" i="3"/>
  <c r="K97" i="3"/>
  <c r="K94" i="3"/>
  <c r="K95" i="3"/>
  <c r="K96" i="3"/>
  <c r="K105" i="3"/>
  <c r="K102" i="3"/>
  <c r="K103" i="3"/>
  <c r="K104" i="3"/>
  <c r="E54" i="2"/>
  <c r="J67" i="3"/>
  <c r="J74" i="3"/>
  <c r="K113" i="3"/>
  <c r="J77" i="3"/>
  <c r="J7" i="3"/>
  <c r="J8" i="3"/>
  <c r="J9" i="3"/>
  <c r="J10" i="3"/>
  <c r="J11" i="3"/>
  <c r="J12" i="3"/>
  <c r="J13" i="3"/>
  <c r="J14" i="3"/>
  <c r="J15" i="3"/>
  <c r="J18" i="3"/>
  <c r="K11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51" i="3"/>
  <c r="K111" i="3"/>
  <c r="J54" i="3"/>
  <c r="J55" i="3"/>
  <c r="J56" i="3"/>
  <c r="J57" i="3"/>
  <c r="J58" i="3"/>
  <c r="J59" i="3"/>
  <c r="J60" i="3"/>
  <c r="J61" i="3"/>
  <c r="J64" i="3"/>
  <c r="K112" i="3"/>
  <c r="K72" i="3"/>
  <c r="K79" i="3"/>
  <c r="K16" i="3"/>
  <c r="K49" i="3"/>
  <c r="K62" i="3"/>
  <c r="K17" i="3" a="1"/>
  <c r="K17" i="3"/>
  <c r="K50" i="3" a="1"/>
  <c r="K50" i="3"/>
  <c r="K63" i="3" a="1"/>
  <c r="K63" i="3"/>
  <c r="K73" i="3" a="1"/>
  <c r="K82" i="3" a="1"/>
  <c r="J72" i="3"/>
  <c r="J79" i="3"/>
  <c r="J16" i="3"/>
  <c r="J49" i="3"/>
  <c r="J62" i="3"/>
  <c r="J17" i="3" a="1"/>
  <c r="J17" i="3"/>
  <c r="J50" i="3" a="1"/>
  <c r="J50" i="3"/>
  <c r="J63" i="3" a="1"/>
  <c r="J63" i="3"/>
  <c r="J73" i="3" a="1"/>
  <c r="J82" i="3" a="1"/>
  <c r="J97" i="3"/>
  <c r="J94" i="3"/>
  <c r="J95" i="3"/>
  <c r="J96" i="3"/>
  <c r="J105" i="3"/>
  <c r="J102" i="3"/>
  <c r="J103" i="3"/>
  <c r="J104" i="3"/>
  <c r="J115" i="3"/>
  <c r="J123" i="3"/>
  <c r="J125" i="3"/>
  <c r="M67" i="3"/>
  <c r="M77" i="3"/>
  <c r="M7" i="3"/>
  <c r="M8" i="3"/>
  <c r="M9" i="3"/>
  <c r="M10" i="3"/>
  <c r="M11" i="3"/>
  <c r="M12" i="3"/>
  <c r="M13" i="3"/>
  <c r="M14" i="3"/>
  <c r="M15" i="3"/>
  <c r="M18"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51" i="3"/>
  <c r="M54" i="3"/>
  <c r="M55" i="3"/>
  <c r="M56" i="3"/>
  <c r="M57" i="3"/>
  <c r="M58" i="3"/>
  <c r="M59" i="3"/>
  <c r="M60" i="3"/>
  <c r="M61" i="3"/>
  <c r="M64" i="3"/>
  <c r="L123" i="3"/>
  <c r="L125" i="3"/>
  <c r="L94" i="3"/>
  <c r="L95" i="3"/>
  <c r="L96" i="3"/>
  <c r="L102" i="3"/>
  <c r="L103" i="3"/>
  <c r="L104" i="3"/>
  <c r="L110" i="3"/>
  <c r="L111" i="3"/>
  <c r="L112" i="3"/>
  <c r="L16" i="3"/>
  <c r="L49" i="3"/>
  <c r="L62" i="3"/>
  <c r="L17" i="3" a="1"/>
  <c r="L17" i="3"/>
  <c r="L50" i="3" a="1"/>
  <c r="L50" i="3"/>
  <c r="L63" i="3" a="1"/>
  <c r="L63" i="3"/>
  <c r="L73" i="3" a="1"/>
  <c r="L82" i="3" a="1"/>
  <c r="N67" i="3"/>
  <c r="N77" i="3"/>
  <c r="N7" i="3"/>
  <c r="N8" i="3"/>
  <c r="N9" i="3"/>
  <c r="N10" i="3"/>
  <c r="N11" i="3"/>
  <c r="N12" i="3"/>
  <c r="N13" i="3"/>
  <c r="N14" i="3"/>
  <c r="N15" i="3"/>
  <c r="N18" i="3"/>
  <c r="N21" i="3"/>
  <c r="N22" i="3"/>
  <c r="N23" i="3"/>
  <c r="N24" i="3"/>
  <c r="N25" i="3"/>
  <c r="N26" i="3"/>
  <c r="N27" i="3"/>
  <c r="N28" i="3"/>
  <c r="N29" i="3"/>
  <c r="N30" i="3"/>
  <c r="N31" i="3"/>
  <c r="N32" i="3"/>
  <c r="N33" i="3"/>
  <c r="N34" i="3"/>
  <c r="N35" i="3"/>
  <c r="N36" i="3"/>
  <c r="N37" i="3"/>
  <c r="N38" i="3"/>
  <c r="N39" i="3"/>
  <c r="N40" i="3"/>
  <c r="N41" i="3"/>
  <c r="N42" i="3"/>
  <c r="N43" i="3"/>
  <c r="N44" i="3"/>
  <c r="N45" i="3"/>
  <c r="N46" i="3"/>
  <c r="N47" i="3"/>
  <c r="N48" i="3"/>
  <c r="N51" i="3"/>
  <c r="N54" i="3"/>
  <c r="N55" i="3"/>
  <c r="N56" i="3"/>
  <c r="N57" i="3"/>
  <c r="N58" i="3"/>
  <c r="N59" i="3"/>
  <c r="N60" i="3"/>
  <c r="N61" i="3"/>
  <c r="N64" i="3"/>
  <c r="M123" i="3"/>
  <c r="M125" i="3"/>
  <c r="M94" i="3"/>
  <c r="M95" i="3"/>
  <c r="M96" i="3"/>
  <c r="M102" i="3"/>
  <c r="M103" i="3"/>
  <c r="M104" i="3"/>
  <c r="M110" i="3"/>
  <c r="M111" i="3"/>
  <c r="M112" i="3"/>
  <c r="M16" i="3"/>
  <c r="M49" i="3"/>
  <c r="M62" i="3"/>
  <c r="M17" i="3" a="1"/>
  <c r="M17" i="3"/>
  <c r="M50" i="3" a="1"/>
  <c r="M50" i="3"/>
  <c r="M63" i="3" a="1"/>
  <c r="M63" i="3"/>
  <c r="M73" i="3" a="1"/>
  <c r="M82" i="3" a="1"/>
  <c r="O67" i="3"/>
  <c r="O77" i="3"/>
  <c r="O7" i="3"/>
  <c r="O8" i="3"/>
  <c r="O9" i="3"/>
  <c r="O10" i="3"/>
  <c r="O11" i="3"/>
  <c r="O12" i="3"/>
  <c r="O13" i="3"/>
  <c r="O14" i="3"/>
  <c r="O15" i="3"/>
  <c r="O18"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51" i="3"/>
  <c r="O54" i="3"/>
  <c r="O55" i="3"/>
  <c r="O56" i="3"/>
  <c r="O57" i="3"/>
  <c r="O58" i="3"/>
  <c r="O59" i="3"/>
  <c r="O60" i="3"/>
  <c r="O61" i="3"/>
  <c r="O64" i="3"/>
  <c r="N123" i="3"/>
  <c r="N125" i="3"/>
  <c r="N94" i="3"/>
  <c r="N95" i="3"/>
  <c r="N96" i="3"/>
  <c r="N102" i="3"/>
  <c r="N103" i="3"/>
  <c r="N104" i="3"/>
  <c r="N110" i="3"/>
  <c r="N111" i="3"/>
  <c r="N112" i="3"/>
  <c r="N16" i="3"/>
  <c r="N49" i="3"/>
  <c r="N62" i="3"/>
  <c r="N17" i="3" a="1"/>
  <c r="N17" i="3"/>
  <c r="N50" i="3" a="1"/>
  <c r="N50" i="3"/>
  <c r="N63" i="3" a="1"/>
  <c r="N63" i="3"/>
  <c r="N73" i="3" a="1"/>
  <c r="N82" i="3" a="1"/>
  <c r="P67" i="3"/>
  <c r="P77" i="3"/>
  <c r="P7" i="3"/>
  <c r="P8" i="3"/>
  <c r="P9" i="3"/>
  <c r="P10" i="3"/>
  <c r="P11" i="3"/>
  <c r="P12" i="3"/>
  <c r="P13" i="3"/>
  <c r="P14" i="3"/>
  <c r="P15" i="3"/>
  <c r="P18"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51" i="3"/>
  <c r="P54" i="3"/>
  <c r="P55" i="3"/>
  <c r="P56" i="3"/>
  <c r="P57" i="3"/>
  <c r="P58" i="3"/>
  <c r="P59" i="3"/>
  <c r="P60" i="3"/>
  <c r="P61" i="3"/>
  <c r="P64" i="3"/>
  <c r="O123" i="3"/>
  <c r="O125" i="3"/>
  <c r="O94" i="3"/>
  <c r="O95" i="3"/>
  <c r="O96" i="3"/>
  <c r="O102" i="3"/>
  <c r="O103" i="3"/>
  <c r="O104" i="3"/>
  <c r="O110" i="3"/>
  <c r="O111" i="3"/>
  <c r="O112" i="3"/>
  <c r="O16" i="3"/>
  <c r="O49" i="3"/>
  <c r="O62" i="3"/>
  <c r="O17" i="3" a="1"/>
  <c r="O17" i="3"/>
  <c r="O50" i="3" a="1"/>
  <c r="O50" i="3"/>
  <c r="O63" i="3" a="1"/>
  <c r="O63" i="3"/>
  <c r="O73" i="3" a="1"/>
  <c r="O82" i="3" a="1"/>
  <c r="Q67" i="3"/>
  <c r="Q77" i="3"/>
  <c r="Q7" i="3"/>
  <c r="Q8" i="3"/>
  <c r="Q9" i="3"/>
  <c r="Q10" i="3"/>
  <c r="Q11" i="3"/>
  <c r="Q12" i="3"/>
  <c r="Q13" i="3"/>
  <c r="Q14" i="3"/>
  <c r="Q15" i="3"/>
  <c r="Q18" i="3"/>
  <c r="Q21" i="3"/>
  <c r="Q22" i="3"/>
  <c r="Q23" i="3"/>
  <c r="Q24" i="3"/>
  <c r="Q25" i="3"/>
  <c r="Q26" i="3"/>
  <c r="Q27" i="3"/>
  <c r="Q28" i="3"/>
  <c r="Q29" i="3"/>
  <c r="Q30" i="3"/>
  <c r="Q31" i="3"/>
  <c r="Q32" i="3"/>
  <c r="Q33" i="3"/>
  <c r="Q34" i="3"/>
  <c r="Q35" i="3"/>
  <c r="Q36" i="3"/>
  <c r="Q37" i="3"/>
  <c r="Q38" i="3"/>
  <c r="Q39" i="3"/>
  <c r="Q40" i="3"/>
  <c r="Q41" i="3"/>
  <c r="Q42" i="3"/>
  <c r="Q43" i="3"/>
  <c r="Q44" i="3"/>
  <c r="Q45" i="3"/>
  <c r="Q46" i="3"/>
  <c r="Q47" i="3"/>
  <c r="Q48" i="3"/>
  <c r="Q51" i="3"/>
  <c r="Q54" i="3"/>
  <c r="Q55" i="3"/>
  <c r="Q56" i="3"/>
  <c r="Q57" i="3"/>
  <c r="Q58" i="3"/>
  <c r="Q59" i="3"/>
  <c r="Q60" i="3"/>
  <c r="Q61" i="3"/>
  <c r="Q64" i="3"/>
  <c r="P123" i="3"/>
  <c r="P125" i="3"/>
  <c r="P94" i="3"/>
  <c r="P95" i="3"/>
  <c r="P96" i="3"/>
  <c r="P102" i="3"/>
  <c r="P103" i="3"/>
  <c r="P104" i="3"/>
  <c r="P110" i="3"/>
  <c r="P111" i="3"/>
  <c r="P112" i="3"/>
  <c r="P16" i="3"/>
  <c r="P49" i="3"/>
  <c r="P62" i="3"/>
  <c r="P17" i="3" a="1"/>
  <c r="P17" i="3"/>
  <c r="P50" i="3" a="1"/>
  <c r="P50" i="3"/>
  <c r="P63" i="3" a="1"/>
  <c r="P63" i="3"/>
  <c r="P73" i="3" a="1"/>
  <c r="P82" i="3" a="1"/>
  <c r="R67" i="3"/>
  <c r="R77" i="3"/>
  <c r="R7" i="3"/>
  <c r="R8" i="3"/>
  <c r="R9" i="3"/>
  <c r="R10" i="3"/>
  <c r="R11" i="3"/>
  <c r="R12" i="3"/>
  <c r="R13" i="3"/>
  <c r="R14" i="3"/>
  <c r="R15" i="3"/>
  <c r="R18" i="3"/>
  <c r="R21" i="3"/>
  <c r="R22" i="3"/>
  <c r="R23" i="3"/>
  <c r="R24" i="3"/>
  <c r="R25" i="3"/>
  <c r="R26" i="3"/>
  <c r="R27" i="3"/>
  <c r="R28" i="3"/>
  <c r="R29" i="3"/>
  <c r="R30" i="3"/>
  <c r="R31" i="3"/>
  <c r="R32" i="3"/>
  <c r="R33" i="3"/>
  <c r="R34" i="3"/>
  <c r="R35" i="3"/>
  <c r="R36" i="3"/>
  <c r="R37" i="3"/>
  <c r="R38" i="3"/>
  <c r="R39" i="3"/>
  <c r="R40" i="3"/>
  <c r="R41" i="3"/>
  <c r="R42" i="3"/>
  <c r="R43" i="3"/>
  <c r="R44" i="3"/>
  <c r="R45" i="3"/>
  <c r="R46" i="3"/>
  <c r="R47" i="3"/>
  <c r="R48" i="3"/>
  <c r="R51" i="3"/>
  <c r="R54" i="3"/>
  <c r="R55" i="3"/>
  <c r="R56" i="3"/>
  <c r="R57" i="3"/>
  <c r="R58" i="3"/>
  <c r="R59" i="3"/>
  <c r="R60" i="3"/>
  <c r="R61" i="3"/>
  <c r="R64" i="3"/>
  <c r="Q123" i="3"/>
  <c r="Q125" i="3"/>
  <c r="Q94" i="3"/>
  <c r="Q95" i="3"/>
  <c r="Q96" i="3"/>
  <c r="Q102" i="3"/>
  <c r="Q103" i="3"/>
  <c r="Q104" i="3"/>
  <c r="Q110" i="3"/>
  <c r="Q111" i="3"/>
  <c r="Q112" i="3"/>
  <c r="Q16" i="3"/>
  <c r="Q49" i="3"/>
  <c r="Q62" i="3"/>
  <c r="Q17" i="3" a="1"/>
  <c r="Q17" i="3"/>
  <c r="Q50" i="3" a="1"/>
  <c r="Q50" i="3"/>
  <c r="Q63" i="3" a="1"/>
  <c r="Q63" i="3"/>
  <c r="Q73" i="3" a="1"/>
  <c r="Q82" i="3" a="1"/>
  <c r="S67" i="3"/>
  <c r="S77" i="3"/>
  <c r="S7" i="3"/>
  <c r="S8" i="3"/>
  <c r="S9" i="3"/>
  <c r="S10" i="3"/>
  <c r="S11" i="3"/>
  <c r="S12" i="3"/>
  <c r="S13" i="3"/>
  <c r="S14" i="3"/>
  <c r="S15" i="3"/>
  <c r="S18" i="3"/>
  <c r="S21" i="3"/>
  <c r="S22" i="3"/>
  <c r="S23" i="3"/>
  <c r="S24" i="3"/>
  <c r="S25" i="3"/>
  <c r="S26" i="3"/>
  <c r="S27" i="3"/>
  <c r="S28" i="3"/>
  <c r="S29" i="3"/>
  <c r="S30" i="3"/>
  <c r="S31" i="3"/>
  <c r="S32" i="3"/>
  <c r="S33" i="3"/>
  <c r="S34" i="3"/>
  <c r="S35" i="3"/>
  <c r="S36" i="3"/>
  <c r="S37" i="3"/>
  <c r="S38" i="3"/>
  <c r="S39" i="3"/>
  <c r="S40" i="3"/>
  <c r="S41" i="3"/>
  <c r="S42" i="3"/>
  <c r="S43" i="3"/>
  <c r="S44" i="3"/>
  <c r="S45" i="3"/>
  <c r="S46" i="3"/>
  <c r="S47" i="3"/>
  <c r="S48" i="3"/>
  <c r="S51" i="3"/>
  <c r="S54" i="3"/>
  <c r="S55" i="3"/>
  <c r="S56" i="3"/>
  <c r="S57" i="3"/>
  <c r="S58" i="3"/>
  <c r="S59" i="3"/>
  <c r="S60" i="3"/>
  <c r="S61" i="3"/>
  <c r="S64" i="3"/>
  <c r="R123" i="3"/>
  <c r="R125" i="3"/>
  <c r="R94" i="3"/>
  <c r="R95" i="3"/>
  <c r="R96" i="3"/>
  <c r="R102" i="3"/>
  <c r="R103" i="3"/>
  <c r="R104" i="3"/>
  <c r="R110" i="3"/>
  <c r="R111" i="3"/>
  <c r="R112" i="3"/>
  <c r="R16" i="3"/>
  <c r="R49" i="3"/>
  <c r="R62" i="3"/>
  <c r="R17" i="3" a="1"/>
  <c r="R17" i="3"/>
  <c r="R50" i="3" a="1"/>
  <c r="R50" i="3"/>
  <c r="R63" i="3" a="1"/>
  <c r="R63" i="3"/>
  <c r="R73" i="3" a="1"/>
  <c r="R82" i="3" a="1"/>
  <c r="T67" i="3"/>
  <c r="T77" i="3"/>
  <c r="T7" i="3"/>
  <c r="T8" i="3"/>
  <c r="T9" i="3"/>
  <c r="T10" i="3"/>
  <c r="T11" i="3"/>
  <c r="T12" i="3"/>
  <c r="T13" i="3"/>
  <c r="T14" i="3"/>
  <c r="T15" i="3"/>
  <c r="T18" i="3"/>
  <c r="T21" i="3"/>
  <c r="T22" i="3"/>
  <c r="T23" i="3"/>
  <c r="T24" i="3"/>
  <c r="T25" i="3"/>
  <c r="T26" i="3"/>
  <c r="T27" i="3"/>
  <c r="T28" i="3"/>
  <c r="T29" i="3"/>
  <c r="T30" i="3"/>
  <c r="T31" i="3"/>
  <c r="T32" i="3"/>
  <c r="T33" i="3"/>
  <c r="T34" i="3"/>
  <c r="T35" i="3"/>
  <c r="T36" i="3"/>
  <c r="T37" i="3"/>
  <c r="T38" i="3"/>
  <c r="T39" i="3"/>
  <c r="T40" i="3"/>
  <c r="T41" i="3"/>
  <c r="T42" i="3"/>
  <c r="T43" i="3"/>
  <c r="T44" i="3"/>
  <c r="T45" i="3"/>
  <c r="T46" i="3"/>
  <c r="T47" i="3"/>
  <c r="T48" i="3"/>
  <c r="T51" i="3"/>
  <c r="T54" i="3"/>
  <c r="T55" i="3"/>
  <c r="T56" i="3"/>
  <c r="T57" i="3"/>
  <c r="T58" i="3"/>
  <c r="T59" i="3"/>
  <c r="T60" i="3"/>
  <c r="T61" i="3"/>
  <c r="T64" i="3"/>
  <c r="S123" i="3"/>
  <c r="S125" i="3"/>
  <c r="S94" i="3"/>
  <c r="S95" i="3"/>
  <c r="S96" i="3"/>
  <c r="S102" i="3"/>
  <c r="S103" i="3"/>
  <c r="S104" i="3"/>
  <c r="S110" i="3"/>
  <c r="S111" i="3"/>
  <c r="S112" i="3"/>
  <c r="S16" i="3"/>
  <c r="S49" i="3"/>
  <c r="S62" i="3"/>
  <c r="S17" i="3" a="1"/>
  <c r="S17" i="3"/>
  <c r="S50" i="3" a="1"/>
  <c r="S50" i="3"/>
  <c r="S63" i="3" a="1"/>
  <c r="S63" i="3"/>
  <c r="S73" i="3" a="1"/>
  <c r="S82" i="3" a="1"/>
  <c r="U67" i="3"/>
  <c r="U77" i="3"/>
  <c r="U7" i="3"/>
  <c r="U8" i="3"/>
  <c r="U9" i="3"/>
  <c r="U10" i="3"/>
  <c r="U11" i="3"/>
  <c r="U12" i="3"/>
  <c r="U13" i="3"/>
  <c r="U14" i="3"/>
  <c r="U15" i="3"/>
  <c r="U18" i="3"/>
  <c r="U21" i="3"/>
  <c r="U22" i="3"/>
  <c r="U23" i="3"/>
  <c r="U24" i="3"/>
  <c r="U25" i="3"/>
  <c r="U26" i="3"/>
  <c r="U27" i="3"/>
  <c r="U28" i="3"/>
  <c r="U29" i="3"/>
  <c r="U30" i="3"/>
  <c r="U31" i="3"/>
  <c r="U32" i="3"/>
  <c r="U33" i="3"/>
  <c r="U34" i="3"/>
  <c r="U35" i="3"/>
  <c r="U36" i="3"/>
  <c r="U37" i="3"/>
  <c r="U38" i="3"/>
  <c r="U39" i="3"/>
  <c r="U40" i="3"/>
  <c r="U41" i="3"/>
  <c r="U42" i="3"/>
  <c r="U43" i="3"/>
  <c r="U44" i="3"/>
  <c r="U45" i="3"/>
  <c r="U46" i="3"/>
  <c r="U47" i="3"/>
  <c r="U48" i="3"/>
  <c r="U51" i="3"/>
  <c r="U54" i="3"/>
  <c r="U55" i="3"/>
  <c r="U56" i="3"/>
  <c r="U57" i="3"/>
  <c r="U58" i="3"/>
  <c r="U59" i="3"/>
  <c r="U60" i="3"/>
  <c r="U61" i="3"/>
  <c r="U64" i="3"/>
  <c r="T123" i="3"/>
  <c r="T125" i="3"/>
  <c r="T94" i="3"/>
  <c r="T95" i="3"/>
  <c r="T96" i="3"/>
  <c r="T102" i="3"/>
  <c r="T103" i="3"/>
  <c r="T104" i="3"/>
  <c r="T110" i="3"/>
  <c r="T111" i="3"/>
  <c r="T112" i="3"/>
  <c r="T16" i="3"/>
  <c r="T49" i="3"/>
  <c r="T62" i="3"/>
  <c r="T17" i="3" a="1"/>
  <c r="T17" i="3"/>
  <c r="T50" i="3" a="1"/>
  <c r="T50" i="3"/>
  <c r="T63" i="3" a="1"/>
  <c r="T63" i="3"/>
  <c r="T73" i="3" a="1"/>
  <c r="T82" i="3" a="1"/>
  <c r="W67" i="3"/>
  <c r="W77" i="3"/>
  <c r="W7" i="3"/>
  <c r="W8" i="3"/>
  <c r="W9" i="3"/>
  <c r="W10" i="3"/>
  <c r="W11" i="3"/>
  <c r="W12" i="3"/>
  <c r="W13" i="3"/>
  <c r="W14" i="3"/>
  <c r="W15" i="3"/>
  <c r="W18" i="3"/>
  <c r="W21" i="3"/>
  <c r="W22" i="3"/>
  <c r="W23" i="3"/>
  <c r="W24" i="3"/>
  <c r="W25" i="3"/>
  <c r="W26" i="3"/>
  <c r="W27" i="3"/>
  <c r="W28" i="3"/>
  <c r="W29" i="3"/>
  <c r="W30" i="3"/>
  <c r="W31" i="3"/>
  <c r="W32" i="3"/>
  <c r="W33" i="3"/>
  <c r="W34" i="3"/>
  <c r="W35" i="3"/>
  <c r="W36" i="3"/>
  <c r="W37" i="3"/>
  <c r="W38" i="3"/>
  <c r="W39" i="3"/>
  <c r="W40" i="3"/>
  <c r="W41" i="3"/>
  <c r="W42" i="3"/>
  <c r="W43" i="3"/>
  <c r="W44" i="3"/>
  <c r="W45" i="3"/>
  <c r="W46" i="3"/>
  <c r="W47" i="3"/>
  <c r="W48" i="3"/>
  <c r="W51" i="3"/>
  <c r="W54" i="3"/>
  <c r="W55" i="3"/>
  <c r="W56" i="3"/>
  <c r="W57" i="3"/>
  <c r="W58" i="3"/>
  <c r="W59" i="3"/>
  <c r="W60" i="3"/>
  <c r="W61" i="3"/>
  <c r="W64" i="3"/>
  <c r="X54" i="3"/>
  <c r="X55" i="3"/>
  <c r="X56" i="3"/>
  <c r="X57" i="3"/>
  <c r="X58" i="3"/>
  <c r="X59" i="3"/>
  <c r="X60" i="3"/>
  <c r="X61" i="3"/>
  <c r="X64" i="3"/>
  <c r="X96" i="3"/>
  <c r="U123" i="3"/>
  <c r="U125" i="3"/>
  <c r="U94" i="3"/>
  <c r="U95" i="3"/>
  <c r="U96" i="3"/>
  <c r="U102" i="3"/>
  <c r="U103" i="3"/>
  <c r="U104" i="3"/>
  <c r="U110" i="3"/>
  <c r="U111" i="3"/>
  <c r="U112" i="3"/>
  <c r="U16" i="3"/>
  <c r="U49" i="3"/>
  <c r="U62" i="3"/>
  <c r="U17" i="3" a="1"/>
  <c r="U17" i="3"/>
  <c r="U50" i="3" a="1"/>
  <c r="U50" i="3"/>
  <c r="U63" i="3" a="1"/>
  <c r="U63" i="3"/>
  <c r="U73" i="3" a="1"/>
  <c r="U82" i="3" a="1"/>
  <c r="R21" i="2"/>
  <c r="R22" i="2"/>
  <c r="R23" i="2"/>
  <c r="R24" i="2"/>
  <c r="R25" i="2"/>
  <c r="R26" i="2"/>
  <c r="R27" i="2"/>
  <c r="R28" i="2"/>
  <c r="R29" i="2"/>
  <c r="R30" i="2"/>
  <c r="R31" i="2"/>
  <c r="X67" i="3"/>
  <c r="X77" i="3"/>
  <c r="X7" i="3"/>
  <c r="X8" i="3"/>
  <c r="X9" i="3"/>
  <c r="X10" i="3"/>
  <c r="X11" i="3"/>
  <c r="X12" i="3"/>
  <c r="X13" i="3"/>
  <c r="X14" i="3"/>
  <c r="X15" i="3"/>
  <c r="X18" i="3"/>
  <c r="X21" i="3"/>
  <c r="X22" i="3"/>
  <c r="X23" i="3"/>
  <c r="X24" i="3"/>
  <c r="X25" i="3"/>
  <c r="X26" i="3"/>
  <c r="X27" i="3"/>
  <c r="X28" i="3"/>
  <c r="X29" i="3"/>
  <c r="X30" i="3"/>
  <c r="X31" i="3"/>
  <c r="X32" i="3"/>
  <c r="X33" i="3"/>
  <c r="X34" i="3"/>
  <c r="X35" i="3"/>
  <c r="X36" i="3"/>
  <c r="X37" i="3"/>
  <c r="X38" i="3"/>
  <c r="X39" i="3"/>
  <c r="X40" i="3"/>
  <c r="X41" i="3"/>
  <c r="X42" i="3"/>
  <c r="X43" i="3"/>
  <c r="X44" i="3"/>
  <c r="X45" i="3"/>
  <c r="X46" i="3"/>
  <c r="X47" i="3"/>
  <c r="X48" i="3"/>
  <c r="X51" i="3"/>
  <c r="W123" i="3"/>
  <c r="W125" i="3"/>
  <c r="W94" i="3"/>
  <c r="W95" i="3"/>
  <c r="W96" i="3"/>
  <c r="W102" i="3"/>
  <c r="W103" i="3"/>
  <c r="W104" i="3"/>
  <c r="W110" i="3"/>
  <c r="W111" i="3"/>
  <c r="W112" i="3"/>
  <c r="W16" i="3"/>
  <c r="W49" i="3"/>
  <c r="W62" i="3"/>
  <c r="W17" i="3" a="1"/>
  <c r="W17" i="3"/>
  <c r="W50" i="3" a="1"/>
  <c r="W50" i="3"/>
  <c r="W63" i="3" a="1"/>
  <c r="W63" i="3"/>
  <c r="W73" i="3" a="1"/>
  <c r="W82" i="3" a="1"/>
  <c r="AH77" i="3"/>
  <c r="AG77" i="3"/>
  <c r="S21" i="2"/>
  <c r="T21" i="2"/>
  <c r="U21" i="2"/>
  <c r="V21" i="2"/>
  <c r="W21" i="2"/>
  <c r="X21" i="2"/>
  <c r="Y21" i="2"/>
  <c r="Z21" i="2"/>
  <c r="AA21" i="2"/>
  <c r="AB21" i="2"/>
  <c r="S22" i="2"/>
  <c r="T22" i="2"/>
  <c r="U22" i="2"/>
  <c r="V22" i="2"/>
  <c r="W22" i="2"/>
  <c r="X22" i="2"/>
  <c r="Y22" i="2"/>
  <c r="Z22" i="2"/>
  <c r="AA22" i="2"/>
  <c r="AB22" i="2"/>
  <c r="S23" i="2"/>
  <c r="T23" i="2"/>
  <c r="U23" i="2"/>
  <c r="V23" i="2"/>
  <c r="W23" i="2"/>
  <c r="X23" i="2"/>
  <c r="Y23" i="2"/>
  <c r="Z23" i="2"/>
  <c r="AA23" i="2"/>
  <c r="AB23" i="2"/>
  <c r="S24" i="2"/>
  <c r="T24" i="2"/>
  <c r="U24" i="2"/>
  <c r="V24" i="2"/>
  <c r="W24" i="2"/>
  <c r="X24" i="2"/>
  <c r="Y24" i="2"/>
  <c r="Z24" i="2"/>
  <c r="AA24" i="2"/>
  <c r="AB24" i="2"/>
  <c r="S25" i="2"/>
  <c r="T25" i="2"/>
  <c r="U25" i="2"/>
  <c r="V25" i="2"/>
  <c r="W25" i="2"/>
  <c r="X25" i="2"/>
  <c r="Y25" i="2"/>
  <c r="Z25" i="2"/>
  <c r="AA25" i="2"/>
  <c r="AB25" i="2"/>
  <c r="S26" i="2"/>
  <c r="T26" i="2"/>
  <c r="U26" i="2"/>
  <c r="V26" i="2"/>
  <c r="W26" i="2"/>
  <c r="X26" i="2"/>
  <c r="Y26" i="2"/>
  <c r="Z26" i="2"/>
  <c r="AA26" i="2"/>
  <c r="AB26" i="2"/>
  <c r="S27" i="2"/>
  <c r="T27" i="2"/>
  <c r="U27" i="2"/>
  <c r="V27" i="2"/>
  <c r="W27" i="2"/>
  <c r="X27" i="2"/>
  <c r="Y27" i="2"/>
  <c r="Z27" i="2"/>
  <c r="AA27" i="2"/>
  <c r="AB27" i="2"/>
  <c r="S28" i="2"/>
  <c r="T28" i="2"/>
  <c r="U28" i="2"/>
  <c r="V28" i="2"/>
  <c r="W28" i="2"/>
  <c r="X28" i="2"/>
  <c r="Y28" i="2"/>
  <c r="Z28" i="2"/>
  <c r="AA28" i="2"/>
  <c r="AB28" i="2"/>
  <c r="S29" i="2"/>
  <c r="T29" i="2"/>
  <c r="U29" i="2"/>
  <c r="V29" i="2"/>
  <c r="W29" i="2"/>
  <c r="X29" i="2"/>
  <c r="Y29" i="2"/>
  <c r="Z29" i="2"/>
  <c r="AA29" i="2"/>
  <c r="AB29" i="2"/>
  <c r="S30" i="2"/>
  <c r="T30" i="2"/>
  <c r="U30" i="2"/>
  <c r="V30" i="2"/>
  <c r="W30" i="2"/>
  <c r="X30" i="2"/>
  <c r="Y30" i="2"/>
  <c r="Z30" i="2"/>
  <c r="AA30" i="2"/>
  <c r="AB30" i="2"/>
  <c r="S31" i="2"/>
  <c r="T31" i="2"/>
  <c r="U31" i="2"/>
  <c r="V31" i="2"/>
  <c r="W31" i="2"/>
  <c r="X31" i="2"/>
  <c r="Y31" i="2"/>
  <c r="Z31" i="2"/>
  <c r="AA31" i="2"/>
  <c r="AB31" i="2"/>
  <c r="AH67" i="3"/>
  <c r="AG67" i="3"/>
  <c r="AF77" i="3"/>
  <c r="AF67" i="3"/>
  <c r="AE77" i="3"/>
  <c r="AE67" i="3"/>
  <c r="AD77" i="3"/>
  <c r="AD67" i="3"/>
  <c r="AC77" i="3"/>
  <c r="AC67" i="3"/>
  <c r="AB77" i="3"/>
  <c r="AB67" i="3"/>
  <c r="AA77" i="3"/>
  <c r="AA67" i="3"/>
  <c r="Z77" i="3"/>
  <c r="Z67" i="3"/>
  <c r="Y77" i="3"/>
  <c r="Y67" i="3"/>
  <c r="J81" i="1"/>
  <c r="I81" i="1"/>
  <c r="AH123" i="3"/>
  <c r="AG123" i="3"/>
  <c r="AF123" i="3"/>
  <c r="AE123" i="3"/>
  <c r="AD123" i="3"/>
  <c r="AC123" i="3"/>
  <c r="AB123" i="3"/>
  <c r="AA123" i="3"/>
  <c r="Z123" i="3"/>
  <c r="Y123" i="3"/>
  <c r="X123" i="3"/>
  <c r="AH54" i="3"/>
  <c r="AH55" i="3"/>
  <c r="AH56" i="3"/>
  <c r="AH57" i="3"/>
  <c r="AH58" i="3"/>
  <c r="AH59" i="3"/>
  <c r="AH60" i="3"/>
  <c r="AH61" i="3"/>
  <c r="AH62" i="3"/>
  <c r="AH64" i="3"/>
  <c r="AH96" i="3"/>
  <c r="AH104" i="3"/>
  <c r="AG54" i="3"/>
  <c r="AG55" i="3"/>
  <c r="AG56" i="3"/>
  <c r="AG57" i="3"/>
  <c r="AG58" i="3"/>
  <c r="AG59" i="3"/>
  <c r="AG60" i="3"/>
  <c r="AG61" i="3"/>
  <c r="AG64" i="3"/>
  <c r="AH112" i="3"/>
  <c r="AG29" i="1"/>
  <c r="AG62" i="3"/>
  <c r="AG96" i="3"/>
  <c r="AG104" i="3"/>
  <c r="AF54" i="3"/>
  <c r="AF55" i="3"/>
  <c r="AF56" i="3"/>
  <c r="AF57" i="3"/>
  <c r="AF58" i="3"/>
  <c r="AF59" i="3"/>
  <c r="AF60" i="3"/>
  <c r="AF61" i="3"/>
  <c r="AF64" i="3"/>
  <c r="AG112" i="3"/>
  <c r="AF29" i="1"/>
  <c r="AF62" i="3"/>
  <c r="AF96" i="3"/>
  <c r="AF104" i="3"/>
  <c r="AE54" i="3"/>
  <c r="AE55" i="3"/>
  <c r="AE56" i="3"/>
  <c r="AE57" i="3"/>
  <c r="AE58" i="3"/>
  <c r="AE59" i="3"/>
  <c r="AE60" i="3"/>
  <c r="AE61" i="3"/>
  <c r="AE64" i="3"/>
  <c r="AF112" i="3"/>
  <c r="AE29" i="1"/>
  <c r="AE62" i="3"/>
  <c r="AE96" i="3"/>
  <c r="AE104" i="3"/>
  <c r="AD54" i="3"/>
  <c r="AD55" i="3"/>
  <c r="AD56" i="3"/>
  <c r="AD57" i="3"/>
  <c r="AD58" i="3"/>
  <c r="AD59" i="3"/>
  <c r="AD60" i="3"/>
  <c r="AD61" i="3"/>
  <c r="AD64" i="3"/>
  <c r="AE112" i="3"/>
  <c r="AD29" i="1"/>
  <c r="AD62" i="3"/>
  <c r="AD96" i="3"/>
  <c r="AD104" i="3"/>
  <c r="AC54" i="3"/>
  <c r="AC55" i="3"/>
  <c r="AC56" i="3"/>
  <c r="AC57" i="3"/>
  <c r="AC58" i="3"/>
  <c r="AC59" i="3"/>
  <c r="AC60" i="3"/>
  <c r="AC61" i="3"/>
  <c r="AC64" i="3"/>
  <c r="AD112" i="3"/>
  <c r="AC29" i="1"/>
  <c r="AC62" i="3"/>
  <c r="AC96" i="3"/>
  <c r="AC104" i="3"/>
  <c r="AB54" i="3"/>
  <c r="AB55" i="3"/>
  <c r="AB56" i="3"/>
  <c r="AB57" i="3"/>
  <c r="AB58" i="3"/>
  <c r="AB59" i="3"/>
  <c r="AB60" i="3"/>
  <c r="AB61" i="3"/>
  <c r="AB64" i="3"/>
  <c r="AC112" i="3"/>
  <c r="AB29" i="1"/>
  <c r="AB62" i="3"/>
  <c r="AB96" i="3"/>
  <c r="AB104" i="3"/>
  <c r="AA54" i="3"/>
  <c r="AA55" i="3"/>
  <c r="AA56" i="3"/>
  <c r="AA57" i="3"/>
  <c r="AA58" i="3"/>
  <c r="AA59" i="3"/>
  <c r="AA60" i="3"/>
  <c r="AA61" i="3"/>
  <c r="AA64" i="3"/>
  <c r="AB112" i="3"/>
  <c r="AA29" i="1"/>
  <c r="AA62" i="3"/>
  <c r="AA96" i="3"/>
  <c r="AA104" i="3"/>
  <c r="Z54" i="3"/>
  <c r="Z55" i="3"/>
  <c r="Z56" i="3"/>
  <c r="Z57" i="3"/>
  <c r="Z58" i="3"/>
  <c r="Z59" i="3"/>
  <c r="Z60" i="3"/>
  <c r="Z61" i="3"/>
  <c r="Z64" i="3"/>
  <c r="AA112" i="3"/>
  <c r="Z29" i="1"/>
  <c r="Z62" i="3"/>
  <c r="Z96" i="3"/>
  <c r="Z104" i="3"/>
  <c r="Y54" i="3"/>
  <c r="Y55" i="3"/>
  <c r="Y56" i="3"/>
  <c r="Y57" i="3"/>
  <c r="Y58" i="3"/>
  <c r="Y59" i="3"/>
  <c r="Y60" i="3"/>
  <c r="Y61" i="3"/>
  <c r="Y64" i="3"/>
  <c r="Z112" i="3"/>
  <c r="Y29" i="1"/>
  <c r="Y62" i="3"/>
  <c r="Y96" i="3"/>
  <c r="Y104" i="3"/>
  <c r="Y112" i="3"/>
  <c r="X29" i="1"/>
  <c r="X62" i="3"/>
  <c r="X104" i="3"/>
  <c r="X112" i="3"/>
  <c r="W29" i="1"/>
  <c r="V29" i="1"/>
  <c r="T29" i="1"/>
  <c r="S29" i="1"/>
  <c r="R29" i="1"/>
  <c r="Q29" i="1"/>
  <c r="P29" i="1"/>
  <c r="O29" i="1"/>
  <c r="N29" i="1"/>
  <c r="M29" i="1"/>
  <c r="L29" i="1"/>
  <c r="K29" i="1"/>
  <c r="J29" i="1"/>
  <c r="J94" i="1"/>
  <c r="J95" i="1"/>
  <c r="I94" i="1"/>
  <c r="I95" i="1"/>
  <c r="I69" i="1"/>
  <c r="K175" i="3"/>
  <c r="E19" i="4"/>
  <c r="J175" i="3"/>
  <c r="D19" i="4"/>
  <c r="AH7" i="3"/>
  <c r="AH8" i="3"/>
  <c r="AH9" i="3"/>
  <c r="AH10" i="3"/>
  <c r="AH11" i="3"/>
  <c r="AH12" i="3"/>
  <c r="AH13" i="3"/>
  <c r="AH14" i="3"/>
  <c r="AH15" i="3"/>
  <c r="AH18" i="3"/>
  <c r="AH21" i="3"/>
  <c r="AH22" i="3"/>
  <c r="AH23" i="3"/>
  <c r="AH24" i="3"/>
  <c r="AH25" i="3"/>
  <c r="AH26" i="3"/>
  <c r="AH27" i="3"/>
  <c r="AH28" i="3"/>
  <c r="AH29" i="3"/>
  <c r="AH30" i="3"/>
  <c r="AH31" i="3"/>
  <c r="AH32" i="3"/>
  <c r="AH33" i="3"/>
  <c r="AH34" i="3"/>
  <c r="AH35" i="3"/>
  <c r="AH36" i="3"/>
  <c r="AH37" i="3"/>
  <c r="AH38" i="3"/>
  <c r="AH39" i="3"/>
  <c r="AH40" i="3"/>
  <c r="AH41" i="3"/>
  <c r="AH42" i="3"/>
  <c r="AH43" i="3"/>
  <c r="AH44" i="3"/>
  <c r="AH45" i="3"/>
  <c r="AH46" i="3"/>
  <c r="AH47" i="3"/>
  <c r="AH48" i="3"/>
  <c r="AH51" i="3"/>
  <c r="AH16" i="3"/>
  <c r="AH49" i="3"/>
  <c r="AH17" i="3" a="1"/>
  <c r="AH17" i="3"/>
  <c r="AH50" i="3" a="1"/>
  <c r="AH50" i="3"/>
  <c r="AH63" i="3" a="1"/>
  <c r="AH63" i="3"/>
  <c r="AH73" i="3" a="1"/>
  <c r="AH82" i="3" a="1"/>
  <c r="AF73" i="3" a="1"/>
  <c r="AG73" i="3" a="1"/>
  <c r="Y7" i="3"/>
  <c r="Y8" i="3"/>
  <c r="Y9" i="3"/>
  <c r="Y10" i="3"/>
  <c r="Y11" i="3"/>
  <c r="Y12" i="3"/>
  <c r="Y13" i="3"/>
  <c r="Y14" i="3"/>
  <c r="Z7" i="3"/>
  <c r="Z8" i="3"/>
  <c r="Z9" i="3"/>
  <c r="Z10" i="3"/>
  <c r="Z11" i="3"/>
  <c r="Z12" i="3"/>
  <c r="Z13" i="3"/>
  <c r="Z14" i="3"/>
  <c r="AA7" i="3"/>
  <c r="AA8" i="3"/>
  <c r="AA9" i="3"/>
  <c r="AA10" i="3"/>
  <c r="AA11" i="3"/>
  <c r="AA12" i="3"/>
  <c r="AA13" i="3"/>
  <c r="AA14" i="3"/>
  <c r="AB7" i="3"/>
  <c r="AB8" i="3"/>
  <c r="AB9" i="3"/>
  <c r="AB10" i="3"/>
  <c r="AB11" i="3"/>
  <c r="AB12" i="3"/>
  <c r="AB13" i="3"/>
  <c r="AB14" i="3"/>
  <c r="AC7" i="3"/>
  <c r="AC8" i="3"/>
  <c r="AC9" i="3"/>
  <c r="AC10" i="3"/>
  <c r="AC11" i="3"/>
  <c r="AC12" i="3"/>
  <c r="AC13" i="3"/>
  <c r="AC14" i="3"/>
  <c r="AD7" i="3"/>
  <c r="AD8" i="3"/>
  <c r="AD9" i="3"/>
  <c r="AD10" i="3"/>
  <c r="AD11" i="3"/>
  <c r="AD12" i="3"/>
  <c r="AD13" i="3"/>
  <c r="AD14" i="3"/>
  <c r="AE7" i="3"/>
  <c r="AE8" i="3"/>
  <c r="AE9" i="3"/>
  <c r="AE10" i="3"/>
  <c r="AE11" i="3"/>
  <c r="AE12" i="3"/>
  <c r="AE13" i="3"/>
  <c r="AE14" i="3"/>
  <c r="AF7" i="3"/>
  <c r="AF8" i="3"/>
  <c r="AF9" i="3"/>
  <c r="AF10" i="3"/>
  <c r="AF11" i="3"/>
  <c r="AF12" i="3"/>
  <c r="AF13" i="3"/>
  <c r="AF14" i="3"/>
  <c r="AG7" i="3"/>
  <c r="AG8" i="3"/>
  <c r="AG9" i="3"/>
  <c r="AG10" i="3"/>
  <c r="AG11" i="3"/>
  <c r="AG12" i="3"/>
  <c r="AG13" i="3"/>
  <c r="AG14" i="3"/>
  <c r="Z21" i="3"/>
  <c r="Z22" i="3"/>
  <c r="Z23" i="3"/>
  <c r="Z24" i="3"/>
  <c r="Z25" i="3"/>
  <c r="Z26" i="3"/>
  <c r="Z27" i="3"/>
  <c r="Z28" i="3"/>
  <c r="Z29" i="3"/>
  <c r="Z30" i="3"/>
  <c r="Z31" i="3"/>
  <c r="Z32" i="3"/>
  <c r="Z33" i="3"/>
  <c r="Z34" i="3"/>
  <c r="Z35" i="3"/>
  <c r="Z36" i="3"/>
  <c r="Z37" i="3"/>
  <c r="Z38" i="3"/>
  <c r="Z39" i="3"/>
  <c r="Z40" i="3"/>
  <c r="Z41" i="3"/>
  <c r="Z42" i="3"/>
  <c r="Z43" i="3"/>
  <c r="Z44" i="3"/>
  <c r="Z45" i="3"/>
  <c r="Z46" i="3"/>
  <c r="Z47" i="3"/>
  <c r="AA21" i="3"/>
  <c r="AA22" i="3"/>
  <c r="AA23" i="3"/>
  <c r="AA24" i="3"/>
  <c r="AA25" i="3"/>
  <c r="AA26" i="3"/>
  <c r="AA27" i="3"/>
  <c r="AA28" i="3"/>
  <c r="AA29" i="3"/>
  <c r="AA30" i="3"/>
  <c r="AA31" i="3"/>
  <c r="AA32" i="3"/>
  <c r="AA33" i="3"/>
  <c r="AA34" i="3"/>
  <c r="AA35" i="3"/>
  <c r="AA36" i="3"/>
  <c r="AA37" i="3"/>
  <c r="AA38" i="3"/>
  <c r="AA39" i="3"/>
  <c r="AA40" i="3"/>
  <c r="AA41" i="3"/>
  <c r="AA42" i="3"/>
  <c r="AA43" i="3"/>
  <c r="AA44" i="3"/>
  <c r="AA45" i="3"/>
  <c r="AA46" i="3"/>
  <c r="AA47" i="3"/>
  <c r="AB21" i="3"/>
  <c r="AB22" i="3"/>
  <c r="AB23" i="3"/>
  <c r="AB24" i="3"/>
  <c r="AB25" i="3"/>
  <c r="AB26" i="3"/>
  <c r="AB27" i="3"/>
  <c r="AB28" i="3"/>
  <c r="AB29" i="3"/>
  <c r="AB30" i="3"/>
  <c r="AB31" i="3"/>
  <c r="AB32" i="3"/>
  <c r="AB33" i="3"/>
  <c r="AB34" i="3"/>
  <c r="AB35" i="3"/>
  <c r="AB36" i="3"/>
  <c r="AB37" i="3"/>
  <c r="AB38" i="3"/>
  <c r="AB39" i="3"/>
  <c r="AB40" i="3"/>
  <c r="AB41" i="3"/>
  <c r="AB42" i="3"/>
  <c r="AB43" i="3"/>
  <c r="AB44" i="3"/>
  <c r="AB45" i="3"/>
  <c r="AB46" i="3"/>
  <c r="AB47" i="3"/>
  <c r="AC21" i="3"/>
  <c r="AC22" i="3"/>
  <c r="AC23" i="3"/>
  <c r="AC24" i="3"/>
  <c r="AC25" i="3"/>
  <c r="AC26" i="3"/>
  <c r="AC27" i="3"/>
  <c r="AC28" i="3"/>
  <c r="AC29" i="3"/>
  <c r="AC30" i="3"/>
  <c r="AC31" i="3"/>
  <c r="AC32" i="3"/>
  <c r="AC33" i="3"/>
  <c r="AC34" i="3"/>
  <c r="AC35" i="3"/>
  <c r="AC36" i="3"/>
  <c r="AC37" i="3"/>
  <c r="AC38" i="3"/>
  <c r="AC39" i="3"/>
  <c r="AC40" i="3"/>
  <c r="AC41" i="3"/>
  <c r="AC42" i="3"/>
  <c r="AC43" i="3"/>
  <c r="AC44" i="3"/>
  <c r="AC45" i="3"/>
  <c r="AC46" i="3"/>
  <c r="AC47" i="3"/>
  <c r="AD21" i="3"/>
  <c r="AD22" i="3"/>
  <c r="AD23" i="3"/>
  <c r="AD24" i="3"/>
  <c r="AD25" i="3"/>
  <c r="AD26" i="3"/>
  <c r="AD27" i="3"/>
  <c r="AD28" i="3"/>
  <c r="AD29" i="3"/>
  <c r="AD30" i="3"/>
  <c r="AD31" i="3"/>
  <c r="AD32" i="3"/>
  <c r="AD33" i="3"/>
  <c r="AD34" i="3"/>
  <c r="AD35" i="3"/>
  <c r="AD36" i="3"/>
  <c r="AD37" i="3"/>
  <c r="AD38" i="3"/>
  <c r="AD39" i="3"/>
  <c r="AD40" i="3"/>
  <c r="AD41" i="3"/>
  <c r="AD42" i="3"/>
  <c r="AD43" i="3"/>
  <c r="AD44" i="3"/>
  <c r="AD45" i="3"/>
  <c r="AD46" i="3"/>
  <c r="AD47" i="3"/>
  <c r="AE21" i="3"/>
  <c r="AE22" i="3"/>
  <c r="AE23" i="3"/>
  <c r="AE24" i="3"/>
  <c r="AE25" i="3"/>
  <c r="AE26" i="3"/>
  <c r="AE27" i="3"/>
  <c r="AE28" i="3"/>
  <c r="AE29" i="3"/>
  <c r="AE30" i="3"/>
  <c r="AE31" i="3"/>
  <c r="AE32" i="3"/>
  <c r="AE33" i="3"/>
  <c r="AE34" i="3"/>
  <c r="AE35" i="3"/>
  <c r="AE36" i="3"/>
  <c r="AE37" i="3"/>
  <c r="AE38" i="3"/>
  <c r="AE39" i="3"/>
  <c r="AE40" i="3"/>
  <c r="AE41" i="3"/>
  <c r="AE42" i="3"/>
  <c r="AE43" i="3"/>
  <c r="AE44" i="3"/>
  <c r="AE45" i="3"/>
  <c r="AE46" i="3"/>
  <c r="AE47" i="3"/>
  <c r="AF21" i="3"/>
  <c r="AF22" i="3"/>
  <c r="AF23" i="3"/>
  <c r="AF24" i="3"/>
  <c r="AF25" i="3"/>
  <c r="AF26" i="3"/>
  <c r="AF27" i="3"/>
  <c r="AF28" i="3"/>
  <c r="AF29" i="3"/>
  <c r="AF30" i="3"/>
  <c r="AF31" i="3"/>
  <c r="AF32" i="3"/>
  <c r="AF33" i="3"/>
  <c r="AF34" i="3"/>
  <c r="AF35" i="3"/>
  <c r="AF36" i="3"/>
  <c r="AF37" i="3"/>
  <c r="AF38" i="3"/>
  <c r="AF39" i="3"/>
  <c r="AF40" i="3"/>
  <c r="AF41" i="3"/>
  <c r="AF42" i="3"/>
  <c r="AF43" i="3"/>
  <c r="AF44" i="3"/>
  <c r="AF45" i="3"/>
  <c r="AF46" i="3"/>
  <c r="AF47" i="3"/>
  <c r="AG21" i="3"/>
  <c r="AG22" i="3"/>
  <c r="AG23" i="3"/>
  <c r="AG24" i="3"/>
  <c r="AG25" i="3"/>
  <c r="AG26" i="3"/>
  <c r="AG27" i="3"/>
  <c r="AG28" i="3"/>
  <c r="AG29" i="3"/>
  <c r="AG30" i="3"/>
  <c r="AG31" i="3"/>
  <c r="AG32" i="3"/>
  <c r="AG33" i="3"/>
  <c r="AG34" i="3"/>
  <c r="AG35" i="3"/>
  <c r="AG36" i="3"/>
  <c r="AG37" i="3"/>
  <c r="AG38" i="3"/>
  <c r="AG39" i="3"/>
  <c r="AG40" i="3"/>
  <c r="AG41" i="3"/>
  <c r="AG42" i="3"/>
  <c r="AG43" i="3"/>
  <c r="AG44" i="3"/>
  <c r="AG45" i="3"/>
  <c r="AG46" i="3"/>
  <c r="AG47" i="3"/>
  <c r="AH94" i="3"/>
  <c r="AH95" i="3"/>
  <c r="AH102" i="3"/>
  <c r="AH103" i="3"/>
  <c r="AG15" i="3"/>
  <c r="AG18" i="3"/>
  <c r="AH110" i="3"/>
  <c r="AG48" i="3"/>
  <c r="AG51" i="3"/>
  <c r="AH111" i="3"/>
  <c r="AH125" i="3"/>
  <c r="AG16" i="3"/>
  <c r="AG49" i="3"/>
  <c r="AG17" i="3" a="1"/>
  <c r="AG17" i="3"/>
  <c r="AG50" i="3" a="1"/>
  <c r="AG50" i="3"/>
  <c r="AG63" i="3" a="1"/>
  <c r="AG63" i="3"/>
  <c r="AG82" i="3" a="1"/>
  <c r="AG94" i="3"/>
  <c r="AG95" i="3"/>
  <c r="AG102" i="3"/>
  <c r="AG103" i="3"/>
  <c r="AF15" i="3"/>
  <c r="AF18" i="3"/>
  <c r="AG110" i="3"/>
  <c r="AF48" i="3"/>
  <c r="AF51" i="3"/>
  <c r="AG111" i="3"/>
  <c r="AG125" i="3"/>
  <c r="AF16" i="3"/>
  <c r="AF49" i="3"/>
  <c r="AF17" i="3" a="1"/>
  <c r="AF17" i="3"/>
  <c r="AF50" i="3" a="1"/>
  <c r="AF50" i="3"/>
  <c r="AF63" i="3" a="1"/>
  <c r="AF63" i="3"/>
  <c r="AF82" i="3" a="1"/>
  <c r="AF94" i="3"/>
  <c r="AF95" i="3"/>
  <c r="AF102" i="3"/>
  <c r="AF103" i="3"/>
  <c r="AE15" i="3"/>
  <c r="AE18" i="3"/>
  <c r="AF110" i="3"/>
  <c r="AE48" i="3"/>
  <c r="AE51" i="3"/>
  <c r="AF111" i="3"/>
  <c r="AF125" i="3"/>
  <c r="AE16" i="3"/>
  <c r="AE49" i="3"/>
  <c r="AE17" i="3" a="1"/>
  <c r="AE17" i="3"/>
  <c r="AE50" i="3" a="1"/>
  <c r="AE50" i="3"/>
  <c r="AE63" i="3" a="1"/>
  <c r="AE63" i="3"/>
  <c r="AE73" i="3" a="1"/>
  <c r="AE82" i="3" a="1"/>
  <c r="AC73" i="3" a="1"/>
  <c r="AD73" i="3" a="1"/>
  <c r="AE94" i="3"/>
  <c r="AE95" i="3"/>
  <c r="AE102" i="3"/>
  <c r="AE103" i="3"/>
  <c r="AD15" i="3"/>
  <c r="AD18" i="3"/>
  <c r="AE110" i="3"/>
  <c r="AD48" i="3"/>
  <c r="AD51" i="3"/>
  <c r="AE111" i="3"/>
  <c r="AE125" i="3"/>
  <c r="AD16" i="3"/>
  <c r="AD49" i="3"/>
  <c r="AD17" i="3" a="1"/>
  <c r="AD17" i="3"/>
  <c r="AD50" i="3" a="1"/>
  <c r="AD50" i="3"/>
  <c r="AD63" i="3" a="1"/>
  <c r="AD63" i="3"/>
  <c r="AD82" i="3" a="1"/>
  <c r="AD94" i="3"/>
  <c r="AD95" i="3"/>
  <c r="AD102" i="3"/>
  <c r="AD103" i="3"/>
  <c r="AC15" i="3"/>
  <c r="AC18" i="3"/>
  <c r="AD110" i="3"/>
  <c r="AC48" i="3"/>
  <c r="AC51" i="3"/>
  <c r="AD111" i="3"/>
  <c r="AD125" i="3"/>
  <c r="AC16" i="3"/>
  <c r="AC49" i="3"/>
  <c r="AC17" i="3" a="1"/>
  <c r="AC17" i="3"/>
  <c r="AC50" i="3" a="1"/>
  <c r="AC50" i="3"/>
  <c r="AC63" i="3" a="1"/>
  <c r="AC63" i="3"/>
  <c r="AC82" i="3" a="1"/>
  <c r="AC94" i="3"/>
  <c r="AC95" i="3"/>
  <c r="AC102" i="3"/>
  <c r="AC103" i="3"/>
  <c r="AB15" i="3"/>
  <c r="AB18" i="3"/>
  <c r="AC110" i="3"/>
  <c r="AB48" i="3"/>
  <c r="AB51" i="3"/>
  <c r="AC111" i="3"/>
  <c r="AC125" i="3"/>
  <c r="AB16" i="3"/>
  <c r="AB49" i="3"/>
  <c r="AB17" i="3" a="1"/>
  <c r="AB17" i="3"/>
  <c r="AB50" i="3" a="1"/>
  <c r="AB50" i="3"/>
  <c r="AB63" i="3" a="1"/>
  <c r="AB63" i="3"/>
  <c r="AB73" i="3" a="1"/>
  <c r="AB82" i="3" a="1"/>
  <c r="Z73" i="3" a="1"/>
  <c r="AA73" i="3" a="1"/>
  <c r="AB94" i="3"/>
  <c r="AB95" i="3"/>
  <c r="AB102" i="3"/>
  <c r="AB103" i="3"/>
  <c r="AA15" i="3"/>
  <c r="AA18" i="3"/>
  <c r="AB110" i="3"/>
  <c r="AA48" i="3"/>
  <c r="AA51" i="3"/>
  <c r="AB111" i="3"/>
  <c r="AB125" i="3"/>
  <c r="AA16" i="3"/>
  <c r="AA49" i="3"/>
  <c r="AA17" i="3" a="1"/>
  <c r="AA17" i="3"/>
  <c r="AA50" i="3" a="1"/>
  <c r="AA50" i="3"/>
  <c r="AA63" i="3" a="1"/>
  <c r="AA63" i="3"/>
  <c r="AA82" i="3" a="1"/>
  <c r="AA94" i="3"/>
  <c r="AA95" i="3"/>
  <c r="AA102" i="3"/>
  <c r="AA103" i="3"/>
  <c r="Z15" i="3"/>
  <c r="Z18" i="3"/>
  <c r="AA110" i="3"/>
  <c r="Z48" i="3"/>
  <c r="Z51" i="3"/>
  <c r="AA111" i="3"/>
  <c r="AA125" i="3"/>
  <c r="Z16" i="3"/>
  <c r="Z49" i="3"/>
  <c r="Z17" i="3" a="1"/>
  <c r="Z17" i="3"/>
  <c r="Z50" i="3" a="1"/>
  <c r="Z50" i="3"/>
  <c r="Z63" i="3" a="1"/>
  <c r="Z63" i="3"/>
  <c r="Z82" i="3" a="1"/>
  <c r="Z94" i="3"/>
  <c r="Z95" i="3"/>
  <c r="Z102" i="3"/>
  <c r="Z103" i="3"/>
  <c r="Y15" i="3"/>
  <c r="Y18" i="3"/>
  <c r="Z110" i="3"/>
  <c r="Y21" i="3"/>
  <c r="Y22" i="3"/>
  <c r="Y23" i="3"/>
  <c r="Y24" i="3"/>
  <c r="Y25" i="3"/>
  <c r="Y26" i="3"/>
  <c r="Y27" i="3"/>
  <c r="Y28" i="3"/>
  <c r="Y29" i="3"/>
  <c r="Y30" i="3"/>
  <c r="Y31" i="3"/>
  <c r="Y32" i="3"/>
  <c r="Y33" i="3"/>
  <c r="Y34" i="3"/>
  <c r="Y35" i="3"/>
  <c r="Y36" i="3"/>
  <c r="Y37" i="3"/>
  <c r="Y38" i="3"/>
  <c r="Y39" i="3"/>
  <c r="Y40" i="3"/>
  <c r="Y41" i="3"/>
  <c r="Y42" i="3"/>
  <c r="Y43" i="3"/>
  <c r="Y44" i="3"/>
  <c r="Y45" i="3"/>
  <c r="Y46" i="3"/>
  <c r="Y47" i="3"/>
  <c r="Y48" i="3"/>
  <c r="Y51" i="3"/>
  <c r="Z111" i="3"/>
  <c r="Z125" i="3"/>
  <c r="Y16" i="3"/>
  <c r="Y49" i="3"/>
  <c r="X73" i="3" a="1"/>
  <c r="Y73" i="3" a="1"/>
  <c r="Y94" i="3"/>
  <c r="Y95" i="3"/>
  <c r="Y102" i="3"/>
  <c r="Y103" i="3"/>
  <c r="Y110" i="3"/>
  <c r="Y111" i="3"/>
  <c r="Y125" i="3"/>
  <c r="X16" i="3"/>
  <c r="X49" i="3"/>
  <c r="X94" i="3"/>
  <c r="X95" i="3"/>
  <c r="X102" i="3"/>
  <c r="X103" i="3"/>
  <c r="X110" i="3"/>
  <c r="X111" i="3"/>
  <c r="X125" i="3"/>
  <c r="E108" i="4"/>
  <c r="D108" i="4"/>
  <c r="AH174" i="3"/>
  <c r="AB16" i="4"/>
  <c r="AB107" i="4"/>
  <c r="AG174" i="3"/>
  <c r="AA16" i="4"/>
  <c r="AA107" i="4"/>
  <c r="AF174" i="3"/>
  <c r="Z16" i="4"/>
  <c r="Z107" i="4"/>
  <c r="AE174" i="3"/>
  <c r="Y16" i="4"/>
  <c r="Y107" i="4"/>
  <c r="AD174" i="3"/>
  <c r="X16" i="4"/>
  <c r="X107" i="4"/>
  <c r="AC174" i="3"/>
  <c r="W16" i="4"/>
  <c r="W107" i="4"/>
  <c r="AB174" i="3"/>
  <c r="V16" i="4"/>
  <c r="V107" i="4"/>
  <c r="AA174" i="3"/>
  <c r="U16" i="4"/>
  <c r="U107" i="4"/>
  <c r="Z174" i="3"/>
  <c r="T16" i="4"/>
  <c r="T107" i="4"/>
  <c r="Y174" i="3"/>
  <c r="S16" i="4"/>
  <c r="S107" i="4"/>
  <c r="X174" i="3"/>
  <c r="R16" i="4"/>
  <c r="R107" i="4"/>
  <c r="W174" i="3"/>
  <c r="Q16" i="4"/>
  <c r="Q107" i="4"/>
  <c r="K174" i="3"/>
  <c r="E16" i="4"/>
  <c r="E107" i="4"/>
  <c r="L174" i="3"/>
  <c r="F16" i="4"/>
  <c r="F107" i="4"/>
  <c r="M174" i="3"/>
  <c r="G16" i="4"/>
  <c r="G107" i="4"/>
  <c r="N174" i="3"/>
  <c r="H16" i="4"/>
  <c r="H107" i="4"/>
  <c r="O174" i="3"/>
  <c r="I16" i="4"/>
  <c r="I107" i="4"/>
  <c r="P174" i="3"/>
  <c r="J16" i="4"/>
  <c r="J107" i="4"/>
  <c r="Q174" i="3"/>
  <c r="K16" i="4"/>
  <c r="K107" i="4"/>
  <c r="R174" i="3"/>
  <c r="L16" i="4"/>
  <c r="L107" i="4"/>
  <c r="S174" i="3"/>
  <c r="M16" i="4"/>
  <c r="M107" i="4"/>
  <c r="T174" i="3"/>
  <c r="N16" i="4"/>
  <c r="N107" i="4"/>
  <c r="U174" i="3"/>
  <c r="O16" i="4"/>
  <c r="O107" i="4"/>
  <c r="J174" i="3"/>
  <c r="D16" i="4"/>
  <c r="D107" i="4"/>
  <c r="AC37" i="4"/>
  <c r="P37" i="4"/>
  <c r="AC16" i="4"/>
  <c r="P16" i="4"/>
  <c r="AI12" i="3"/>
  <c r="AI10" i="3"/>
  <c r="AI9" i="3"/>
  <c r="V12" i="3"/>
  <c r="V10" i="3"/>
  <c r="V9" i="3"/>
  <c r="AI60" i="3"/>
  <c r="AI59" i="3"/>
  <c r="V60" i="3"/>
  <c r="V59" i="3"/>
  <c r="AI47" i="3"/>
  <c r="AI46" i="3"/>
  <c r="AI45" i="3"/>
  <c r="V47" i="3"/>
  <c r="V46" i="3"/>
  <c r="V45" i="3"/>
  <c r="AI26" i="3"/>
  <c r="V48" i="3"/>
  <c r="AI44" i="3"/>
  <c r="V44" i="3"/>
  <c r="AI43" i="3"/>
  <c r="V43" i="3"/>
  <c r="AI42" i="3"/>
  <c r="V42" i="3"/>
  <c r="AI41" i="3"/>
  <c r="V41" i="3"/>
  <c r="Y82" i="3" a="1"/>
  <c r="X82" i="3" a="1"/>
  <c r="D21" i="2"/>
  <c r="Y63" i="3" a="1"/>
  <c r="X63" i="3" a="1"/>
  <c r="Y50" i="3" a="1"/>
  <c r="X50" i="3" a="1"/>
  <c r="Y17" i="3" a="1"/>
  <c r="Y17" i="3"/>
  <c r="X17" i="3" a="1"/>
  <c r="X17" i="3"/>
  <c r="AI34" i="3"/>
  <c r="V34" i="3"/>
  <c r="AI33" i="3"/>
  <c r="V33" i="3"/>
  <c r="V26" i="3"/>
  <c r="AI29" i="3"/>
  <c r="V29" i="3"/>
  <c r="V125" i="3"/>
  <c r="AI125" i="3"/>
  <c r="AI123" i="3"/>
  <c r="V123" i="3"/>
  <c r="AI112" i="3"/>
  <c r="V112" i="3"/>
  <c r="AI111" i="3"/>
  <c r="V111" i="3"/>
  <c r="AI110" i="3"/>
  <c r="V110" i="3"/>
  <c r="AI104" i="3"/>
  <c r="V104" i="3"/>
  <c r="AI103" i="3"/>
  <c r="V103" i="3"/>
  <c r="AI102" i="3"/>
  <c r="V102" i="3"/>
  <c r="AI96" i="3"/>
  <c r="AI95" i="3"/>
  <c r="AI94" i="3"/>
  <c r="V96" i="3"/>
  <c r="V95" i="3"/>
  <c r="V94" i="3"/>
  <c r="D46" i="2"/>
  <c r="U122" i="1"/>
  <c r="U78" i="1"/>
  <c r="U77" i="1"/>
  <c r="W220" i="1"/>
  <c r="V220" i="1"/>
  <c r="J220" i="1"/>
  <c r="K220" i="1"/>
  <c r="L220" i="1"/>
  <c r="M220" i="1"/>
  <c r="N220" i="1"/>
  <c r="O220" i="1"/>
  <c r="P220" i="1"/>
  <c r="Q220" i="1"/>
  <c r="R220" i="1"/>
  <c r="S220" i="1"/>
  <c r="T220" i="1"/>
  <c r="I220" i="1"/>
  <c r="I116" i="1"/>
  <c r="I114" i="1"/>
  <c r="I219" i="1"/>
  <c r="I93" i="1"/>
  <c r="I101" i="1"/>
  <c r="AI122" i="3"/>
  <c r="V122" i="3"/>
  <c r="AI77" i="3"/>
  <c r="V77" i="3"/>
  <c r="AI48" i="3"/>
  <c r="AI40" i="3"/>
  <c r="AI39" i="3"/>
  <c r="AI38" i="3"/>
  <c r="AI37" i="3"/>
  <c r="AI36" i="3"/>
  <c r="AI35" i="3"/>
  <c r="AI32" i="3"/>
  <c r="AI31" i="3"/>
  <c r="AI30" i="3"/>
  <c r="AI28" i="3"/>
  <c r="AI27" i="3"/>
  <c r="V40" i="3"/>
  <c r="V39" i="3"/>
  <c r="V38" i="3"/>
  <c r="V37" i="3"/>
  <c r="V36" i="3"/>
  <c r="V35" i="3"/>
  <c r="V32" i="3"/>
  <c r="V31" i="3"/>
  <c r="V30" i="3"/>
  <c r="V28" i="3"/>
  <c r="V27" i="3"/>
  <c r="AH50" i="1"/>
  <c r="U50" i="1"/>
  <c r="AI67" i="3"/>
  <c r="V67" i="3"/>
  <c r="AI62" i="3"/>
  <c r="V62" i="3"/>
  <c r="AI61" i="3"/>
  <c r="V61" i="3"/>
  <c r="AI58" i="3"/>
  <c r="V58" i="3"/>
  <c r="AI57" i="3"/>
  <c r="V57" i="3"/>
  <c r="AI56" i="3"/>
  <c r="V56" i="3"/>
  <c r="AI55" i="3"/>
  <c r="V55" i="3"/>
  <c r="AI54" i="3"/>
  <c r="V54" i="3"/>
  <c r="AI49" i="3"/>
  <c r="V49" i="3"/>
  <c r="AI25" i="3"/>
  <c r="V25" i="3"/>
  <c r="AI24" i="3"/>
  <c r="V24" i="3"/>
  <c r="AI23" i="3"/>
  <c r="V23" i="3"/>
  <c r="AI22" i="3"/>
  <c r="V22" i="3"/>
  <c r="AI21" i="3"/>
  <c r="V21" i="3"/>
  <c r="AI16" i="3"/>
  <c r="V16" i="3"/>
  <c r="AI15" i="3"/>
  <c r="V15" i="3"/>
  <c r="AI14" i="3"/>
  <c r="V14" i="3"/>
  <c r="AI13" i="3"/>
  <c r="V13" i="3"/>
  <c r="AI11" i="3"/>
  <c r="V11" i="3"/>
  <c r="AI8" i="3"/>
  <c r="V8" i="3"/>
  <c r="AI7" i="3"/>
  <c r="V7" i="3"/>
  <c r="D48" i="2"/>
  <c r="D54" i="2"/>
  <c r="I67" i="1"/>
  <c r="AG11" i="1"/>
  <c r="AG12" i="1"/>
  <c r="AG8" i="1"/>
  <c r="AG9" i="1"/>
  <c r="AG13" i="1"/>
  <c r="I8" i="1"/>
  <c r="AH88" i="1"/>
  <c r="AH61" i="1"/>
  <c r="AH49" i="1"/>
  <c r="AH48" i="1"/>
  <c r="U88" i="1"/>
  <c r="U79" i="1"/>
  <c r="U61" i="1"/>
  <c r="U49" i="1"/>
  <c r="U48" i="1"/>
  <c r="AH34" i="1"/>
  <c r="AH24" i="1"/>
  <c r="AH23" i="1"/>
  <c r="AH22" i="1"/>
  <c r="U22" i="1"/>
  <c r="AG14" i="1"/>
  <c r="AH13" i="1"/>
  <c r="U13" i="1"/>
  <c r="AH12" i="1"/>
  <c r="U12" i="1"/>
  <c r="AH10" i="1"/>
  <c r="U10" i="1"/>
  <c r="AH9" i="1"/>
  <c r="U9" i="1"/>
  <c r="U87" i="1"/>
  <c r="U91" i="1"/>
  <c r="U92" i="1"/>
  <c r="I103" i="1"/>
  <c r="J102" i="1"/>
  <c r="I115" i="1"/>
  <c r="J93" i="1"/>
  <c r="E46" i="2"/>
  <c r="F46" i="2"/>
  <c r="E55" i="2"/>
  <c r="F55" i="2"/>
  <c r="X63" i="3"/>
  <c r="Y63" i="3"/>
  <c r="V63" i="3"/>
  <c r="V17" i="3"/>
  <c r="AI17" i="3"/>
  <c r="AI63" i="3"/>
  <c r="V50" i="3"/>
  <c r="X50" i="3"/>
  <c r="Y50" i="3"/>
  <c r="AI50" i="3"/>
  <c r="I28" i="1"/>
  <c r="J20" i="1"/>
  <c r="J51" i="1"/>
  <c r="J55" i="1"/>
  <c r="K46" i="1"/>
  <c r="J26" i="1"/>
  <c r="J27" i="1"/>
  <c r="J28" i="1"/>
  <c r="K20" i="1"/>
  <c r="K51" i="1"/>
  <c r="K52" i="1"/>
  <c r="K53" i="1"/>
  <c r="K54" i="1"/>
  <c r="K55" i="1"/>
  <c r="L46" i="1"/>
  <c r="K25" i="1"/>
  <c r="K26" i="1"/>
  <c r="K27" i="1"/>
  <c r="K28" i="1"/>
  <c r="L20" i="1"/>
  <c r="L51" i="1"/>
  <c r="L52" i="1"/>
  <c r="L53" i="1"/>
  <c r="L54" i="1"/>
  <c r="L55" i="1"/>
  <c r="M46" i="1"/>
  <c r="L25" i="1"/>
  <c r="L26" i="1"/>
  <c r="L27" i="1"/>
  <c r="L28" i="1"/>
  <c r="M20" i="1"/>
  <c r="M51" i="1"/>
  <c r="M52" i="1"/>
  <c r="M53" i="1"/>
  <c r="M54" i="1"/>
  <c r="M55" i="1"/>
  <c r="N46" i="1"/>
  <c r="M25" i="1"/>
  <c r="M26" i="1"/>
  <c r="M27" i="1"/>
  <c r="M28" i="1"/>
  <c r="N20" i="1"/>
  <c r="N51" i="1"/>
  <c r="N52" i="1"/>
  <c r="N53" i="1"/>
  <c r="N54" i="1"/>
  <c r="N55" i="1"/>
  <c r="O46" i="1"/>
  <c r="O54" i="1"/>
  <c r="O76" i="1"/>
  <c r="O90" i="1"/>
  <c r="O75" i="1"/>
  <c r="O89" i="1"/>
  <c r="N25" i="1"/>
  <c r="N26" i="1"/>
  <c r="N27" i="1"/>
  <c r="N28" i="1"/>
  <c r="O20" i="1"/>
  <c r="O51" i="1"/>
  <c r="O52" i="1"/>
  <c r="O53" i="1"/>
  <c r="O55" i="1"/>
  <c r="P46" i="1"/>
  <c r="P54" i="1"/>
  <c r="P76" i="1"/>
  <c r="P90" i="1"/>
  <c r="P75" i="1"/>
  <c r="P89" i="1"/>
  <c r="O25" i="1"/>
  <c r="O26" i="1"/>
  <c r="O27" i="1"/>
  <c r="O28" i="1"/>
  <c r="P20" i="1"/>
  <c r="P51" i="1"/>
  <c r="P52" i="1"/>
  <c r="P53" i="1"/>
  <c r="P55" i="1"/>
  <c r="Q46" i="1"/>
  <c r="Q54" i="1"/>
  <c r="Q76" i="1"/>
  <c r="Q90" i="1"/>
  <c r="Q75" i="1"/>
  <c r="Q89" i="1"/>
  <c r="K76" i="1"/>
  <c r="K90" i="1"/>
  <c r="K75" i="1"/>
  <c r="K89" i="1"/>
  <c r="G18" i="2"/>
  <c r="G32" i="2"/>
  <c r="L76" i="1"/>
  <c r="L90" i="1"/>
  <c r="L75" i="1"/>
  <c r="L89" i="1"/>
  <c r="H18" i="2"/>
  <c r="H32" i="2"/>
  <c r="M76" i="1"/>
  <c r="M90" i="1"/>
  <c r="M75" i="1"/>
  <c r="M89" i="1"/>
  <c r="I18" i="2"/>
  <c r="I32" i="2"/>
  <c r="N76" i="1"/>
  <c r="N90" i="1"/>
  <c r="N75" i="1"/>
  <c r="N89" i="1"/>
  <c r="J18" i="2"/>
  <c r="J32" i="2"/>
  <c r="K18" i="2"/>
  <c r="K32" i="2"/>
  <c r="L18" i="2"/>
  <c r="L32" i="2"/>
  <c r="M18" i="2"/>
  <c r="M32" i="2"/>
  <c r="P25" i="1"/>
  <c r="P26" i="1"/>
  <c r="P27" i="1"/>
  <c r="P28" i="1"/>
  <c r="Q20" i="1"/>
  <c r="Q51" i="1"/>
  <c r="Q52" i="1"/>
  <c r="Q53" i="1"/>
  <c r="Q55" i="1"/>
  <c r="R46" i="1"/>
  <c r="R54" i="1"/>
  <c r="R76" i="1"/>
  <c r="R90" i="1"/>
  <c r="R75" i="1"/>
  <c r="R89" i="1"/>
  <c r="N18" i="2"/>
  <c r="N32" i="2"/>
  <c r="Q25" i="1"/>
  <c r="Q26" i="1"/>
  <c r="Q27" i="1"/>
  <c r="Q28" i="1"/>
  <c r="R20" i="1"/>
  <c r="R51" i="1"/>
  <c r="R52" i="1"/>
  <c r="R53" i="1"/>
  <c r="R55" i="1"/>
  <c r="S46" i="1"/>
  <c r="S54" i="1"/>
  <c r="S76" i="1"/>
  <c r="S90" i="1"/>
  <c r="S75" i="1"/>
  <c r="S89" i="1"/>
  <c r="O18" i="2"/>
  <c r="O32" i="2"/>
  <c r="R25" i="1"/>
  <c r="R26" i="1"/>
  <c r="R27" i="1"/>
  <c r="R28" i="1"/>
  <c r="S20" i="1"/>
  <c r="S51" i="1"/>
  <c r="S52" i="1"/>
  <c r="S53" i="1"/>
  <c r="S55" i="1"/>
  <c r="T46" i="1"/>
  <c r="T54" i="1"/>
  <c r="T76" i="1"/>
  <c r="T90" i="1"/>
  <c r="T75" i="1"/>
  <c r="T89" i="1"/>
  <c r="P18" i="2"/>
  <c r="P32" i="2"/>
  <c r="S25" i="1"/>
  <c r="S26" i="1"/>
  <c r="S27" i="1"/>
  <c r="S28" i="1"/>
  <c r="T20" i="1"/>
  <c r="T51" i="1"/>
  <c r="T52" i="1"/>
  <c r="T53" i="1"/>
  <c r="T55" i="1"/>
  <c r="V46" i="1"/>
  <c r="V54" i="1"/>
  <c r="V76" i="1"/>
  <c r="V90" i="1"/>
  <c r="V75" i="1"/>
  <c r="V89" i="1"/>
  <c r="Q18" i="2"/>
  <c r="Q32" i="2"/>
  <c r="T25" i="1"/>
  <c r="T26" i="1"/>
  <c r="T27" i="1"/>
  <c r="T28" i="1"/>
  <c r="V20" i="1"/>
  <c r="V51" i="1"/>
  <c r="V52" i="1"/>
  <c r="V53" i="1"/>
  <c r="R18" i="2"/>
  <c r="R32" i="2"/>
  <c r="X77" i="1"/>
  <c r="X79" i="1"/>
  <c r="X78" i="1"/>
  <c r="X91" i="1"/>
  <c r="X92" i="1"/>
  <c r="V25" i="1"/>
  <c r="V26" i="1"/>
  <c r="V27" i="1"/>
  <c r="V28" i="1"/>
  <c r="W20" i="1"/>
  <c r="W51" i="1"/>
  <c r="S18" i="2"/>
  <c r="S32" i="2"/>
  <c r="Y77" i="1"/>
  <c r="Y79" i="1"/>
  <c r="Y78" i="1"/>
  <c r="Y91" i="1"/>
  <c r="Y92" i="1"/>
  <c r="W26" i="1"/>
  <c r="W27" i="1"/>
  <c r="T18" i="2"/>
  <c r="T32" i="2"/>
  <c r="Z77" i="1"/>
  <c r="Z79" i="1"/>
  <c r="Z78" i="1"/>
  <c r="Z91" i="1"/>
  <c r="Z92" i="1"/>
  <c r="U18" i="2"/>
  <c r="U32" i="2"/>
  <c r="AA77" i="1"/>
  <c r="AA79" i="1"/>
  <c r="AA78" i="1"/>
  <c r="AA91" i="1"/>
  <c r="AA92" i="1"/>
  <c r="V18" i="2"/>
  <c r="V32" i="2"/>
  <c r="W32" i="2"/>
  <c r="X32" i="2"/>
  <c r="Y32" i="2"/>
  <c r="Z32" i="2"/>
  <c r="AA32" i="2"/>
  <c r="AB32" i="2"/>
  <c r="G33" i="2"/>
  <c r="H33" i="2"/>
  <c r="I33" i="2"/>
  <c r="J33" i="2"/>
  <c r="K33" i="2"/>
  <c r="L33" i="2"/>
  <c r="M33" i="2"/>
  <c r="N33" i="2"/>
  <c r="O33" i="2"/>
  <c r="P33" i="2"/>
  <c r="Q33" i="2"/>
  <c r="R33" i="2"/>
  <c r="S33" i="2"/>
  <c r="T33" i="2"/>
  <c r="U33" i="2"/>
  <c r="V33" i="2"/>
  <c r="W33" i="2"/>
  <c r="X33" i="2"/>
  <c r="Y33" i="2"/>
  <c r="Z33" i="2"/>
  <c r="AA33" i="2"/>
  <c r="AB33" i="2"/>
  <c r="G34" i="2"/>
  <c r="H34" i="2"/>
  <c r="I34" i="2"/>
  <c r="J34" i="2"/>
  <c r="K34" i="2"/>
  <c r="L34" i="2"/>
  <c r="M34" i="2"/>
  <c r="N34" i="2"/>
  <c r="O34" i="2"/>
  <c r="P34" i="2"/>
  <c r="Q34" i="2"/>
  <c r="R34" i="2"/>
  <c r="S34" i="2"/>
  <c r="T34" i="2"/>
  <c r="U34" i="2"/>
  <c r="V34" i="2"/>
  <c r="AB77" i="1"/>
  <c r="AB79" i="1"/>
  <c r="AB78" i="1"/>
  <c r="AB91" i="1"/>
  <c r="AB92" i="1"/>
  <c r="W18" i="2"/>
  <c r="W34" i="2"/>
  <c r="AC77" i="1"/>
  <c r="AC79" i="1"/>
  <c r="AC78" i="1"/>
  <c r="AC91" i="1"/>
  <c r="AC92" i="1"/>
  <c r="X18" i="2"/>
  <c r="X34" i="2"/>
  <c r="Y34" i="2"/>
  <c r="Z34" i="2"/>
  <c r="AA34" i="2"/>
  <c r="AB34" i="2"/>
  <c r="G35" i="2"/>
  <c r="H35" i="2"/>
  <c r="I35" i="2"/>
  <c r="J35" i="2"/>
  <c r="K35" i="2"/>
  <c r="L35" i="2"/>
  <c r="M35" i="2"/>
  <c r="N35" i="2"/>
  <c r="O35" i="2"/>
  <c r="P35" i="2"/>
  <c r="Q35" i="2"/>
  <c r="R35" i="2"/>
  <c r="S35" i="2"/>
  <c r="T35" i="2"/>
  <c r="U35" i="2"/>
  <c r="V35" i="2"/>
  <c r="W35" i="2"/>
  <c r="X35" i="2"/>
  <c r="Y35" i="2"/>
  <c r="Z35" i="2"/>
  <c r="AA35" i="2"/>
  <c r="AB35" i="2"/>
  <c r="G36" i="2"/>
  <c r="H36" i="2"/>
  <c r="I36" i="2"/>
  <c r="J36" i="2"/>
  <c r="K36" i="2"/>
  <c r="L36" i="2"/>
  <c r="M36" i="2"/>
  <c r="N36" i="2"/>
  <c r="O36" i="2"/>
  <c r="P36" i="2"/>
  <c r="Q36" i="2"/>
  <c r="R36" i="2"/>
  <c r="S36" i="2"/>
  <c r="T36" i="2"/>
  <c r="U36" i="2"/>
  <c r="V36" i="2"/>
  <c r="W36" i="2"/>
  <c r="X36" i="2"/>
  <c r="AD77" i="1"/>
  <c r="AD79" i="1"/>
  <c r="AD78" i="1"/>
  <c r="AD91" i="1"/>
  <c r="AD92" i="1"/>
  <c r="Y18" i="2"/>
  <c r="Y36" i="2"/>
  <c r="Z36" i="2"/>
  <c r="AA36" i="2"/>
  <c r="AB36" i="2"/>
  <c r="G37" i="2"/>
  <c r="H37" i="2"/>
  <c r="I37" i="2"/>
  <c r="J37" i="2"/>
  <c r="K37" i="2"/>
  <c r="L37" i="2"/>
  <c r="M37" i="2"/>
  <c r="N37" i="2"/>
  <c r="O37" i="2"/>
  <c r="P37" i="2"/>
  <c r="Q37" i="2"/>
  <c r="R37" i="2"/>
  <c r="S37" i="2"/>
  <c r="T37" i="2"/>
  <c r="U37" i="2"/>
  <c r="V37" i="2"/>
  <c r="W37" i="2"/>
  <c r="X37" i="2"/>
  <c r="Y37" i="2"/>
  <c r="Z37" i="2"/>
  <c r="AA37" i="2"/>
  <c r="AB37" i="2"/>
  <c r="G38" i="2"/>
  <c r="H38" i="2"/>
  <c r="I38" i="2"/>
  <c r="J38" i="2"/>
  <c r="K38" i="2"/>
  <c r="L38" i="2"/>
  <c r="M38" i="2"/>
  <c r="N38" i="2"/>
  <c r="O38" i="2"/>
  <c r="P38" i="2"/>
  <c r="Q38" i="2"/>
  <c r="R38" i="2"/>
  <c r="S38" i="2"/>
  <c r="T38" i="2"/>
  <c r="U38" i="2"/>
  <c r="V38" i="2"/>
  <c r="W38" i="2"/>
  <c r="X38" i="2"/>
  <c r="Y38" i="2"/>
  <c r="AE77" i="1"/>
  <c r="AE79" i="1"/>
  <c r="AE78" i="1"/>
  <c r="AE91" i="1"/>
  <c r="AE92" i="1"/>
  <c r="Z18" i="2"/>
  <c r="Z38" i="2"/>
  <c r="AF77" i="1"/>
  <c r="AF79" i="1"/>
  <c r="AF78" i="1"/>
  <c r="AF91" i="1"/>
  <c r="AF92" i="1"/>
  <c r="AA18" i="2"/>
  <c r="AA38" i="2"/>
  <c r="AG77" i="1"/>
  <c r="AG79" i="1"/>
  <c r="AG78" i="1"/>
  <c r="AG91" i="1"/>
  <c r="AG92" i="1"/>
  <c r="AB18" i="2"/>
  <c r="AB38" i="2"/>
  <c r="G39" i="2"/>
  <c r="H39" i="2"/>
  <c r="I39" i="2"/>
  <c r="J39" i="2"/>
  <c r="K39" i="2"/>
  <c r="L39" i="2"/>
  <c r="M39" i="2"/>
  <c r="N39" i="2"/>
  <c r="O39" i="2"/>
  <c r="P39" i="2"/>
  <c r="Q39" i="2"/>
  <c r="R39" i="2"/>
  <c r="S39" i="2"/>
  <c r="T39" i="2"/>
  <c r="U39" i="2"/>
  <c r="V39" i="2"/>
  <c r="W39" i="2"/>
  <c r="X39" i="2"/>
  <c r="Y39" i="2"/>
  <c r="Z39" i="2"/>
  <c r="AA39" i="2"/>
  <c r="AB39" i="2"/>
  <c r="G40" i="2"/>
  <c r="H40" i="2"/>
  <c r="I40" i="2"/>
  <c r="J40" i="2"/>
  <c r="K40" i="2"/>
  <c r="L40" i="2"/>
  <c r="M40" i="2"/>
  <c r="N40" i="2"/>
  <c r="O40" i="2"/>
  <c r="P40" i="2"/>
  <c r="Q40" i="2"/>
  <c r="R40" i="2"/>
  <c r="S40" i="2"/>
  <c r="T40" i="2"/>
  <c r="U40" i="2"/>
  <c r="V40" i="2"/>
  <c r="W40" i="2"/>
  <c r="X40" i="2"/>
  <c r="Y40" i="2"/>
  <c r="Z40" i="2"/>
  <c r="AA40" i="2"/>
  <c r="AB40" i="2"/>
  <c r="G41" i="2"/>
  <c r="H41" i="2"/>
  <c r="I41" i="2"/>
  <c r="J41" i="2"/>
  <c r="K41" i="2"/>
  <c r="L41" i="2"/>
  <c r="M41" i="2"/>
  <c r="N41" i="2"/>
  <c r="O41" i="2"/>
  <c r="P41" i="2"/>
  <c r="Q41" i="2"/>
  <c r="R41" i="2"/>
  <c r="S41" i="2"/>
  <c r="T41" i="2"/>
  <c r="U41" i="2"/>
  <c r="V41" i="2"/>
  <c r="W41" i="2"/>
  <c r="X41" i="2"/>
  <c r="Y41" i="2"/>
  <c r="Z41" i="2"/>
  <c r="AA41" i="2"/>
  <c r="AB41" i="2"/>
  <c r="G42" i="2"/>
  <c r="H42" i="2"/>
  <c r="I42" i="2"/>
  <c r="J42" i="2"/>
  <c r="K42" i="2"/>
  <c r="L42" i="2"/>
  <c r="M42" i="2"/>
  <c r="N42" i="2"/>
  <c r="O42" i="2"/>
  <c r="P42" i="2"/>
  <c r="Q42" i="2"/>
  <c r="R42" i="2"/>
  <c r="S42" i="2"/>
  <c r="T42" i="2"/>
  <c r="U42" i="2"/>
  <c r="V42" i="2"/>
  <c r="W42" i="2"/>
  <c r="X42" i="2"/>
  <c r="Y42" i="2"/>
  <c r="Z42" i="2"/>
  <c r="AA42" i="2"/>
  <c r="AB42" i="2"/>
  <c r="G43" i="2"/>
  <c r="H43" i="2"/>
  <c r="I43" i="2"/>
  <c r="J43" i="2"/>
  <c r="K43" i="2"/>
  <c r="L43" i="2"/>
  <c r="M43" i="2"/>
  <c r="N43" i="2"/>
  <c r="O43" i="2"/>
  <c r="P43" i="2"/>
  <c r="Q43" i="2"/>
  <c r="R43" i="2"/>
  <c r="S43" i="2"/>
  <c r="T43" i="2"/>
  <c r="U43" i="2"/>
  <c r="V43" i="2"/>
  <c r="W43" i="2"/>
  <c r="X43" i="2"/>
  <c r="Y43" i="2"/>
  <c r="Z43" i="2"/>
  <c r="AA43" i="2"/>
  <c r="AB43" i="2"/>
  <c r="G44" i="2"/>
  <c r="H44" i="2"/>
  <c r="I44" i="2"/>
  <c r="J44" i="2"/>
  <c r="K44" i="2"/>
  <c r="L44" i="2"/>
  <c r="M44" i="2"/>
  <c r="N44" i="2"/>
  <c r="O44" i="2"/>
  <c r="P44" i="2"/>
  <c r="Q44" i="2"/>
  <c r="R44" i="2"/>
  <c r="S44" i="2"/>
  <c r="T44" i="2"/>
  <c r="U44" i="2"/>
  <c r="V44" i="2"/>
  <c r="W44" i="2"/>
  <c r="X44" i="2"/>
  <c r="Y44" i="2"/>
  <c r="Z44" i="2"/>
  <c r="AA44" i="2"/>
  <c r="AB44" i="2"/>
  <c r="G45" i="2"/>
  <c r="H45" i="2"/>
  <c r="I45" i="2"/>
  <c r="J45" i="2"/>
  <c r="K45" i="2"/>
  <c r="L45" i="2"/>
  <c r="M45" i="2"/>
  <c r="N45" i="2"/>
  <c r="O45" i="2"/>
  <c r="P45" i="2"/>
  <c r="Q45" i="2"/>
  <c r="R45" i="2"/>
  <c r="S45" i="2"/>
  <c r="T45" i="2"/>
  <c r="U45" i="2"/>
  <c r="V45" i="2"/>
  <c r="W45" i="2"/>
  <c r="X45" i="2"/>
  <c r="Y45" i="2"/>
  <c r="Z45" i="2"/>
  <c r="AA45" i="2"/>
  <c r="AB45" i="2"/>
  <c r="AB50" i="2"/>
  <c r="AH68" i="3"/>
  <c r="AB48" i="2"/>
  <c r="AH69" i="3"/>
  <c r="AB51" i="2"/>
  <c r="AB52" i="2"/>
  <c r="AH70" i="3"/>
  <c r="AH71" i="3"/>
  <c r="AH72" i="3"/>
  <c r="AB54" i="2"/>
  <c r="AH74" i="3"/>
  <c r="AH97" i="3"/>
  <c r="AH105" i="3"/>
  <c r="AA48" i="2"/>
  <c r="AA51" i="2"/>
  <c r="AA50" i="2"/>
  <c r="AA52" i="2"/>
  <c r="AA54" i="2"/>
  <c r="AG74" i="3"/>
  <c r="AH113" i="3"/>
  <c r="AG81" i="1"/>
  <c r="I24" i="1"/>
  <c r="I34" i="1"/>
  <c r="I40" i="1"/>
  <c r="J33" i="1"/>
  <c r="J36" i="1"/>
  <c r="J37" i="1"/>
  <c r="J38" i="1"/>
  <c r="J40" i="1"/>
  <c r="K33" i="1"/>
  <c r="K35" i="1"/>
  <c r="K36" i="1"/>
  <c r="K37" i="1"/>
  <c r="K38" i="1"/>
  <c r="K40" i="1"/>
  <c r="L33" i="1"/>
  <c r="L35" i="1"/>
  <c r="L36" i="1"/>
  <c r="L37" i="1"/>
  <c r="L38" i="1"/>
  <c r="L40" i="1"/>
  <c r="M33" i="1"/>
  <c r="M35" i="1"/>
  <c r="M36" i="1"/>
  <c r="M37" i="1"/>
  <c r="M38" i="1"/>
  <c r="M40" i="1"/>
  <c r="N33" i="1"/>
  <c r="N35" i="1"/>
  <c r="N36" i="1"/>
  <c r="N37" i="1"/>
  <c r="N38" i="1"/>
  <c r="N40" i="1"/>
  <c r="O33" i="1"/>
  <c r="O35" i="1"/>
  <c r="O36" i="1"/>
  <c r="O37" i="1"/>
  <c r="O38" i="1"/>
  <c r="O40" i="1"/>
  <c r="P33" i="1"/>
  <c r="P35" i="1"/>
  <c r="P36" i="1"/>
  <c r="P37" i="1"/>
  <c r="P38" i="1"/>
  <c r="P40" i="1"/>
  <c r="Q33" i="1"/>
  <c r="Q35" i="1"/>
  <c r="Q36" i="1"/>
  <c r="Q37" i="1"/>
  <c r="Q38" i="1"/>
  <c r="Q40" i="1"/>
  <c r="R33" i="1"/>
  <c r="R35" i="1"/>
  <c r="R36" i="1"/>
  <c r="R37" i="1"/>
  <c r="R38" i="1"/>
  <c r="R40" i="1"/>
  <c r="S33" i="1"/>
  <c r="S35" i="1"/>
  <c r="S36" i="1"/>
  <c r="S37" i="1"/>
  <c r="S38" i="1"/>
  <c r="S40" i="1"/>
  <c r="T33" i="1"/>
  <c r="T35" i="1"/>
  <c r="T36" i="1"/>
  <c r="T37" i="1"/>
  <c r="T38" i="1"/>
  <c r="T40" i="1"/>
  <c r="U40" i="1"/>
  <c r="V33" i="1"/>
  <c r="J62" i="1"/>
  <c r="J68" i="1"/>
  <c r="K60" i="1"/>
  <c r="K62" i="1"/>
  <c r="K63" i="1"/>
  <c r="K64" i="1"/>
  <c r="K65" i="1"/>
  <c r="K66" i="1"/>
  <c r="K68" i="1"/>
  <c r="L60" i="1"/>
  <c r="L62" i="1"/>
  <c r="L63" i="1"/>
  <c r="L64" i="1"/>
  <c r="L65" i="1"/>
  <c r="L66" i="1"/>
  <c r="L68" i="1"/>
  <c r="M60" i="1"/>
  <c r="M62" i="1"/>
  <c r="M63" i="1"/>
  <c r="M64" i="1"/>
  <c r="M65" i="1"/>
  <c r="M66" i="1"/>
  <c r="M68" i="1"/>
  <c r="N60" i="1"/>
  <c r="N62" i="1"/>
  <c r="N63" i="1"/>
  <c r="N64" i="1"/>
  <c r="N65" i="1"/>
  <c r="N66" i="1"/>
  <c r="N68" i="1"/>
  <c r="O60" i="1"/>
  <c r="O62" i="1"/>
  <c r="O63" i="1"/>
  <c r="O64" i="1"/>
  <c r="O65" i="1"/>
  <c r="O66" i="1"/>
  <c r="O68" i="1"/>
  <c r="P60" i="1"/>
  <c r="P62" i="1"/>
  <c r="P63" i="1"/>
  <c r="P64" i="1"/>
  <c r="P65" i="1"/>
  <c r="P66" i="1"/>
  <c r="P68" i="1"/>
  <c r="Q60" i="1"/>
  <c r="Q62" i="1"/>
  <c r="Q63" i="1"/>
  <c r="Q64" i="1"/>
  <c r="Q65" i="1"/>
  <c r="Q66" i="1"/>
  <c r="Q68" i="1"/>
  <c r="R60" i="1"/>
  <c r="R62" i="1"/>
  <c r="R63" i="1"/>
  <c r="R64" i="1"/>
  <c r="R65" i="1"/>
  <c r="R66" i="1"/>
  <c r="R68" i="1"/>
  <c r="S60" i="1"/>
  <c r="S62" i="1"/>
  <c r="S63" i="1"/>
  <c r="S64" i="1"/>
  <c r="S65" i="1"/>
  <c r="S66" i="1"/>
  <c r="S68" i="1"/>
  <c r="T60" i="1"/>
  <c r="T62" i="1"/>
  <c r="T63" i="1"/>
  <c r="T64" i="1"/>
  <c r="T65" i="1"/>
  <c r="T66" i="1"/>
  <c r="T68" i="1"/>
  <c r="V60" i="1"/>
  <c r="V107" i="1"/>
  <c r="V108" i="1"/>
  <c r="V36" i="1"/>
  <c r="V63" i="1"/>
  <c r="V35" i="1"/>
  <c r="V38" i="1"/>
  <c r="V62" i="1"/>
  <c r="V65" i="1"/>
  <c r="V66" i="1"/>
  <c r="V109" i="1"/>
  <c r="V37" i="1"/>
  <c r="V64" i="1"/>
  <c r="V110" i="1"/>
  <c r="V112" i="1"/>
  <c r="W107" i="1"/>
  <c r="W108" i="1"/>
  <c r="W36" i="1"/>
  <c r="W63" i="1"/>
  <c r="W35" i="1"/>
  <c r="W38" i="1"/>
  <c r="W62" i="1"/>
  <c r="W65" i="1"/>
  <c r="W66" i="1"/>
  <c r="W109" i="1"/>
  <c r="W37" i="1"/>
  <c r="W64" i="1"/>
  <c r="W110" i="1"/>
  <c r="W112" i="1"/>
  <c r="X107" i="1"/>
  <c r="X108" i="1"/>
  <c r="X36" i="1"/>
  <c r="X63" i="1"/>
  <c r="X35" i="1"/>
  <c r="X38" i="1"/>
  <c r="X62" i="1"/>
  <c r="X65" i="1"/>
  <c r="X66" i="1"/>
  <c r="X109" i="1"/>
  <c r="X37" i="1"/>
  <c r="X64" i="1"/>
  <c r="X110" i="1"/>
  <c r="X112" i="1"/>
  <c r="Y107" i="1"/>
  <c r="Y108" i="1"/>
  <c r="Y36" i="1"/>
  <c r="Y63" i="1"/>
  <c r="Y35" i="1"/>
  <c r="Y38" i="1"/>
  <c r="Y62" i="1"/>
  <c r="Y65" i="1"/>
  <c r="Y66" i="1"/>
  <c r="Y109" i="1"/>
  <c r="Y37" i="1"/>
  <c r="Y64" i="1"/>
  <c r="Y110" i="1"/>
  <c r="Y112" i="1"/>
  <c r="Z107" i="1"/>
  <c r="Z108" i="1"/>
  <c r="Z36" i="1"/>
  <c r="Z63" i="1"/>
  <c r="Z35" i="1"/>
  <c r="Z38" i="1"/>
  <c r="Z62" i="1"/>
  <c r="Z65" i="1"/>
  <c r="Z66" i="1"/>
  <c r="Z109" i="1"/>
  <c r="Z37" i="1"/>
  <c r="Z64" i="1"/>
  <c r="Z110" i="1"/>
  <c r="Z112" i="1"/>
  <c r="AA107" i="1"/>
  <c r="AA108" i="1"/>
  <c r="AA36" i="1"/>
  <c r="AA63" i="1"/>
  <c r="AA35" i="1"/>
  <c r="AA38" i="1"/>
  <c r="AA62" i="1"/>
  <c r="AA65" i="1"/>
  <c r="AA66" i="1"/>
  <c r="AA109" i="1"/>
  <c r="AA37" i="1"/>
  <c r="AA64" i="1"/>
  <c r="AA110" i="1"/>
  <c r="AA112" i="1"/>
  <c r="AB107" i="1"/>
  <c r="AB108" i="1"/>
  <c r="AB36" i="1"/>
  <c r="AB63" i="1"/>
  <c r="AB35" i="1"/>
  <c r="AB38" i="1"/>
  <c r="AB62" i="1"/>
  <c r="AB65" i="1"/>
  <c r="AB66" i="1"/>
  <c r="AB109" i="1"/>
  <c r="AB37" i="1"/>
  <c r="AB64" i="1"/>
  <c r="AB110" i="1"/>
  <c r="AB112" i="1"/>
  <c r="AC107" i="1"/>
  <c r="AC108" i="1"/>
  <c r="AC36" i="1"/>
  <c r="AC63" i="1"/>
  <c r="AC35" i="1"/>
  <c r="AC38" i="1"/>
  <c r="AC62" i="1"/>
  <c r="AC65" i="1"/>
  <c r="AC66" i="1"/>
  <c r="AC109" i="1"/>
  <c r="AC37" i="1"/>
  <c r="AC64" i="1"/>
  <c r="AC110" i="1"/>
  <c r="AC112" i="1"/>
  <c r="AD107" i="1"/>
  <c r="AD108" i="1"/>
  <c r="AD36" i="1"/>
  <c r="AD63" i="1"/>
  <c r="AD35" i="1"/>
  <c r="AD38" i="1"/>
  <c r="AD62" i="1"/>
  <c r="AD65" i="1"/>
  <c r="AD66" i="1"/>
  <c r="AD109" i="1"/>
  <c r="AD37" i="1"/>
  <c r="AD64" i="1"/>
  <c r="AD110" i="1"/>
  <c r="AD112" i="1"/>
  <c r="AE107" i="1"/>
  <c r="AE108" i="1"/>
  <c r="AE36" i="1"/>
  <c r="AE63" i="1"/>
  <c r="AE35" i="1"/>
  <c r="AE38" i="1"/>
  <c r="AE62" i="1"/>
  <c r="AE65" i="1"/>
  <c r="AE66" i="1"/>
  <c r="AE109" i="1"/>
  <c r="AE37" i="1"/>
  <c r="AE64" i="1"/>
  <c r="AE110" i="1"/>
  <c r="AE112" i="1"/>
  <c r="AF107" i="1"/>
  <c r="AF108" i="1"/>
  <c r="AF26" i="1"/>
  <c r="AF27" i="1"/>
  <c r="AF36" i="1"/>
  <c r="AF63" i="1"/>
  <c r="AF25" i="1"/>
  <c r="AF35" i="1"/>
  <c r="AF38" i="1"/>
  <c r="AF62" i="1"/>
  <c r="AF65" i="1"/>
  <c r="AF66" i="1"/>
  <c r="AF109" i="1"/>
  <c r="AF37" i="1"/>
  <c r="AF64" i="1"/>
  <c r="AF110" i="1"/>
  <c r="AF112" i="1"/>
  <c r="AG107" i="1"/>
  <c r="AG108" i="1"/>
  <c r="AF28" i="1"/>
  <c r="AG20" i="1"/>
  <c r="AG26" i="1"/>
  <c r="AG51" i="1"/>
  <c r="AG27" i="1"/>
  <c r="AG36" i="1"/>
  <c r="AG52" i="1"/>
  <c r="AG53" i="1"/>
  <c r="AG63" i="1"/>
  <c r="AG25" i="1"/>
  <c r="AG35" i="1"/>
  <c r="AG38" i="1"/>
  <c r="AG62" i="1"/>
  <c r="AG65" i="1"/>
  <c r="AG66" i="1"/>
  <c r="AG109" i="1"/>
  <c r="AG37" i="1"/>
  <c r="AG64" i="1"/>
  <c r="AG110" i="1"/>
  <c r="AG112" i="1"/>
  <c r="AB6" i="4"/>
  <c r="AG28" i="1"/>
  <c r="AG55" i="1"/>
  <c r="AH78" i="3"/>
  <c r="K80" i="1"/>
  <c r="L74" i="1"/>
  <c r="L80" i="1"/>
  <c r="M74" i="1"/>
  <c r="M80" i="1"/>
  <c r="N74" i="1"/>
  <c r="N80" i="1"/>
  <c r="O74" i="1"/>
  <c r="O80" i="1"/>
  <c r="P74" i="1"/>
  <c r="P80" i="1"/>
  <c r="Q74" i="1"/>
  <c r="Q80" i="1"/>
  <c r="R74" i="1"/>
  <c r="R80" i="1"/>
  <c r="S74" i="1"/>
  <c r="S80" i="1"/>
  <c r="T74" i="1"/>
  <c r="T80" i="1"/>
  <c r="V74" i="1"/>
  <c r="V80" i="1"/>
  <c r="W74" i="1"/>
  <c r="W80" i="1"/>
  <c r="X74" i="1"/>
  <c r="X80" i="1"/>
  <c r="Y74" i="1"/>
  <c r="Y80" i="1"/>
  <c r="Z74" i="1"/>
  <c r="Z80" i="1"/>
  <c r="AA74" i="1"/>
  <c r="AA80" i="1"/>
  <c r="AB74" i="1"/>
  <c r="AB80" i="1"/>
  <c r="AC74" i="1"/>
  <c r="AC80" i="1"/>
  <c r="AD74" i="1"/>
  <c r="AD80" i="1"/>
  <c r="AE74" i="1"/>
  <c r="AE80" i="1"/>
  <c r="AF74" i="1"/>
  <c r="AF80" i="1"/>
  <c r="AG74" i="1"/>
  <c r="AG80" i="1"/>
  <c r="AH79" i="3"/>
  <c r="AH80" i="3"/>
  <c r="AH81" i="3"/>
  <c r="AH83" i="3"/>
  <c r="AH98" i="3"/>
  <c r="AH106" i="3"/>
  <c r="AG83" i="3"/>
  <c r="AH114" i="3"/>
  <c r="V40" i="1"/>
  <c r="W33" i="1"/>
  <c r="W40" i="1"/>
  <c r="X33" i="1"/>
  <c r="X40" i="1"/>
  <c r="Y33" i="1"/>
  <c r="Y40" i="1"/>
  <c r="Z33" i="1"/>
  <c r="Z40" i="1"/>
  <c r="AA33" i="1"/>
  <c r="AA40" i="1"/>
  <c r="AB33" i="1"/>
  <c r="AB40" i="1"/>
  <c r="AC33" i="1"/>
  <c r="AC40" i="1"/>
  <c r="AD33" i="1"/>
  <c r="AD40" i="1"/>
  <c r="AE33" i="1"/>
  <c r="AE40" i="1"/>
  <c r="AF33" i="1"/>
  <c r="AF40" i="1"/>
  <c r="AG33" i="1"/>
  <c r="AG40" i="1"/>
  <c r="AG119" i="1"/>
  <c r="V68" i="1"/>
  <c r="W60" i="1"/>
  <c r="W68" i="1"/>
  <c r="X60" i="1"/>
  <c r="X68" i="1"/>
  <c r="Y60" i="1"/>
  <c r="Y68" i="1"/>
  <c r="Z60" i="1"/>
  <c r="Z68" i="1"/>
  <c r="AA60" i="1"/>
  <c r="AA68" i="1"/>
  <c r="AB60" i="1"/>
  <c r="AB68" i="1"/>
  <c r="AC60" i="1"/>
  <c r="AC68" i="1"/>
  <c r="AD60" i="1"/>
  <c r="AD68" i="1"/>
  <c r="AE60" i="1"/>
  <c r="AE68" i="1"/>
  <c r="AF60" i="1"/>
  <c r="AF68" i="1"/>
  <c r="AG60" i="1"/>
  <c r="AG68" i="1"/>
  <c r="AG120" i="1"/>
  <c r="AG121" i="1"/>
  <c r="AG122" i="1"/>
  <c r="AG123" i="1"/>
  <c r="AH120" i="3"/>
  <c r="AH121" i="3"/>
  <c r="AH173" i="3"/>
  <c r="AB8" i="4"/>
  <c r="AB11" i="4"/>
  <c r="AB12" i="4"/>
  <c r="AG223" i="1"/>
  <c r="AG68" i="3"/>
  <c r="AG69" i="3"/>
  <c r="AG70" i="3"/>
  <c r="AG71" i="3"/>
  <c r="AG72" i="3"/>
  <c r="AG97" i="3"/>
  <c r="AG105" i="3"/>
  <c r="Z48" i="2"/>
  <c r="Z51" i="2"/>
  <c r="Z50" i="2"/>
  <c r="Z52" i="2"/>
  <c r="Z54" i="2"/>
  <c r="AF74" i="3"/>
  <c r="AG113" i="3"/>
  <c r="AF81" i="1"/>
  <c r="AA6" i="4"/>
  <c r="AG78" i="3"/>
  <c r="AG79" i="3"/>
  <c r="AG80" i="3"/>
  <c r="AG81" i="3"/>
  <c r="AG98" i="3"/>
  <c r="AG106" i="3"/>
  <c r="AF83" i="3"/>
  <c r="AG114" i="3"/>
  <c r="AF119" i="1"/>
  <c r="AF120" i="1"/>
  <c r="AF121" i="1"/>
  <c r="AF122" i="1"/>
  <c r="AF123" i="1"/>
  <c r="AG120" i="3"/>
  <c r="AG121" i="3"/>
  <c r="AG173" i="3"/>
  <c r="AA8" i="4"/>
  <c r="AA11" i="4"/>
  <c r="AA12" i="4"/>
  <c r="AF223" i="1"/>
  <c r="AF68" i="3"/>
  <c r="AF69" i="3"/>
  <c r="AF70" i="3"/>
  <c r="AF71" i="3"/>
  <c r="AF72" i="3"/>
  <c r="AF97" i="3"/>
  <c r="AF105" i="3"/>
  <c r="Y48" i="2"/>
  <c r="Y51" i="2"/>
  <c r="Y50" i="2"/>
  <c r="Y52" i="2"/>
  <c r="Y54" i="2"/>
  <c r="AE74" i="3"/>
  <c r="AF113" i="3"/>
  <c r="AE81" i="1"/>
  <c r="Z6" i="4"/>
  <c r="AF78" i="3"/>
  <c r="AF79" i="3"/>
  <c r="AF80" i="3"/>
  <c r="AF81" i="3"/>
  <c r="AF98" i="3"/>
  <c r="AF106" i="3"/>
  <c r="AE83" i="3"/>
  <c r="AF114" i="3"/>
  <c r="AE119" i="1"/>
  <c r="AE120" i="1"/>
  <c r="AE121" i="1"/>
  <c r="AE122" i="1"/>
  <c r="AE123" i="1"/>
  <c r="AF120" i="3"/>
  <c r="AF121" i="3"/>
  <c r="AF173" i="3"/>
  <c r="Z8" i="4"/>
  <c r="Z11" i="4"/>
  <c r="Z12" i="4"/>
  <c r="AE223" i="1"/>
  <c r="AE68" i="3"/>
  <c r="AE69" i="3"/>
  <c r="AE70" i="3"/>
  <c r="AE71" i="3"/>
  <c r="AE72" i="3"/>
  <c r="AE97" i="3"/>
  <c r="AE105" i="3"/>
  <c r="X48" i="2"/>
  <c r="X51" i="2"/>
  <c r="X50" i="2"/>
  <c r="X52" i="2"/>
  <c r="X54" i="2"/>
  <c r="AD74" i="3"/>
  <c r="AE113" i="3"/>
  <c r="AD81" i="1"/>
  <c r="Y6" i="4"/>
  <c r="AE78" i="3"/>
  <c r="AE79" i="3"/>
  <c r="AE80" i="3"/>
  <c r="AE81" i="3"/>
  <c r="AE98" i="3"/>
  <c r="AE106" i="3"/>
  <c r="AD83" i="3"/>
  <c r="AE114" i="3"/>
  <c r="AD119" i="1"/>
  <c r="AD120" i="1"/>
  <c r="AD121" i="1"/>
  <c r="AD122" i="1"/>
  <c r="AD123" i="1"/>
  <c r="AE120" i="3"/>
  <c r="AE121" i="3"/>
  <c r="AE173" i="3"/>
  <c r="Y8" i="4"/>
  <c r="Y11" i="4"/>
  <c r="Y12" i="4"/>
  <c r="AD223" i="1"/>
  <c r="AD68" i="3"/>
  <c r="AD69" i="3"/>
  <c r="AD70" i="3"/>
  <c r="AD71" i="3"/>
  <c r="AD72" i="3"/>
  <c r="AD97" i="3"/>
  <c r="AD105" i="3"/>
  <c r="W48" i="2"/>
  <c r="W51" i="2"/>
  <c r="W50" i="2"/>
  <c r="W52" i="2"/>
  <c r="W54" i="2"/>
  <c r="AC74" i="3"/>
  <c r="AD113" i="3"/>
  <c r="AC81" i="1"/>
  <c r="X6" i="4"/>
  <c r="AD78" i="3"/>
  <c r="AD79" i="3"/>
  <c r="AD80" i="3"/>
  <c r="AD81" i="3"/>
  <c r="AD98" i="3"/>
  <c r="AD106" i="3"/>
  <c r="AC83" i="3"/>
  <c r="AD114" i="3"/>
  <c r="AC119" i="1"/>
  <c r="AC120" i="1"/>
  <c r="AC121" i="1"/>
  <c r="AC122" i="1"/>
  <c r="AC123" i="1"/>
  <c r="AD120" i="3"/>
  <c r="AD121" i="3"/>
  <c r="AD173" i="3"/>
  <c r="X8" i="4"/>
  <c r="X11" i="4"/>
  <c r="X12" i="4"/>
  <c r="AC223" i="1"/>
  <c r="AC68" i="3"/>
  <c r="AC69" i="3"/>
  <c r="AC70" i="3"/>
  <c r="AC71" i="3"/>
  <c r="AC72" i="3"/>
  <c r="AC97" i="3"/>
  <c r="AC105" i="3"/>
  <c r="V48" i="2"/>
  <c r="V51" i="2"/>
  <c r="V50" i="2"/>
  <c r="V52" i="2"/>
  <c r="V54" i="2"/>
  <c r="AB74" i="3"/>
  <c r="AC113" i="3"/>
  <c r="AB81" i="1"/>
  <c r="W6" i="4"/>
  <c r="AC78" i="3"/>
  <c r="AC79" i="3"/>
  <c r="AC80" i="3"/>
  <c r="AC81" i="3"/>
  <c r="AC98" i="3"/>
  <c r="AC106" i="3"/>
  <c r="AB83" i="3"/>
  <c r="AC114" i="3"/>
  <c r="AB119" i="1"/>
  <c r="AB120" i="1"/>
  <c r="AB121" i="1"/>
  <c r="AB122" i="1"/>
  <c r="AB123" i="1"/>
  <c r="AC120" i="3"/>
  <c r="AC121" i="3"/>
  <c r="AC173" i="3"/>
  <c r="W8" i="4"/>
  <c r="W11" i="4"/>
  <c r="W12" i="4"/>
  <c r="AB223" i="1"/>
  <c r="AB68" i="3"/>
  <c r="AB69" i="3"/>
  <c r="AB70" i="3"/>
  <c r="AB71" i="3"/>
  <c r="AB72" i="3"/>
  <c r="AB97" i="3"/>
  <c r="AB105" i="3"/>
  <c r="U48" i="2"/>
  <c r="U51" i="2"/>
  <c r="U50" i="2"/>
  <c r="U52" i="2"/>
  <c r="U54" i="2"/>
  <c r="AA74" i="3"/>
  <c r="AB113" i="3"/>
  <c r="AA81" i="1"/>
  <c r="V6" i="4"/>
  <c r="AB78" i="3"/>
  <c r="AB79" i="3"/>
  <c r="AB80" i="3"/>
  <c r="AB81" i="3"/>
  <c r="AB98" i="3"/>
  <c r="AB106" i="3"/>
  <c r="AA83" i="3"/>
  <c r="AB114" i="3"/>
  <c r="AA119" i="1"/>
  <c r="AA120" i="1"/>
  <c r="AA121" i="1"/>
  <c r="AA122" i="1"/>
  <c r="AA123" i="1"/>
  <c r="AB120" i="3"/>
  <c r="AB121" i="3"/>
  <c r="AB173" i="3"/>
  <c r="V8" i="4"/>
  <c r="V11" i="4"/>
  <c r="V12" i="4"/>
  <c r="AA223" i="1"/>
  <c r="AA68" i="3"/>
  <c r="AA69" i="3"/>
  <c r="AA70" i="3"/>
  <c r="AA71" i="3"/>
  <c r="AA72" i="3"/>
  <c r="AA97" i="3"/>
  <c r="AA105" i="3"/>
  <c r="T48" i="2"/>
  <c r="T51" i="2"/>
  <c r="T50" i="2"/>
  <c r="T52" i="2"/>
  <c r="T54" i="2"/>
  <c r="Z74" i="3"/>
  <c r="AA113" i="3"/>
  <c r="Z81" i="1"/>
  <c r="U6" i="4"/>
  <c r="AA78" i="3"/>
  <c r="AA79" i="3"/>
  <c r="AA80" i="3"/>
  <c r="AA81" i="3"/>
  <c r="AA98" i="3"/>
  <c r="AA106" i="3"/>
  <c r="Z83" i="3"/>
  <c r="AA114" i="3"/>
  <c r="Z119" i="1"/>
  <c r="Z120" i="1"/>
  <c r="Z121" i="1"/>
  <c r="Z122" i="1"/>
  <c r="Z123" i="1"/>
  <c r="AA120" i="3"/>
  <c r="AA121" i="3"/>
  <c r="AA173" i="3"/>
  <c r="U8" i="4"/>
  <c r="U11" i="4"/>
  <c r="U12" i="4"/>
  <c r="Z223" i="1"/>
  <c r="Z68" i="3"/>
  <c r="Z69" i="3"/>
  <c r="Z70" i="3"/>
  <c r="Z71" i="3"/>
  <c r="Z72" i="3"/>
  <c r="Z97" i="3"/>
  <c r="Z105" i="3"/>
  <c r="S48" i="2"/>
  <c r="S51" i="2"/>
  <c r="S50" i="2"/>
  <c r="S52" i="2"/>
  <c r="S54" i="2"/>
  <c r="Y74" i="3"/>
  <c r="Z113" i="3"/>
  <c r="Y81" i="1"/>
  <c r="T6" i="4"/>
  <c r="Z78" i="3"/>
  <c r="Z79" i="3"/>
  <c r="Z80" i="3"/>
  <c r="Z81" i="3"/>
  <c r="Z98" i="3"/>
  <c r="Z106" i="3"/>
  <c r="Y83" i="3"/>
  <c r="Z114" i="3"/>
  <c r="Y119" i="1"/>
  <c r="Y120" i="1"/>
  <c r="Y121" i="1"/>
  <c r="Y122" i="1"/>
  <c r="Y123" i="1"/>
  <c r="Z120" i="3"/>
  <c r="Z121" i="3"/>
  <c r="Z173" i="3"/>
  <c r="T8" i="4"/>
  <c r="T11" i="4"/>
  <c r="T12" i="4"/>
  <c r="Y223" i="1"/>
  <c r="Y68" i="3"/>
  <c r="Y69" i="3"/>
  <c r="Y70" i="3"/>
  <c r="Y71" i="3"/>
  <c r="Y72" i="3"/>
  <c r="Y97" i="3"/>
  <c r="Y105" i="3"/>
  <c r="R48" i="2"/>
  <c r="R51" i="2"/>
  <c r="R50" i="2"/>
  <c r="R52" i="2"/>
  <c r="R54" i="2"/>
  <c r="X74" i="3"/>
  <c r="Y113" i="3"/>
  <c r="X81" i="1"/>
  <c r="S6" i="4"/>
  <c r="Y78" i="3"/>
  <c r="Y79" i="3"/>
  <c r="Y80" i="3"/>
  <c r="Y81" i="3"/>
  <c r="Y98" i="3"/>
  <c r="Y106" i="3"/>
  <c r="X83" i="3"/>
  <c r="Y114" i="3"/>
  <c r="X119" i="1"/>
  <c r="X120" i="1"/>
  <c r="X121" i="1"/>
  <c r="X122" i="1"/>
  <c r="X123" i="1"/>
  <c r="Y120" i="3"/>
  <c r="Y121" i="3"/>
  <c r="Y173" i="3"/>
  <c r="S8" i="4"/>
  <c r="S11" i="4"/>
  <c r="S12" i="4"/>
  <c r="X223" i="1"/>
  <c r="X68" i="3"/>
  <c r="X69" i="3"/>
  <c r="X70" i="3"/>
  <c r="X71" i="3"/>
  <c r="X72" i="3"/>
  <c r="X97" i="3"/>
  <c r="X105" i="3"/>
  <c r="Q48" i="2"/>
  <c r="Q51" i="2"/>
  <c r="Q50" i="2"/>
  <c r="Q52" i="2"/>
  <c r="Q54" i="2"/>
  <c r="W74" i="3"/>
  <c r="X113" i="3"/>
  <c r="W81" i="1"/>
  <c r="R6" i="4"/>
  <c r="X78" i="3"/>
  <c r="X79" i="3"/>
  <c r="X80" i="3"/>
  <c r="X81" i="3"/>
  <c r="X98" i="3"/>
  <c r="X106" i="3"/>
  <c r="W83" i="3"/>
  <c r="X114" i="3"/>
  <c r="W119" i="1"/>
  <c r="W120" i="1"/>
  <c r="W121" i="1"/>
  <c r="W123" i="1"/>
  <c r="X120" i="3"/>
  <c r="X121" i="3"/>
  <c r="X173" i="3"/>
  <c r="R8" i="4"/>
  <c r="R11" i="4"/>
  <c r="R12" i="4"/>
  <c r="W223" i="1"/>
  <c r="W68" i="3"/>
  <c r="W69" i="3"/>
  <c r="W70" i="3"/>
  <c r="W71" i="3"/>
  <c r="W72" i="3"/>
  <c r="W97" i="3"/>
  <c r="W105" i="3"/>
  <c r="P48" i="2"/>
  <c r="P51" i="2"/>
  <c r="P50" i="2"/>
  <c r="P52" i="2"/>
  <c r="P54" i="2"/>
  <c r="U74" i="3"/>
  <c r="W113" i="3"/>
  <c r="V81" i="1"/>
  <c r="Q6" i="4"/>
  <c r="W78" i="3"/>
  <c r="W79" i="3"/>
  <c r="W80" i="3"/>
  <c r="W81" i="3"/>
  <c r="W98" i="3"/>
  <c r="W106" i="3"/>
  <c r="U83" i="3"/>
  <c r="W114" i="3"/>
  <c r="V119" i="1"/>
  <c r="V120" i="1"/>
  <c r="V121" i="1"/>
  <c r="V123" i="1"/>
  <c r="W120" i="3"/>
  <c r="W121" i="3"/>
  <c r="W173" i="3"/>
  <c r="Q8" i="4"/>
  <c r="Q11" i="4"/>
  <c r="Q12" i="4"/>
  <c r="V223" i="1"/>
  <c r="I108" i="1"/>
  <c r="I112" i="1"/>
  <c r="J107" i="1"/>
  <c r="J109" i="1"/>
  <c r="J110" i="1"/>
  <c r="J112" i="1"/>
  <c r="E6" i="4"/>
  <c r="K78" i="3"/>
  <c r="K80" i="3"/>
  <c r="K81" i="3"/>
  <c r="K83" i="3"/>
  <c r="K98" i="3"/>
  <c r="K106" i="3"/>
  <c r="J83" i="3"/>
  <c r="K114" i="3"/>
  <c r="J119" i="1"/>
  <c r="J120" i="1"/>
  <c r="J123" i="1"/>
  <c r="K120" i="3"/>
  <c r="K121" i="3"/>
  <c r="K173" i="3"/>
  <c r="E8" i="4"/>
  <c r="E11" i="4"/>
  <c r="E12" i="4"/>
  <c r="J223" i="1"/>
  <c r="G50" i="2"/>
  <c r="L68" i="3"/>
  <c r="G48" i="2"/>
  <c r="L69" i="3"/>
  <c r="G51" i="2"/>
  <c r="G52" i="2"/>
  <c r="L70" i="3"/>
  <c r="L71" i="3"/>
  <c r="L72" i="3"/>
  <c r="G54" i="2"/>
  <c r="L74" i="3"/>
  <c r="L97" i="3"/>
  <c r="L105" i="3"/>
  <c r="L113" i="3"/>
  <c r="K81" i="1"/>
  <c r="K107" i="1"/>
  <c r="K108" i="1"/>
  <c r="K109" i="1"/>
  <c r="K110" i="1"/>
  <c r="K112" i="1"/>
  <c r="F6" i="4"/>
  <c r="L78" i="3"/>
  <c r="L79" i="3"/>
  <c r="L80" i="3"/>
  <c r="L81" i="3"/>
  <c r="L83" i="3"/>
  <c r="L98" i="3"/>
  <c r="L106" i="3"/>
  <c r="L114" i="3"/>
  <c r="K119" i="1"/>
  <c r="K120" i="1"/>
  <c r="K121" i="1"/>
  <c r="K123" i="1"/>
  <c r="L120" i="3"/>
  <c r="L121" i="3"/>
  <c r="L173" i="3"/>
  <c r="F8" i="4"/>
  <c r="F11" i="4"/>
  <c r="F12" i="4"/>
  <c r="K223" i="1"/>
  <c r="H50" i="2"/>
  <c r="M68" i="3"/>
  <c r="H48" i="2"/>
  <c r="M69" i="3"/>
  <c r="H51" i="2"/>
  <c r="H52" i="2"/>
  <c r="M70" i="3"/>
  <c r="M71" i="3"/>
  <c r="M72" i="3"/>
  <c r="H54" i="2"/>
  <c r="M74" i="3"/>
  <c r="M97" i="3"/>
  <c r="M105" i="3"/>
  <c r="M113" i="3"/>
  <c r="L81" i="1"/>
  <c r="L107" i="1"/>
  <c r="L108" i="1"/>
  <c r="L109" i="1"/>
  <c r="L110" i="1"/>
  <c r="L112" i="1"/>
  <c r="G6" i="4"/>
  <c r="M78" i="3"/>
  <c r="M79" i="3"/>
  <c r="M80" i="3"/>
  <c r="M81" i="3"/>
  <c r="M83" i="3"/>
  <c r="M98" i="3"/>
  <c r="M106" i="3"/>
  <c r="M114" i="3"/>
  <c r="L119" i="1"/>
  <c r="L120" i="1"/>
  <c r="L121" i="1"/>
  <c r="L123" i="1"/>
  <c r="M120" i="3"/>
  <c r="M121" i="3"/>
  <c r="M173" i="3"/>
  <c r="G8" i="4"/>
  <c r="G11" i="4"/>
  <c r="G12" i="4"/>
  <c r="L223" i="1"/>
  <c r="I50" i="2"/>
  <c r="N68" i="3"/>
  <c r="I48" i="2"/>
  <c r="N69" i="3"/>
  <c r="I51" i="2"/>
  <c r="I52" i="2"/>
  <c r="N70" i="3"/>
  <c r="N71" i="3"/>
  <c r="N72" i="3"/>
  <c r="I54" i="2"/>
  <c r="N74" i="3"/>
  <c r="N97" i="3"/>
  <c r="N105" i="3"/>
  <c r="N113" i="3"/>
  <c r="M81" i="1"/>
  <c r="M107" i="1"/>
  <c r="M108" i="1"/>
  <c r="M109" i="1"/>
  <c r="M110" i="1"/>
  <c r="M112" i="1"/>
  <c r="H6" i="4"/>
  <c r="N78" i="3"/>
  <c r="N79" i="3"/>
  <c r="N80" i="3"/>
  <c r="N81" i="3"/>
  <c r="N83" i="3"/>
  <c r="N98" i="3"/>
  <c r="N106" i="3"/>
  <c r="N114" i="3"/>
  <c r="M119" i="1"/>
  <c r="M120" i="1"/>
  <c r="M121" i="1"/>
  <c r="M123" i="1"/>
  <c r="N120" i="3"/>
  <c r="N121" i="3"/>
  <c r="N173" i="3"/>
  <c r="H8" i="4"/>
  <c r="H11" i="4"/>
  <c r="H12" i="4"/>
  <c r="M223" i="1"/>
  <c r="J50" i="2"/>
  <c r="O68" i="3"/>
  <c r="J48" i="2"/>
  <c r="O69" i="3"/>
  <c r="J51" i="2"/>
  <c r="J52" i="2"/>
  <c r="O70" i="3"/>
  <c r="O71" i="3"/>
  <c r="O72" i="3"/>
  <c r="J54" i="2"/>
  <c r="O74" i="3"/>
  <c r="O97" i="3"/>
  <c r="O105" i="3"/>
  <c r="O113" i="3"/>
  <c r="N81" i="1"/>
  <c r="N107" i="1"/>
  <c r="N108" i="1"/>
  <c r="N109" i="1"/>
  <c r="N110" i="1"/>
  <c r="N112" i="1"/>
  <c r="I6" i="4"/>
  <c r="O78" i="3"/>
  <c r="O79" i="3"/>
  <c r="O80" i="3"/>
  <c r="O81" i="3"/>
  <c r="O83" i="3"/>
  <c r="O98" i="3"/>
  <c r="O106" i="3"/>
  <c r="O114" i="3"/>
  <c r="N119" i="1"/>
  <c r="N120" i="1"/>
  <c r="N121" i="1"/>
  <c r="N123" i="1"/>
  <c r="O120" i="3"/>
  <c r="O121" i="3"/>
  <c r="O173" i="3"/>
  <c r="I8" i="4"/>
  <c r="I11" i="4"/>
  <c r="I12" i="4"/>
  <c r="N223" i="1"/>
  <c r="K50" i="2"/>
  <c r="P68" i="3"/>
  <c r="K48" i="2"/>
  <c r="P69" i="3"/>
  <c r="K51" i="2"/>
  <c r="K52" i="2"/>
  <c r="P70" i="3"/>
  <c r="P71" i="3"/>
  <c r="P72" i="3"/>
  <c r="K54" i="2"/>
  <c r="P74" i="3"/>
  <c r="P97" i="3"/>
  <c r="P105" i="3"/>
  <c r="P113" i="3"/>
  <c r="O81" i="1"/>
  <c r="O107" i="1"/>
  <c r="O108" i="1"/>
  <c r="O109" i="1"/>
  <c r="O110" i="1"/>
  <c r="O112" i="1"/>
  <c r="J6" i="4"/>
  <c r="P78" i="3"/>
  <c r="P79" i="3"/>
  <c r="P80" i="3"/>
  <c r="P81" i="3"/>
  <c r="P83" i="3"/>
  <c r="P98" i="3"/>
  <c r="P106" i="3"/>
  <c r="P114" i="3"/>
  <c r="O119" i="1"/>
  <c r="O120" i="1"/>
  <c r="O121" i="1"/>
  <c r="O123" i="1"/>
  <c r="P120" i="3"/>
  <c r="P121" i="3"/>
  <c r="P173" i="3"/>
  <c r="J8" i="4"/>
  <c r="J11" i="4"/>
  <c r="J12" i="4"/>
  <c r="O223" i="1"/>
  <c r="L50" i="2"/>
  <c r="Q68" i="3"/>
  <c r="L48" i="2"/>
  <c r="Q69" i="3"/>
  <c r="L51" i="2"/>
  <c r="L52" i="2"/>
  <c r="Q70" i="3"/>
  <c r="Q71" i="3"/>
  <c r="Q72" i="3"/>
  <c r="L54" i="2"/>
  <c r="Q74" i="3"/>
  <c r="Q97" i="3"/>
  <c r="Q105" i="3"/>
  <c r="Q113" i="3"/>
  <c r="P81" i="1"/>
  <c r="P107" i="1"/>
  <c r="P108" i="1"/>
  <c r="P109" i="1"/>
  <c r="P110" i="1"/>
  <c r="P112" i="1"/>
  <c r="K6" i="4"/>
  <c r="Q78" i="3"/>
  <c r="Q79" i="3"/>
  <c r="Q80" i="3"/>
  <c r="Q81" i="3"/>
  <c r="Q83" i="3"/>
  <c r="Q98" i="3"/>
  <c r="Q106" i="3"/>
  <c r="Q114" i="3"/>
  <c r="P119" i="1"/>
  <c r="P120" i="1"/>
  <c r="P121" i="1"/>
  <c r="P123" i="1"/>
  <c r="Q120" i="3"/>
  <c r="Q121" i="3"/>
  <c r="Q173" i="3"/>
  <c r="K8" i="4"/>
  <c r="K11" i="4"/>
  <c r="K12" i="4"/>
  <c r="P223" i="1"/>
  <c r="M50" i="2"/>
  <c r="R68" i="3"/>
  <c r="M48" i="2"/>
  <c r="R69" i="3"/>
  <c r="M51" i="2"/>
  <c r="M52" i="2"/>
  <c r="R70" i="3"/>
  <c r="R71" i="3"/>
  <c r="R72" i="3"/>
  <c r="M54" i="2"/>
  <c r="R74" i="3"/>
  <c r="R97" i="3"/>
  <c r="R105" i="3"/>
  <c r="R113" i="3"/>
  <c r="Q81" i="1"/>
  <c r="Q107" i="1"/>
  <c r="Q108" i="1"/>
  <c r="Q109" i="1"/>
  <c r="Q110" i="1"/>
  <c r="Q112" i="1"/>
  <c r="L6" i="4"/>
  <c r="R78" i="3"/>
  <c r="R79" i="3"/>
  <c r="R80" i="3"/>
  <c r="R81" i="3"/>
  <c r="R83" i="3"/>
  <c r="R98" i="3"/>
  <c r="R106" i="3"/>
  <c r="R114" i="3"/>
  <c r="Q119" i="1"/>
  <c r="Q120" i="1"/>
  <c r="Q121" i="1"/>
  <c r="Q123" i="1"/>
  <c r="R120" i="3"/>
  <c r="R121" i="3"/>
  <c r="R173" i="3"/>
  <c r="L8" i="4"/>
  <c r="L11" i="4"/>
  <c r="L12" i="4"/>
  <c r="Q223" i="1"/>
  <c r="N50" i="2"/>
  <c r="S68" i="3"/>
  <c r="N48" i="2"/>
  <c r="S69" i="3"/>
  <c r="N51" i="2"/>
  <c r="N52" i="2"/>
  <c r="S70" i="3"/>
  <c r="S71" i="3"/>
  <c r="S72" i="3"/>
  <c r="N54" i="2"/>
  <c r="S74" i="3"/>
  <c r="S97" i="3"/>
  <c r="S105" i="3"/>
  <c r="S113" i="3"/>
  <c r="R81" i="1"/>
  <c r="R107" i="1"/>
  <c r="R108" i="1"/>
  <c r="R109" i="1"/>
  <c r="R110" i="1"/>
  <c r="R112" i="1"/>
  <c r="M6" i="4"/>
  <c r="S78" i="3"/>
  <c r="S79" i="3"/>
  <c r="S80" i="3"/>
  <c r="S81" i="3"/>
  <c r="S83" i="3"/>
  <c r="S98" i="3"/>
  <c r="S106" i="3"/>
  <c r="S114" i="3"/>
  <c r="R119" i="1"/>
  <c r="R120" i="1"/>
  <c r="R121" i="1"/>
  <c r="R123" i="1"/>
  <c r="S120" i="3"/>
  <c r="S121" i="3"/>
  <c r="S173" i="3"/>
  <c r="M8" i="4"/>
  <c r="M11" i="4"/>
  <c r="M12" i="4"/>
  <c r="R223" i="1"/>
  <c r="O50" i="2"/>
  <c r="T68" i="3"/>
  <c r="O48" i="2"/>
  <c r="T69" i="3"/>
  <c r="O51" i="2"/>
  <c r="O52" i="2"/>
  <c r="T70" i="3"/>
  <c r="T71" i="3"/>
  <c r="T72" i="3"/>
  <c r="O54" i="2"/>
  <c r="T74" i="3"/>
  <c r="T97" i="3"/>
  <c r="T105" i="3"/>
  <c r="T113" i="3"/>
  <c r="S81" i="1"/>
  <c r="S107" i="1"/>
  <c r="S108" i="1"/>
  <c r="S109" i="1"/>
  <c r="S110" i="1"/>
  <c r="S112" i="1"/>
  <c r="N6" i="4"/>
  <c r="T78" i="3"/>
  <c r="T79" i="3"/>
  <c r="T80" i="3"/>
  <c r="T81" i="3"/>
  <c r="T83" i="3"/>
  <c r="T98" i="3"/>
  <c r="T106" i="3"/>
  <c r="T114" i="3"/>
  <c r="S119" i="1"/>
  <c r="S120" i="1"/>
  <c r="S121" i="1"/>
  <c r="S123" i="1"/>
  <c r="T120" i="3"/>
  <c r="T121" i="3"/>
  <c r="T173" i="3"/>
  <c r="N8" i="4"/>
  <c r="N11" i="4"/>
  <c r="N12" i="4"/>
  <c r="S223" i="1"/>
  <c r="U68" i="3"/>
  <c r="U69" i="3"/>
  <c r="U70" i="3"/>
  <c r="U71" i="3"/>
  <c r="U72" i="3"/>
  <c r="U97" i="3"/>
  <c r="U105" i="3"/>
  <c r="U113" i="3"/>
  <c r="T81" i="1"/>
  <c r="T107" i="1"/>
  <c r="T108" i="1"/>
  <c r="T109" i="1"/>
  <c r="T110" i="1"/>
  <c r="T112" i="1"/>
  <c r="O6" i="4"/>
  <c r="U78" i="3"/>
  <c r="U79" i="3"/>
  <c r="U80" i="3"/>
  <c r="U81" i="3"/>
  <c r="U98" i="3"/>
  <c r="U106" i="3"/>
  <c r="U114" i="3"/>
  <c r="T119" i="1"/>
  <c r="T120" i="1"/>
  <c r="T121" i="1"/>
  <c r="T123" i="1"/>
  <c r="U120" i="3"/>
  <c r="U121" i="3"/>
  <c r="U173" i="3"/>
  <c r="O8" i="4"/>
  <c r="O11" i="4"/>
  <c r="O12" i="4"/>
  <c r="T223" i="1"/>
  <c r="D6" i="4"/>
  <c r="J78" i="3"/>
  <c r="J80" i="3"/>
  <c r="J81" i="3"/>
  <c r="J98" i="3"/>
  <c r="J106" i="3"/>
  <c r="I119" i="1"/>
  <c r="I123" i="1"/>
  <c r="J120" i="3"/>
  <c r="J121" i="3"/>
  <c r="J173" i="3"/>
  <c r="D8" i="4"/>
  <c r="D11" i="4"/>
  <c r="D12" i="4"/>
  <c r="I223" i="1"/>
  <c r="I222" i="1"/>
  <c r="AG222" i="1"/>
  <c r="AF222" i="1"/>
  <c r="AE222" i="1"/>
  <c r="AD222" i="1"/>
  <c r="AC222" i="1"/>
  <c r="AB222" i="1"/>
  <c r="AA222" i="1"/>
  <c r="Z222" i="1"/>
  <c r="Y222" i="1"/>
  <c r="X222" i="1"/>
  <c r="W222" i="1"/>
  <c r="V222" i="1"/>
  <c r="J222" i="1"/>
  <c r="K222" i="1"/>
  <c r="L222" i="1"/>
  <c r="M222" i="1"/>
  <c r="N222" i="1"/>
  <c r="O222" i="1"/>
  <c r="P222" i="1"/>
  <c r="Q222" i="1"/>
  <c r="R222" i="1"/>
  <c r="S222" i="1"/>
  <c r="T222" i="1"/>
  <c r="I29" i="1"/>
  <c r="I221" i="1"/>
  <c r="AG221" i="1"/>
  <c r="AF221" i="1"/>
  <c r="AE221" i="1"/>
  <c r="AD221" i="1"/>
  <c r="AC221" i="1"/>
  <c r="AB221" i="1"/>
  <c r="AA221" i="1"/>
  <c r="Z221" i="1"/>
  <c r="Y221" i="1"/>
  <c r="X221" i="1"/>
  <c r="W221" i="1"/>
  <c r="V221" i="1"/>
  <c r="T221" i="1"/>
  <c r="S221" i="1"/>
  <c r="R221" i="1"/>
  <c r="Q221" i="1"/>
  <c r="P221" i="1"/>
  <c r="O221" i="1"/>
  <c r="N221" i="1"/>
  <c r="M221" i="1"/>
  <c r="L221" i="1"/>
  <c r="K221" i="1"/>
  <c r="J221" i="1"/>
  <c r="AG94" i="1"/>
  <c r="AG95" i="1"/>
  <c r="AF95" i="1"/>
  <c r="AE95" i="1"/>
  <c r="AD95" i="1"/>
  <c r="AC95" i="1"/>
  <c r="AB95" i="1"/>
  <c r="AA95" i="1"/>
  <c r="Z95" i="1"/>
  <c r="Y95" i="1"/>
  <c r="X95" i="1"/>
  <c r="W95" i="1"/>
  <c r="V94" i="1"/>
  <c r="V95" i="1"/>
  <c r="T94" i="1"/>
  <c r="T95" i="1"/>
  <c r="S94" i="1"/>
  <c r="S95" i="1"/>
  <c r="R94" i="1"/>
  <c r="R95" i="1"/>
  <c r="Q94" i="1"/>
  <c r="Q95" i="1"/>
  <c r="P94" i="1"/>
  <c r="P95" i="1"/>
  <c r="O94" i="1"/>
  <c r="O95" i="1"/>
  <c r="N94" i="1"/>
  <c r="N95" i="1"/>
  <c r="M94" i="1"/>
  <c r="M95" i="1"/>
  <c r="L94" i="1"/>
  <c r="L95" i="1"/>
  <c r="K94" i="1"/>
  <c r="K95" i="1"/>
  <c r="AG69" i="1"/>
  <c r="AF69" i="1"/>
  <c r="AE69" i="1"/>
  <c r="AD69" i="1"/>
  <c r="AC69" i="1"/>
  <c r="AB69" i="1"/>
  <c r="AA69" i="1"/>
  <c r="Z69" i="1"/>
  <c r="Y69" i="1"/>
  <c r="X69" i="1"/>
  <c r="W69" i="1"/>
  <c r="V69" i="1"/>
  <c r="T69" i="1"/>
  <c r="S69" i="1"/>
  <c r="R69" i="1"/>
  <c r="Q69" i="1"/>
  <c r="P69" i="1"/>
  <c r="O69" i="1"/>
  <c r="N69" i="1"/>
  <c r="M69" i="1"/>
  <c r="L69" i="1"/>
  <c r="K69" i="1"/>
  <c r="J69" i="1"/>
  <c r="AG41" i="1"/>
  <c r="AF41" i="1"/>
  <c r="AE41" i="1"/>
  <c r="AD41" i="1"/>
  <c r="AC41" i="1"/>
  <c r="AB41" i="1"/>
  <c r="AA41" i="1"/>
  <c r="Z41" i="1"/>
  <c r="Y41" i="1"/>
  <c r="X41" i="1"/>
  <c r="W41" i="1"/>
  <c r="V41" i="1"/>
  <c r="J41" i="1"/>
  <c r="K41" i="1"/>
  <c r="L41" i="1"/>
  <c r="M41" i="1"/>
  <c r="N41" i="1"/>
  <c r="O41" i="1"/>
  <c r="P41" i="1"/>
  <c r="Q41" i="1"/>
  <c r="R41" i="1"/>
  <c r="S41" i="1"/>
  <c r="T41" i="1"/>
  <c r="I41" i="1"/>
  <c r="AH175" i="3"/>
  <c r="AB19" i="4"/>
  <c r="AG111" i="1"/>
  <c r="AB111" i="4"/>
  <c r="AG175" i="3"/>
  <c r="AA19" i="4"/>
  <c r="AF111" i="1"/>
  <c r="AA111" i="4"/>
  <c r="AF175" i="3"/>
  <c r="Z19" i="4"/>
  <c r="AE111" i="1"/>
  <c r="Z111" i="4"/>
  <c r="AE175" i="3"/>
  <c r="Y19" i="4"/>
  <c r="AD111" i="1"/>
  <c r="Y111" i="4"/>
  <c r="AD175" i="3"/>
  <c r="X19" i="4"/>
  <c r="AC111" i="1"/>
  <c r="X111" i="4"/>
  <c r="AC175" i="3"/>
  <c r="W19" i="4"/>
  <c r="AB111" i="1"/>
  <c r="W111" i="4"/>
  <c r="AB175" i="3"/>
  <c r="V19" i="4"/>
  <c r="AA111" i="1"/>
  <c r="V111" i="4"/>
  <c r="AA175" i="3"/>
  <c r="U19" i="4"/>
  <c r="Z111" i="1"/>
  <c r="U111" i="4"/>
  <c r="Z175" i="3"/>
  <c r="T19" i="4"/>
  <c r="Y111" i="1"/>
  <c r="T111" i="4"/>
  <c r="Y175" i="3"/>
  <c r="S19" i="4"/>
  <c r="X111" i="1"/>
  <c r="S111" i="4"/>
  <c r="X175" i="3"/>
  <c r="R19" i="4"/>
  <c r="W111" i="1"/>
  <c r="R111" i="4"/>
  <c r="W175" i="3"/>
  <c r="Q19" i="4"/>
  <c r="V111" i="1"/>
  <c r="Q111" i="4"/>
  <c r="J111" i="1"/>
  <c r="E111" i="4"/>
  <c r="L175" i="3"/>
  <c r="F19" i="4"/>
  <c r="K111" i="1"/>
  <c r="F111" i="4"/>
  <c r="M175" i="3"/>
  <c r="G19" i="4"/>
  <c r="L111" i="1"/>
  <c r="G111" i="4"/>
  <c r="N175" i="3"/>
  <c r="H19" i="4"/>
  <c r="M111" i="1"/>
  <c r="H111" i="4"/>
  <c r="O175" i="3"/>
  <c r="I19" i="4"/>
  <c r="N111" i="1"/>
  <c r="I111" i="4"/>
  <c r="P175" i="3"/>
  <c r="J19" i="4"/>
  <c r="O111" i="1"/>
  <c r="J111" i="4"/>
  <c r="Q175" i="3"/>
  <c r="K19" i="4"/>
  <c r="P111" i="1"/>
  <c r="K111" i="4"/>
  <c r="R175" i="3"/>
  <c r="L19" i="4"/>
  <c r="Q111" i="1"/>
  <c r="L111" i="4"/>
  <c r="S175" i="3"/>
  <c r="M19" i="4"/>
  <c r="R111" i="1"/>
  <c r="M111" i="4"/>
  <c r="T175" i="3"/>
  <c r="N19" i="4"/>
  <c r="S111" i="1"/>
  <c r="N111" i="4"/>
  <c r="U175" i="3"/>
  <c r="O19" i="4"/>
  <c r="T111" i="1"/>
  <c r="O111" i="4"/>
  <c r="I111" i="1"/>
  <c r="D111" i="4"/>
  <c r="AG85" i="3"/>
  <c r="AG73" i="3"/>
  <c r="AG82" i="3"/>
  <c r="AG86" i="3"/>
  <c r="AG132" i="3"/>
  <c r="AG99" i="3"/>
  <c r="AG107" i="3"/>
  <c r="AG115" i="3"/>
  <c r="AG117" i="3"/>
  <c r="AH87" i="3"/>
  <c r="AG87" i="3"/>
  <c r="AG124" i="3"/>
  <c r="AG127" i="3"/>
  <c r="AG135" i="3"/>
  <c r="AG136" i="3"/>
  <c r="AA32" i="4"/>
  <c r="AA110" i="4"/>
  <c r="AF85" i="3"/>
  <c r="AF73" i="3"/>
  <c r="AF82" i="3"/>
  <c r="AF86" i="3"/>
  <c r="AF132" i="3"/>
  <c r="AF99" i="3"/>
  <c r="AF107" i="3"/>
  <c r="AF115" i="3"/>
  <c r="AF117" i="3"/>
  <c r="AF87" i="3"/>
  <c r="AF124" i="3"/>
  <c r="AF127" i="3"/>
  <c r="AF135" i="3"/>
  <c r="AF136" i="3"/>
  <c r="Z32" i="4"/>
  <c r="Z110" i="4"/>
  <c r="AE85" i="3"/>
  <c r="AE73" i="3"/>
  <c r="AE82" i="3"/>
  <c r="AE86" i="3"/>
  <c r="AE132" i="3"/>
  <c r="AC73" i="3"/>
  <c r="AD73" i="3"/>
  <c r="AE133" i="3"/>
  <c r="AE99" i="3"/>
  <c r="AE107" i="3"/>
  <c r="AE115" i="3"/>
  <c r="AE117" i="3"/>
  <c r="AE87" i="3"/>
  <c r="AE124" i="3"/>
  <c r="AE127" i="3"/>
  <c r="AE135" i="3"/>
  <c r="AE136" i="3"/>
  <c r="Y32" i="4"/>
  <c r="Y110" i="4"/>
  <c r="AD85" i="3"/>
  <c r="AD82" i="3"/>
  <c r="AD86" i="3"/>
  <c r="AD132" i="3"/>
  <c r="AD99" i="3"/>
  <c r="AD107" i="3"/>
  <c r="AD115" i="3"/>
  <c r="AD117" i="3"/>
  <c r="AD87" i="3"/>
  <c r="AD124" i="3"/>
  <c r="AD127" i="3"/>
  <c r="AD135" i="3"/>
  <c r="AD136" i="3"/>
  <c r="X32" i="4"/>
  <c r="X110" i="4"/>
  <c r="AC85" i="3"/>
  <c r="AC82" i="3"/>
  <c r="AC86" i="3"/>
  <c r="AC132" i="3"/>
  <c r="AC99" i="3"/>
  <c r="AC107" i="3"/>
  <c r="AC115" i="3"/>
  <c r="AC117" i="3"/>
  <c r="AC87" i="3"/>
  <c r="AC124" i="3"/>
  <c r="AC127" i="3"/>
  <c r="AC135" i="3"/>
  <c r="AC136" i="3"/>
  <c r="W32" i="4"/>
  <c r="W110" i="4"/>
  <c r="AB85" i="3"/>
  <c r="AB73" i="3"/>
  <c r="AB82" i="3"/>
  <c r="AB86" i="3"/>
  <c r="AB132" i="3"/>
  <c r="Z73" i="3"/>
  <c r="AA73" i="3"/>
  <c r="AB133" i="3"/>
  <c r="AB99" i="3"/>
  <c r="AB107" i="3"/>
  <c r="AB115" i="3"/>
  <c r="AB117" i="3"/>
  <c r="AB87" i="3"/>
  <c r="AB124" i="3"/>
  <c r="AB127" i="3"/>
  <c r="AB135" i="3"/>
  <c r="AB136" i="3"/>
  <c r="V32" i="4"/>
  <c r="V110" i="4"/>
  <c r="AA85" i="3"/>
  <c r="AA82" i="3"/>
  <c r="AA86" i="3"/>
  <c r="AA132" i="3"/>
  <c r="AA99" i="3"/>
  <c r="AA107" i="3"/>
  <c r="AA115" i="3"/>
  <c r="AA117" i="3"/>
  <c r="AA87" i="3"/>
  <c r="AA124" i="3"/>
  <c r="AA127" i="3"/>
  <c r="AA135" i="3"/>
  <c r="AA136" i="3"/>
  <c r="U32" i="4"/>
  <c r="U110" i="4"/>
  <c r="Z85" i="3"/>
  <c r="Z82" i="3"/>
  <c r="Z86" i="3"/>
  <c r="Z132" i="3"/>
  <c r="Z99" i="3"/>
  <c r="Z107" i="3"/>
  <c r="Z115" i="3"/>
  <c r="Z117" i="3"/>
  <c r="Z87" i="3"/>
  <c r="Z124" i="3"/>
  <c r="Z127" i="3"/>
  <c r="Z135" i="3"/>
  <c r="Z136" i="3"/>
  <c r="T32" i="4"/>
  <c r="T110" i="4"/>
  <c r="W85" i="3"/>
  <c r="W73" i="3"/>
  <c r="W82" i="3"/>
  <c r="W86" i="3"/>
  <c r="W132" i="3"/>
  <c r="W99" i="3"/>
  <c r="W107" i="3"/>
  <c r="W115" i="3"/>
  <c r="W117" i="3"/>
  <c r="X87" i="3"/>
  <c r="W87" i="3"/>
  <c r="W124" i="3"/>
  <c r="W127" i="3"/>
  <c r="W135" i="3"/>
  <c r="W136" i="3"/>
  <c r="Q32" i="4"/>
  <c r="Q110" i="4"/>
  <c r="K85" i="3"/>
  <c r="K82" i="3"/>
  <c r="K86" i="3"/>
  <c r="K132" i="3"/>
  <c r="K99" i="3"/>
  <c r="K107" i="3"/>
  <c r="K115" i="3"/>
  <c r="K117" i="3"/>
  <c r="L87" i="3"/>
  <c r="K87" i="3"/>
  <c r="K124" i="3"/>
  <c r="K127" i="3"/>
  <c r="K135" i="3"/>
  <c r="K136" i="3"/>
  <c r="E32" i="4"/>
  <c r="E110" i="4"/>
  <c r="L85" i="3"/>
  <c r="L73" i="3"/>
  <c r="L82" i="3"/>
  <c r="L86" i="3"/>
  <c r="L132" i="3"/>
  <c r="L133" i="3"/>
  <c r="L99" i="3"/>
  <c r="L107" i="3"/>
  <c r="L115" i="3"/>
  <c r="L117" i="3"/>
  <c r="M87" i="3"/>
  <c r="L124" i="3"/>
  <c r="L127" i="3"/>
  <c r="L135" i="3"/>
  <c r="L136" i="3"/>
  <c r="F32" i="4"/>
  <c r="F110" i="4"/>
  <c r="M85" i="3"/>
  <c r="M73" i="3"/>
  <c r="M82" i="3"/>
  <c r="M86" i="3"/>
  <c r="M132" i="3"/>
  <c r="M99" i="3"/>
  <c r="M107" i="3"/>
  <c r="M115" i="3"/>
  <c r="M117" i="3"/>
  <c r="N87" i="3"/>
  <c r="M124" i="3"/>
  <c r="M127" i="3"/>
  <c r="M135" i="3"/>
  <c r="M136" i="3"/>
  <c r="G32" i="4"/>
  <c r="G110" i="4"/>
  <c r="N85" i="3"/>
  <c r="N73" i="3"/>
  <c r="N82" i="3"/>
  <c r="N86" i="3"/>
  <c r="N132" i="3"/>
  <c r="N99" i="3"/>
  <c r="N107" i="3"/>
  <c r="N115" i="3"/>
  <c r="N117" i="3"/>
  <c r="O87" i="3"/>
  <c r="N124" i="3"/>
  <c r="N127" i="3"/>
  <c r="N135" i="3"/>
  <c r="N136" i="3"/>
  <c r="H32" i="4"/>
  <c r="H110" i="4"/>
  <c r="O85" i="3"/>
  <c r="O73" i="3"/>
  <c r="O82" i="3"/>
  <c r="O86" i="3"/>
  <c r="O132" i="3"/>
  <c r="O133" i="3"/>
  <c r="O99" i="3"/>
  <c r="O107" i="3"/>
  <c r="O115" i="3"/>
  <c r="O117" i="3"/>
  <c r="P87" i="3"/>
  <c r="O124" i="3"/>
  <c r="O127" i="3"/>
  <c r="O135" i="3"/>
  <c r="O136" i="3"/>
  <c r="I32" i="4"/>
  <c r="I110" i="4"/>
  <c r="P85" i="3"/>
  <c r="P73" i="3"/>
  <c r="P82" i="3"/>
  <c r="P86" i="3"/>
  <c r="P132" i="3"/>
  <c r="P99" i="3"/>
  <c r="P107" i="3"/>
  <c r="P115" i="3"/>
  <c r="P117" i="3"/>
  <c r="Q87" i="3"/>
  <c r="P124" i="3"/>
  <c r="P127" i="3"/>
  <c r="P135" i="3"/>
  <c r="P136" i="3"/>
  <c r="J32" i="4"/>
  <c r="J110" i="4"/>
  <c r="Q85" i="3"/>
  <c r="Q73" i="3"/>
  <c r="Q82" i="3"/>
  <c r="Q86" i="3"/>
  <c r="Q132" i="3"/>
  <c r="Q99" i="3"/>
  <c r="Q107" i="3"/>
  <c r="Q115" i="3"/>
  <c r="Q117" i="3"/>
  <c r="R87" i="3"/>
  <c r="Q124" i="3"/>
  <c r="Q127" i="3"/>
  <c r="Q135" i="3"/>
  <c r="Q136" i="3"/>
  <c r="K32" i="4"/>
  <c r="K110" i="4"/>
  <c r="R85" i="3"/>
  <c r="R73" i="3"/>
  <c r="R82" i="3"/>
  <c r="R86" i="3"/>
  <c r="R132" i="3"/>
  <c r="R133" i="3"/>
  <c r="R99" i="3"/>
  <c r="R107" i="3"/>
  <c r="R115" i="3"/>
  <c r="R117" i="3"/>
  <c r="S87" i="3"/>
  <c r="R124" i="3"/>
  <c r="R127" i="3"/>
  <c r="R135" i="3"/>
  <c r="R136" i="3"/>
  <c r="L32" i="4"/>
  <c r="L110" i="4"/>
  <c r="S85" i="3"/>
  <c r="S73" i="3"/>
  <c r="S82" i="3"/>
  <c r="S86" i="3"/>
  <c r="S132" i="3"/>
  <c r="S99" i="3"/>
  <c r="S107" i="3"/>
  <c r="S115" i="3"/>
  <c r="S117" i="3"/>
  <c r="T87" i="3"/>
  <c r="S124" i="3"/>
  <c r="S127" i="3"/>
  <c r="S135" i="3"/>
  <c r="S136" i="3"/>
  <c r="M32" i="4"/>
  <c r="M110" i="4"/>
  <c r="T85" i="3"/>
  <c r="T73" i="3"/>
  <c r="T82" i="3"/>
  <c r="T86" i="3"/>
  <c r="T132" i="3"/>
  <c r="T99" i="3"/>
  <c r="T107" i="3"/>
  <c r="T115" i="3"/>
  <c r="T117" i="3"/>
  <c r="U87" i="3"/>
  <c r="T124" i="3"/>
  <c r="T127" i="3"/>
  <c r="T135" i="3"/>
  <c r="T136" i="3"/>
  <c r="N32" i="4"/>
  <c r="N110" i="4"/>
  <c r="U85" i="3"/>
  <c r="U73" i="3"/>
  <c r="U82" i="3"/>
  <c r="U86" i="3"/>
  <c r="U132" i="3"/>
  <c r="U133" i="3"/>
  <c r="J82" i="3"/>
  <c r="U134" i="3"/>
  <c r="U99" i="3"/>
  <c r="U107" i="3"/>
  <c r="U115" i="3"/>
  <c r="U117" i="3"/>
  <c r="U124" i="3"/>
  <c r="U127" i="3"/>
  <c r="U135" i="3"/>
  <c r="U136" i="3"/>
  <c r="O32" i="4"/>
  <c r="O110" i="4"/>
  <c r="J85" i="3"/>
  <c r="J86" i="3"/>
  <c r="J132" i="3"/>
  <c r="J99" i="3"/>
  <c r="J107" i="3"/>
  <c r="J117" i="3"/>
  <c r="J87" i="3"/>
  <c r="J124" i="3"/>
  <c r="J136" i="3"/>
  <c r="D32" i="4"/>
  <c r="D110" i="4"/>
  <c r="AH176" i="3"/>
  <c r="AB22" i="4"/>
  <c r="AB109" i="4"/>
  <c r="AG176" i="3"/>
  <c r="AA22" i="4"/>
  <c r="AA109" i="4"/>
  <c r="AF176" i="3"/>
  <c r="Z22" i="4"/>
  <c r="Z109" i="4"/>
  <c r="AE176" i="3"/>
  <c r="Y22" i="4"/>
  <c r="Y109" i="4"/>
  <c r="AD176" i="3"/>
  <c r="X22" i="4"/>
  <c r="X109" i="4"/>
  <c r="AC176" i="3"/>
  <c r="W22" i="4"/>
  <c r="W109" i="4"/>
  <c r="AB176" i="3"/>
  <c r="V22" i="4"/>
  <c r="V109" i="4"/>
  <c r="AA176" i="3"/>
  <c r="U22" i="4"/>
  <c r="U109" i="4"/>
  <c r="Z176" i="3"/>
  <c r="T22" i="4"/>
  <c r="T109" i="4"/>
  <c r="Y87" i="3"/>
  <c r="Y124" i="3"/>
  <c r="Y176" i="3"/>
  <c r="S22" i="4"/>
  <c r="S109" i="4"/>
  <c r="X124" i="3"/>
  <c r="X176" i="3"/>
  <c r="R22" i="4"/>
  <c r="R109" i="4"/>
  <c r="W176" i="3"/>
  <c r="Q22" i="4"/>
  <c r="Q109" i="4"/>
  <c r="K176" i="3"/>
  <c r="E22" i="4"/>
  <c r="E109" i="4"/>
  <c r="L176" i="3"/>
  <c r="F22" i="4"/>
  <c r="F109" i="4"/>
  <c r="M176" i="3"/>
  <c r="G22" i="4"/>
  <c r="G109" i="4"/>
  <c r="N176" i="3"/>
  <c r="H22" i="4"/>
  <c r="H109" i="4"/>
  <c r="O176" i="3"/>
  <c r="I22" i="4"/>
  <c r="I109" i="4"/>
  <c r="P176" i="3"/>
  <c r="J22" i="4"/>
  <c r="J109" i="4"/>
  <c r="Q176" i="3"/>
  <c r="K22" i="4"/>
  <c r="K109" i="4"/>
  <c r="R176" i="3"/>
  <c r="L22" i="4"/>
  <c r="L109" i="4"/>
  <c r="S176" i="3"/>
  <c r="M22" i="4"/>
  <c r="M109" i="4"/>
  <c r="T176" i="3"/>
  <c r="N22" i="4"/>
  <c r="N109" i="4"/>
  <c r="U176" i="3"/>
  <c r="O22" i="4"/>
  <c r="O109" i="4"/>
  <c r="J176" i="3"/>
  <c r="D22" i="4"/>
  <c r="D109" i="4"/>
  <c r="AB108" i="4"/>
  <c r="AA108" i="4"/>
  <c r="Z108" i="4"/>
  <c r="Y108" i="4"/>
  <c r="X108" i="4"/>
  <c r="W108" i="4"/>
  <c r="V108" i="4"/>
  <c r="U108" i="4"/>
  <c r="T108" i="4"/>
  <c r="S108" i="4"/>
  <c r="R108" i="4"/>
  <c r="Q108" i="4"/>
  <c r="F108" i="4"/>
  <c r="G108" i="4"/>
  <c r="H108" i="4"/>
  <c r="I108" i="4"/>
  <c r="J108" i="4"/>
  <c r="K108" i="4"/>
  <c r="L108" i="4"/>
  <c r="M108" i="4"/>
  <c r="N108" i="4"/>
  <c r="O108" i="4"/>
  <c r="AB106" i="4"/>
  <c r="AA106" i="4"/>
  <c r="Z106" i="4"/>
  <c r="Y106" i="4"/>
  <c r="X106" i="4"/>
  <c r="W106" i="4"/>
  <c r="V106" i="4"/>
  <c r="U106" i="4"/>
  <c r="T106" i="4"/>
  <c r="S106" i="4"/>
  <c r="R106" i="4"/>
  <c r="Q106" i="4"/>
  <c r="E106" i="4"/>
  <c r="F106" i="4"/>
  <c r="G106" i="4"/>
  <c r="H106" i="4"/>
  <c r="I106" i="4"/>
  <c r="J106" i="4"/>
  <c r="K106" i="4"/>
  <c r="L106" i="4"/>
  <c r="M106" i="4"/>
  <c r="N106" i="4"/>
  <c r="O106" i="4"/>
  <c r="D106" i="4"/>
  <c r="D31" i="4"/>
  <c r="D33" i="4"/>
  <c r="D38" i="4"/>
  <c r="E31" i="4"/>
  <c r="E33" i="4"/>
  <c r="E38" i="4"/>
  <c r="F31" i="4"/>
  <c r="F33" i="4"/>
  <c r="F38" i="4"/>
  <c r="G31" i="4"/>
  <c r="G33" i="4"/>
  <c r="G38" i="4"/>
  <c r="H31" i="4"/>
  <c r="H33" i="4"/>
  <c r="H38" i="4"/>
  <c r="I31" i="4"/>
  <c r="I33" i="4"/>
  <c r="I38" i="4"/>
  <c r="J31" i="4"/>
  <c r="J33" i="4"/>
  <c r="J38" i="4"/>
  <c r="K31" i="4"/>
  <c r="K33" i="4"/>
  <c r="K38" i="4"/>
  <c r="L31" i="4"/>
  <c r="L33" i="4"/>
  <c r="L38" i="4"/>
  <c r="M31" i="4"/>
  <c r="M33" i="4"/>
  <c r="M38" i="4"/>
  <c r="N31" i="4"/>
  <c r="N33" i="4"/>
  <c r="N38" i="4"/>
  <c r="O31" i="4"/>
  <c r="O33" i="4"/>
  <c r="O38" i="4"/>
  <c r="P38" i="4"/>
  <c r="Q25" i="4"/>
  <c r="R25" i="4"/>
  <c r="S25" i="4"/>
  <c r="T25" i="4"/>
  <c r="U25" i="4"/>
  <c r="V25" i="4"/>
  <c r="W25" i="4"/>
  <c r="X25" i="4"/>
  <c r="Y25" i="4"/>
  <c r="Z25" i="4"/>
  <c r="AA25" i="4"/>
  <c r="AB25" i="4"/>
  <c r="AC25" i="4"/>
  <c r="AC6" i="4"/>
  <c r="AC26" i="4"/>
  <c r="AB26" i="4"/>
  <c r="AA26" i="4"/>
  <c r="Z26" i="4"/>
  <c r="Y26" i="4"/>
  <c r="X26" i="4"/>
  <c r="W26" i="4"/>
  <c r="V26" i="4"/>
  <c r="U26" i="4"/>
  <c r="T26" i="4"/>
  <c r="S26" i="4"/>
  <c r="R26" i="4"/>
  <c r="Q26" i="4"/>
  <c r="D25" i="4"/>
  <c r="E25" i="4"/>
  <c r="F25" i="4"/>
  <c r="G25" i="4"/>
  <c r="H25" i="4"/>
  <c r="I25" i="4"/>
  <c r="J25" i="4"/>
  <c r="K25" i="4"/>
  <c r="L25" i="4"/>
  <c r="M25" i="4"/>
  <c r="N25" i="4"/>
  <c r="O25" i="4"/>
  <c r="P25" i="4"/>
  <c r="P6" i="4"/>
  <c r="P26" i="4"/>
  <c r="O26" i="4"/>
  <c r="N26" i="4"/>
  <c r="M26" i="4"/>
  <c r="L26" i="4"/>
  <c r="K26" i="4"/>
  <c r="J26" i="4"/>
  <c r="I26" i="4"/>
  <c r="H26" i="4"/>
  <c r="G26" i="4"/>
  <c r="F26" i="4"/>
  <c r="E26" i="4"/>
  <c r="D26" i="4"/>
  <c r="AC22" i="4"/>
  <c r="AC23" i="4"/>
  <c r="AB23" i="4"/>
  <c r="AA23" i="4"/>
  <c r="Z23" i="4"/>
  <c r="Y23" i="4"/>
  <c r="X23" i="4"/>
  <c r="W23" i="4"/>
  <c r="V23" i="4"/>
  <c r="U23" i="4"/>
  <c r="T23" i="4"/>
  <c r="S23" i="4"/>
  <c r="R23" i="4"/>
  <c r="Q23" i="4"/>
  <c r="P22" i="4"/>
  <c r="P23" i="4"/>
  <c r="O23" i="4"/>
  <c r="N23" i="4"/>
  <c r="M23" i="4"/>
  <c r="L23" i="4"/>
  <c r="K23" i="4"/>
  <c r="J23" i="4"/>
  <c r="I23" i="4"/>
  <c r="H23" i="4"/>
  <c r="G23" i="4"/>
  <c r="F23" i="4"/>
  <c r="E23" i="4"/>
  <c r="D23" i="4"/>
  <c r="AC19" i="4"/>
  <c r="AC20" i="4"/>
  <c r="AB20" i="4"/>
  <c r="AA20" i="4"/>
  <c r="Z20" i="4"/>
  <c r="Y20" i="4"/>
  <c r="X20" i="4"/>
  <c r="W20" i="4"/>
  <c r="V20" i="4"/>
  <c r="U20" i="4"/>
  <c r="T20" i="4"/>
  <c r="S20" i="4"/>
  <c r="R20" i="4"/>
  <c r="Q20" i="4"/>
  <c r="P19" i="4"/>
  <c r="P20" i="4"/>
  <c r="O20" i="4"/>
  <c r="N20" i="4"/>
  <c r="M20" i="4"/>
  <c r="L20" i="4"/>
  <c r="K20" i="4"/>
  <c r="J20" i="4"/>
  <c r="I20" i="4"/>
  <c r="H20" i="4"/>
  <c r="G20" i="4"/>
  <c r="F20" i="4"/>
  <c r="E20" i="4"/>
  <c r="D20" i="4"/>
  <c r="D17" i="4"/>
  <c r="AC17" i="4"/>
  <c r="AB17" i="4"/>
  <c r="AA17" i="4"/>
  <c r="Z17" i="4"/>
  <c r="Y17" i="4"/>
  <c r="X17" i="4"/>
  <c r="W17" i="4"/>
  <c r="V17" i="4"/>
  <c r="U17" i="4"/>
  <c r="T17" i="4"/>
  <c r="S17" i="4"/>
  <c r="R17" i="4"/>
  <c r="Q17" i="4"/>
  <c r="P17" i="4"/>
  <c r="O17" i="4"/>
  <c r="N17" i="4"/>
  <c r="M17" i="4"/>
  <c r="L17" i="4"/>
  <c r="K17" i="4"/>
  <c r="J17" i="4"/>
  <c r="I17" i="4"/>
  <c r="H17" i="4"/>
  <c r="G17" i="4"/>
  <c r="F17" i="4"/>
  <c r="E17" i="4"/>
  <c r="AC8" i="4"/>
  <c r="AC11" i="4"/>
  <c r="AC12" i="4"/>
  <c r="P8" i="4"/>
  <c r="P11" i="4"/>
  <c r="P12" i="4"/>
  <c r="Q9" i="4"/>
  <c r="R9" i="4"/>
  <c r="S9" i="4"/>
  <c r="T9" i="4"/>
  <c r="U9" i="4"/>
  <c r="V9" i="4"/>
  <c r="W9" i="4"/>
  <c r="X9" i="4"/>
  <c r="Y9" i="4"/>
  <c r="Z9" i="4"/>
  <c r="AA9" i="4"/>
  <c r="AB9" i="4"/>
  <c r="AC9" i="4"/>
  <c r="P9" i="4"/>
  <c r="E9" i="4"/>
  <c r="F9" i="4"/>
  <c r="G9" i="4"/>
  <c r="H9" i="4"/>
  <c r="I9" i="4"/>
  <c r="J9" i="4"/>
  <c r="K9" i="4"/>
  <c r="L9" i="4"/>
  <c r="M9" i="4"/>
  <c r="N9" i="4"/>
  <c r="O9" i="4"/>
  <c r="D9" i="4"/>
  <c r="Q28" i="4"/>
  <c r="R28" i="4"/>
  <c r="S28" i="4"/>
  <c r="T28" i="4"/>
  <c r="U28" i="4"/>
  <c r="V28" i="4"/>
  <c r="W28" i="4"/>
  <c r="X28" i="4"/>
  <c r="Y28" i="4"/>
  <c r="Z28" i="4"/>
  <c r="AA28" i="4"/>
  <c r="AB28" i="4"/>
  <c r="AC28" i="4"/>
  <c r="D28" i="4"/>
  <c r="E28" i="4"/>
  <c r="F28" i="4"/>
  <c r="G28" i="4"/>
  <c r="H28" i="4"/>
  <c r="I28" i="4"/>
  <c r="J28" i="4"/>
  <c r="K28" i="4"/>
  <c r="L28" i="4"/>
  <c r="M28" i="4"/>
  <c r="N28" i="4"/>
  <c r="O28" i="4"/>
  <c r="P28" i="4"/>
  <c r="X73" i="3"/>
  <c r="Y73" i="3"/>
  <c r="Y133" i="3"/>
  <c r="AH73" i="3"/>
  <c r="AH133" i="3"/>
  <c r="AI133" i="3"/>
  <c r="Q31" i="4"/>
  <c r="R31" i="4"/>
  <c r="S31" i="4"/>
  <c r="T31" i="4"/>
  <c r="U31" i="4"/>
  <c r="V31" i="4"/>
  <c r="W31" i="4"/>
  <c r="X31" i="4"/>
  <c r="Y31" i="4"/>
  <c r="Z31" i="4"/>
  <c r="AA31" i="4"/>
  <c r="AB31" i="4"/>
  <c r="AC31" i="4"/>
  <c r="P31" i="4"/>
  <c r="X99" i="3"/>
  <c r="X107" i="3"/>
  <c r="X115" i="3"/>
  <c r="X117" i="3"/>
  <c r="X127" i="3"/>
  <c r="X135" i="3"/>
  <c r="Y99" i="3"/>
  <c r="Y107" i="3"/>
  <c r="Y115" i="3"/>
  <c r="Y117" i="3"/>
  <c r="Y127" i="3"/>
  <c r="Y135" i="3"/>
  <c r="AH99" i="3"/>
  <c r="AH107" i="3"/>
  <c r="AH115" i="3"/>
  <c r="AH117" i="3"/>
  <c r="AH127" i="3"/>
  <c r="AH135" i="3"/>
  <c r="AI135" i="3"/>
  <c r="V135" i="3"/>
  <c r="V85" i="3"/>
  <c r="X82" i="3"/>
  <c r="Y82" i="3"/>
  <c r="AH82" i="3"/>
  <c r="AI82" i="3"/>
  <c r="AI73" i="3"/>
  <c r="V82" i="3"/>
  <c r="W129" i="3"/>
  <c r="X85" i="3"/>
  <c r="X129" i="3"/>
  <c r="Y85" i="3"/>
  <c r="Y129" i="3"/>
  <c r="Z129" i="3"/>
  <c r="AA129" i="3"/>
  <c r="AB129" i="3"/>
  <c r="AC129" i="3"/>
  <c r="AD129" i="3"/>
  <c r="AE129" i="3"/>
  <c r="AF129" i="3"/>
  <c r="AG129" i="3"/>
  <c r="AH85" i="3"/>
  <c r="AH129" i="3"/>
  <c r="AI129" i="3"/>
  <c r="J129" i="3"/>
  <c r="K129" i="3"/>
  <c r="L129" i="3"/>
  <c r="M129" i="3"/>
  <c r="N129" i="3"/>
  <c r="O129" i="3"/>
  <c r="P129" i="3"/>
  <c r="Q129" i="3"/>
  <c r="R129" i="3"/>
  <c r="S129" i="3"/>
  <c r="T129" i="3"/>
  <c r="U129" i="3"/>
  <c r="V129" i="3"/>
  <c r="AI85" i="3"/>
  <c r="V126" i="3"/>
  <c r="AI126" i="3"/>
  <c r="V124" i="3"/>
  <c r="AI124" i="3"/>
  <c r="AI117" i="3"/>
  <c r="V117" i="3"/>
  <c r="AI115" i="3"/>
  <c r="V115" i="3"/>
  <c r="AI114" i="3"/>
  <c r="V114" i="3"/>
  <c r="AI113" i="3"/>
  <c r="V113" i="3"/>
  <c r="AI107" i="3"/>
  <c r="V107" i="3"/>
  <c r="AI106" i="3"/>
  <c r="V106" i="3"/>
  <c r="AI105" i="3"/>
  <c r="V105" i="3"/>
  <c r="AI99" i="3"/>
  <c r="V99" i="3"/>
  <c r="AI98" i="3"/>
  <c r="AI97" i="3"/>
  <c r="V98" i="3"/>
  <c r="V97" i="3"/>
  <c r="AH122" i="1"/>
  <c r="AH78" i="1"/>
  <c r="AH77" i="1"/>
  <c r="AG220" i="1"/>
  <c r="AF220" i="1"/>
  <c r="AE220" i="1"/>
  <c r="AD220" i="1"/>
  <c r="AC220" i="1"/>
  <c r="AB220" i="1"/>
  <c r="AA220" i="1"/>
  <c r="Z220" i="1"/>
  <c r="Y220" i="1"/>
  <c r="X220" i="1"/>
  <c r="AG116" i="1"/>
  <c r="AF116" i="1"/>
  <c r="AE116" i="1"/>
  <c r="AD116" i="1"/>
  <c r="AC116" i="1"/>
  <c r="AB116" i="1"/>
  <c r="AA116" i="1"/>
  <c r="Z116" i="1"/>
  <c r="Y116" i="1"/>
  <c r="X116" i="1"/>
  <c r="W116" i="1"/>
  <c r="V116" i="1"/>
  <c r="T116" i="1"/>
  <c r="S116" i="1"/>
  <c r="R116" i="1"/>
  <c r="Q116" i="1"/>
  <c r="P116" i="1"/>
  <c r="O116" i="1"/>
  <c r="N116" i="1"/>
  <c r="M116" i="1"/>
  <c r="L116" i="1"/>
  <c r="K116" i="1"/>
  <c r="J116" i="1"/>
  <c r="AH79" i="1"/>
  <c r="U119" i="1"/>
  <c r="AH119" i="1"/>
  <c r="AH120" i="1"/>
  <c r="U120" i="1"/>
  <c r="AI127" i="3"/>
  <c r="V127" i="3"/>
  <c r="AI121" i="3"/>
  <c r="V121" i="3"/>
  <c r="AI120" i="3"/>
  <c r="V120" i="3"/>
  <c r="AI78" i="3"/>
  <c r="V78" i="3"/>
  <c r="U28" i="1"/>
  <c r="V67" i="1"/>
  <c r="W67" i="1"/>
  <c r="X67" i="1"/>
  <c r="Y67" i="1"/>
  <c r="Z67" i="1"/>
  <c r="AA67" i="1"/>
  <c r="AB67" i="1"/>
  <c r="AC67" i="1"/>
  <c r="AD67" i="1"/>
  <c r="AE67" i="1"/>
  <c r="AF67" i="1"/>
  <c r="AG67" i="1"/>
  <c r="AH67" i="1"/>
  <c r="J67" i="1"/>
  <c r="K67" i="1"/>
  <c r="L67" i="1"/>
  <c r="M67" i="1"/>
  <c r="N67" i="1"/>
  <c r="O67" i="1"/>
  <c r="P67" i="1"/>
  <c r="Q67" i="1"/>
  <c r="R67" i="1"/>
  <c r="S67" i="1"/>
  <c r="T67" i="1"/>
  <c r="U67" i="1"/>
  <c r="I39" i="1"/>
  <c r="J39" i="1"/>
  <c r="K39" i="1"/>
  <c r="L39" i="1"/>
  <c r="M39" i="1"/>
  <c r="N39" i="1"/>
  <c r="O39" i="1"/>
  <c r="P39" i="1"/>
  <c r="Q39" i="1"/>
  <c r="R39" i="1"/>
  <c r="S39" i="1"/>
  <c r="T39" i="1"/>
  <c r="U39" i="1"/>
  <c r="V39" i="1"/>
  <c r="W39" i="1"/>
  <c r="X39" i="1"/>
  <c r="Y39" i="1"/>
  <c r="Z39" i="1"/>
  <c r="AA39" i="1"/>
  <c r="AB39" i="1"/>
  <c r="AC39" i="1"/>
  <c r="AD39" i="1"/>
  <c r="AE39" i="1"/>
  <c r="AF39" i="1"/>
  <c r="AG39" i="1"/>
  <c r="AH39" i="1"/>
  <c r="T219" i="1"/>
  <c r="S219" i="1"/>
  <c r="R219" i="1"/>
  <c r="Q219" i="1"/>
  <c r="P219" i="1"/>
  <c r="O219" i="1"/>
  <c r="N219" i="1"/>
  <c r="M219" i="1"/>
  <c r="L219" i="1"/>
  <c r="K219" i="1"/>
  <c r="J219" i="1"/>
  <c r="U62" i="1"/>
  <c r="AH62" i="1"/>
  <c r="U35" i="1"/>
  <c r="AH35" i="1"/>
  <c r="AH25" i="1"/>
  <c r="U25" i="1"/>
  <c r="AH90" i="1"/>
  <c r="U90" i="1"/>
  <c r="AH76" i="1"/>
  <c r="AH68" i="1"/>
  <c r="AH66" i="1"/>
  <c r="AH65" i="1"/>
  <c r="AH64" i="1"/>
  <c r="AH63" i="1"/>
  <c r="AH55" i="1"/>
  <c r="AH54" i="1"/>
  <c r="AH53" i="1"/>
  <c r="AH52" i="1"/>
  <c r="AH51" i="1"/>
  <c r="U76" i="1"/>
  <c r="U68" i="1"/>
  <c r="U66" i="1"/>
  <c r="U65" i="1"/>
  <c r="U64" i="1"/>
  <c r="U63" i="1"/>
  <c r="U55" i="1"/>
  <c r="U54" i="1"/>
  <c r="U53" i="1"/>
  <c r="U52" i="1"/>
  <c r="U51" i="1"/>
  <c r="AH38" i="1"/>
  <c r="U38" i="1"/>
  <c r="AH37" i="1"/>
  <c r="U37" i="1"/>
  <c r="AH36" i="1"/>
  <c r="U36" i="1"/>
  <c r="U34" i="1"/>
  <c r="AH28" i="1"/>
  <c r="AH27" i="1"/>
  <c r="U27" i="1"/>
  <c r="AH26" i="1"/>
  <c r="U26" i="1"/>
  <c r="U24" i="1"/>
  <c r="U23" i="1"/>
  <c r="AH40" i="1"/>
  <c r="AB55" i="2"/>
  <c r="AA55" i="2"/>
  <c r="Z55" i="2"/>
  <c r="Y55" i="2"/>
  <c r="X55" i="2"/>
  <c r="W55" i="2"/>
  <c r="V55" i="2"/>
  <c r="U55" i="2"/>
  <c r="T55" i="2"/>
  <c r="S55" i="2"/>
  <c r="R55" i="2"/>
  <c r="Q55" i="2"/>
  <c r="P55" i="2"/>
  <c r="O55" i="2"/>
  <c r="N55" i="2"/>
  <c r="M55" i="2"/>
  <c r="L55" i="2"/>
  <c r="K55" i="2"/>
  <c r="J55" i="2"/>
  <c r="I55" i="2"/>
  <c r="H55" i="2"/>
  <c r="G55" i="2"/>
  <c r="AB46" i="2"/>
  <c r="AA46" i="2"/>
  <c r="Z46" i="2"/>
  <c r="Y46" i="2"/>
  <c r="X46" i="2"/>
  <c r="W46" i="2"/>
  <c r="V46" i="2"/>
  <c r="U46" i="2"/>
  <c r="T46" i="2"/>
  <c r="S46" i="2"/>
  <c r="R46" i="2"/>
  <c r="Q46" i="2"/>
  <c r="P46" i="2"/>
  <c r="O46" i="2"/>
  <c r="N46" i="2"/>
  <c r="M46" i="2"/>
  <c r="L46" i="2"/>
  <c r="K46" i="2"/>
  <c r="J46" i="2"/>
  <c r="I46" i="2"/>
  <c r="H46" i="2"/>
  <c r="G46" i="2"/>
  <c r="U75" i="1"/>
  <c r="U80" i="1"/>
  <c r="U89" i="1"/>
  <c r="U94" i="1"/>
  <c r="AH75" i="1"/>
  <c r="AH80" i="1"/>
  <c r="AH87" i="1"/>
  <c r="AH89" i="1"/>
  <c r="AH91" i="1"/>
  <c r="AH92" i="1"/>
  <c r="AH94" i="1"/>
  <c r="I102" i="1"/>
  <c r="I104" i="1"/>
  <c r="S101" i="1"/>
  <c r="S102" i="1"/>
  <c r="S103" i="1"/>
  <c r="S104" i="1"/>
  <c r="R101" i="1"/>
  <c r="R102" i="1"/>
  <c r="R103" i="1"/>
  <c r="R104" i="1"/>
  <c r="Q101" i="1"/>
  <c r="Q102" i="1"/>
  <c r="Q103" i="1"/>
  <c r="Q104" i="1"/>
  <c r="P101" i="1"/>
  <c r="P102" i="1"/>
  <c r="P103" i="1"/>
  <c r="P104" i="1"/>
  <c r="O101" i="1"/>
  <c r="O102" i="1"/>
  <c r="O103" i="1"/>
  <c r="O104" i="1"/>
  <c r="N101" i="1"/>
  <c r="N102" i="1"/>
  <c r="N103" i="1"/>
  <c r="N104" i="1"/>
  <c r="M101" i="1"/>
  <c r="M102" i="1"/>
  <c r="M103" i="1"/>
  <c r="M104" i="1"/>
  <c r="L101" i="1"/>
  <c r="L102" i="1"/>
  <c r="L103" i="1"/>
  <c r="L104" i="1"/>
  <c r="K101" i="1"/>
  <c r="K102" i="1"/>
  <c r="K103" i="1"/>
  <c r="K104" i="1"/>
  <c r="J101" i="1"/>
  <c r="J103" i="1"/>
  <c r="J104" i="1"/>
  <c r="V101" i="1"/>
  <c r="V102" i="1"/>
  <c r="V103" i="1"/>
  <c r="V104" i="1"/>
  <c r="W101" i="1"/>
  <c r="W102" i="1"/>
  <c r="W103" i="1"/>
  <c r="W104" i="1"/>
  <c r="X101" i="1"/>
  <c r="X102" i="1"/>
  <c r="X103" i="1"/>
  <c r="X104" i="1"/>
  <c r="Y101" i="1"/>
  <c r="Y102" i="1"/>
  <c r="Y103" i="1"/>
  <c r="Y104" i="1"/>
  <c r="Z101" i="1"/>
  <c r="Z102" i="1"/>
  <c r="Z103" i="1"/>
  <c r="Z104" i="1"/>
  <c r="AA101" i="1"/>
  <c r="AA102" i="1"/>
  <c r="AA103" i="1"/>
  <c r="AA104" i="1"/>
  <c r="AB101" i="1"/>
  <c r="AB102" i="1"/>
  <c r="AB103" i="1"/>
  <c r="AB104" i="1"/>
  <c r="AC101" i="1"/>
  <c r="AC102" i="1"/>
  <c r="AC103" i="1"/>
  <c r="AC104" i="1"/>
  <c r="AD101" i="1"/>
  <c r="AD102" i="1"/>
  <c r="AD103" i="1"/>
  <c r="AD104" i="1"/>
  <c r="AE101" i="1"/>
  <c r="AE102" i="1"/>
  <c r="AE103" i="1"/>
  <c r="AE104" i="1"/>
  <c r="AF101" i="1"/>
  <c r="AF102" i="1"/>
  <c r="AF103" i="1"/>
  <c r="AF104" i="1"/>
  <c r="J114" i="1"/>
  <c r="J115" i="1"/>
  <c r="K114" i="1"/>
  <c r="K115" i="1"/>
  <c r="L114" i="1"/>
  <c r="L115" i="1"/>
  <c r="M114" i="1"/>
  <c r="M115" i="1"/>
  <c r="N114" i="1"/>
  <c r="N115" i="1"/>
  <c r="O114" i="1"/>
  <c r="O115" i="1"/>
  <c r="P114" i="1"/>
  <c r="P115" i="1"/>
  <c r="Q114" i="1"/>
  <c r="Q115" i="1"/>
  <c r="R114" i="1"/>
  <c r="R115" i="1"/>
  <c r="S114" i="1"/>
  <c r="S115" i="1"/>
  <c r="T114" i="1"/>
  <c r="T115" i="1"/>
  <c r="V114" i="1"/>
  <c r="V115" i="1"/>
  <c r="W114" i="1"/>
  <c r="W115" i="1"/>
  <c r="X114" i="1"/>
  <c r="X115" i="1"/>
  <c r="Y114" i="1"/>
  <c r="Y115" i="1"/>
  <c r="Z114" i="1"/>
  <c r="Z115" i="1"/>
  <c r="AA114" i="1"/>
  <c r="AA115" i="1"/>
  <c r="AB114" i="1"/>
  <c r="AB115" i="1"/>
  <c r="AC114" i="1"/>
  <c r="AC115" i="1"/>
  <c r="AD114" i="1"/>
  <c r="AD115" i="1"/>
  <c r="AE114" i="1"/>
  <c r="AE115" i="1"/>
  <c r="AF114" i="1"/>
  <c r="AF115" i="1"/>
  <c r="AG114" i="1"/>
  <c r="AG115" i="1"/>
  <c r="T101" i="1"/>
  <c r="T102" i="1"/>
  <c r="T103" i="1"/>
  <c r="T104" i="1"/>
  <c r="U104" i="1"/>
  <c r="U112" i="1"/>
  <c r="AH112" i="1"/>
  <c r="AG101" i="1"/>
  <c r="AG102" i="1"/>
  <c r="AG103" i="1"/>
  <c r="AG104" i="1"/>
  <c r="AH104" i="1"/>
  <c r="U108" i="1"/>
  <c r="U109" i="1"/>
  <c r="U110" i="1"/>
  <c r="AH108" i="1"/>
  <c r="AH109" i="1"/>
  <c r="AH110" i="1"/>
  <c r="U102" i="1"/>
  <c r="U103" i="1"/>
  <c r="AH102" i="1"/>
  <c r="AH103" i="1"/>
  <c r="V219" i="1"/>
  <c r="W219" i="1"/>
  <c r="X219" i="1"/>
  <c r="Y219" i="1"/>
  <c r="Z219" i="1"/>
  <c r="AA219" i="1"/>
  <c r="AB219" i="1"/>
  <c r="AC219" i="1"/>
  <c r="AD219" i="1"/>
  <c r="AE219" i="1"/>
  <c r="AF219" i="1"/>
  <c r="AG219" i="1"/>
  <c r="V93" i="1"/>
  <c r="W93" i="1"/>
  <c r="X93" i="1"/>
  <c r="Y93" i="1"/>
  <c r="Z93" i="1"/>
  <c r="AA93" i="1"/>
  <c r="AB93" i="1"/>
  <c r="AC93" i="1"/>
  <c r="AD93" i="1"/>
  <c r="AE93" i="1"/>
  <c r="AF93" i="1"/>
  <c r="AG93" i="1"/>
  <c r="AH93" i="1"/>
  <c r="K93" i="1"/>
  <c r="L93" i="1"/>
  <c r="M93" i="1"/>
  <c r="N93" i="1"/>
  <c r="O93" i="1"/>
  <c r="P93" i="1"/>
  <c r="Q93" i="1"/>
  <c r="R93" i="1"/>
  <c r="S93" i="1"/>
  <c r="T93" i="1"/>
  <c r="U93" i="1"/>
  <c r="U114" i="1"/>
  <c r="AH114" i="1"/>
  <c r="AH111" i="1"/>
  <c r="U111" i="1"/>
  <c r="J113" i="1"/>
  <c r="K113" i="1"/>
  <c r="L113" i="1"/>
  <c r="M113" i="1"/>
  <c r="N113" i="1"/>
  <c r="O113" i="1"/>
  <c r="P113" i="1"/>
  <c r="Q113" i="1"/>
  <c r="R113" i="1"/>
  <c r="S113" i="1"/>
  <c r="T113" i="1"/>
  <c r="W113" i="1"/>
  <c r="X113" i="1"/>
  <c r="Y113" i="1"/>
  <c r="Z113" i="1"/>
  <c r="AA113" i="1"/>
  <c r="AB113" i="1"/>
  <c r="AC113" i="1"/>
  <c r="AD113" i="1"/>
  <c r="AE113" i="1"/>
  <c r="AF113" i="1"/>
  <c r="AG113" i="1"/>
  <c r="V113" i="1"/>
  <c r="I113" i="1"/>
  <c r="V68" i="3"/>
  <c r="AI68" i="3"/>
  <c r="V69" i="3"/>
  <c r="V70" i="3"/>
  <c r="AI70" i="3"/>
  <c r="V71" i="3"/>
  <c r="AI71" i="3"/>
  <c r="V72" i="3"/>
  <c r="AI72" i="3"/>
  <c r="AI69" i="3"/>
  <c r="V79" i="3"/>
  <c r="AI79" i="3"/>
  <c r="V80" i="3"/>
  <c r="AI80" i="3"/>
  <c r="V81" i="3"/>
  <c r="AI81" i="3"/>
  <c r="U121" i="1"/>
  <c r="AH121" i="1"/>
  <c r="U123" i="1"/>
  <c r="AH123" i="1"/>
  <c r="V134" i="3"/>
  <c r="V133" i="3"/>
  <c r="V73" i="3"/>
  <c r="V136" i="3"/>
  <c r="V132" i="3"/>
  <c r="V86" i="3"/>
  <c r="P32" i="4"/>
  <c r="P33" i="4"/>
  <c r="X86" i="3"/>
  <c r="X132" i="3"/>
  <c r="X136" i="3"/>
  <c r="Y86" i="3"/>
  <c r="Y132" i="3"/>
  <c r="Y136" i="3"/>
  <c r="AH86" i="3"/>
  <c r="AH132" i="3"/>
  <c r="AH134" i="3"/>
  <c r="AH136" i="3"/>
  <c r="AI136" i="3"/>
  <c r="AI132" i="3"/>
  <c r="AI86" i="3"/>
  <c r="AI134" i="3"/>
  <c r="R32" i="4"/>
  <c r="S32" i="4"/>
  <c r="AB32" i="4"/>
  <c r="AC32" i="4"/>
  <c r="Q33" i="4"/>
  <c r="R33" i="4"/>
  <c r="S33" i="4"/>
  <c r="T33" i="4"/>
  <c r="U33" i="4"/>
  <c r="V33" i="4"/>
  <c r="W33" i="4"/>
  <c r="X33" i="4"/>
  <c r="Y33" i="4"/>
  <c r="Z33" i="4"/>
  <c r="AA33" i="4"/>
  <c r="AB33" i="4"/>
  <c r="AC33" i="4"/>
  <c r="Q38" i="4"/>
  <c r="R38" i="4"/>
  <c r="S38" i="4"/>
  <c r="T38" i="4"/>
  <c r="U38" i="4"/>
  <c r="V38" i="4"/>
  <c r="W38" i="4"/>
  <c r="X38" i="4"/>
  <c r="Y38" i="4"/>
  <c r="Z38" i="4"/>
  <c r="AA38" i="4"/>
  <c r="AB38" i="4"/>
  <c r="AC38" i="4"/>
  <c r="D39" i="4"/>
  <c r="E36" i="4"/>
  <c r="E39" i="4"/>
  <c r="F36" i="4"/>
  <c r="F39" i="4"/>
  <c r="G36" i="4"/>
  <c r="G39" i="4"/>
  <c r="H36" i="4"/>
  <c r="H39" i="4"/>
  <c r="I36" i="4"/>
  <c r="I39" i="4"/>
  <c r="J36" i="4"/>
  <c r="J39" i="4"/>
  <c r="K36" i="4"/>
  <c r="K39" i="4"/>
  <c r="L36" i="4"/>
  <c r="L39" i="4"/>
  <c r="M36" i="4"/>
  <c r="M39" i="4"/>
  <c r="N36" i="4"/>
  <c r="N39" i="4"/>
  <c r="O36" i="4"/>
  <c r="O39" i="4"/>
  <c r="Q36" i="4"/>
  <c r="Q39" i="4"/>
  <c r="R36" i="4"/>
  <c r="R39" i="4"/>
  <c r="S36" i="4"/>
  <c r="S39" i="4"/>
  <c r="T36" i="4"/>
  <c r="T39" i="4"/>
  <c r="U36" i="4"/>
  <c r="U39" i="4"/>
  <c r="V36" i="4"/>
  <c r="V39" i="4"/>
  <c r="W36" i="4"/>
  <c r="W39" i="4"/>
  <c r="X36" i="4"/>
  <c r="X39" i="4"/>
  <c r="Y36" i="4"/>
  <c r="Y39" i="4"/>
  <c r="Z36" i="4"/>
  <c r="Z39" i="4"/>
  <c r="AA36" i="4"/>
  <c r="AA39" i="4"/>
  <c r="AB36" i="4"/>
  <c r="AB39" i="4"/>
  <c r="R110" i="4"/>
  <c r="S110" i="4"/>
  <c r="AB110" i="4"/>
  <c r="I15" i="1"/>
</calcChain>
</file>

<file path=xl/comments1.xml><?xml version="1.0" encoding="utf-8"?>
<comments xmlns="http://schemas.openxmlformats.org/spreadsheetml/2006/main">
  <authors>
    <author>Christoph Janz</author>
  </authors>
  <commentList>
    <comment ref="B6" authorId="0">
      <text>
        <r>
          <rPr>
            <b/>
            <sz val="9"/>
            <color indexed="81"/>
            <rFont val="Arial"/>
          </rPr>
          <t>Christoph Janz:</t>
        </r>
        <r>
          <rPr>
            <sz val="9"/>
            <color indexed="81"/>
            <rFont val="Arial"/>
          </rPr>
          <t xml:space="preserve">
For the purpose of this financial model it is assumed that your Revenues equal your MRR. Note that this isn't 100% in line with US GAAP revenue recognition rules.</t>
        </r>
      </text>
    </comment>
    <comment ref="R74" authorId="0">
      <text>
        <r>
          <rPr>
            <b/>
            <sz val="9"/>
            <color indexed="81"/>
            <rFont val="Arial"/>
          </rPr>
          <t>Christoph Janz:</t>
        </r>
        <r>
          <rPr>
            <sz val="9"/>
            <color indexed="81"/>
            <rFont val="Arial"/>
          </rPr>
          <t xml:space="preserve">
This chart shows your sales &amp; marketing efficiency by answering the following question:
How much does it cost me, in terms of total sales &amp; marketing spend, to acquire $1 in net new ARR? A value of $1 corresponds with a payback time of one year (not taking into account CoGS or churn).
It's a high-level metric and doesn't replace a deep analysis of CACs and LTVs by channel and segment, but it gives you a rough idea of whether your CACs are reasonable.</t>
        </r>
      </text>
    </comment>
  </commentList>
</comments>
</file>

<file path=xl/comments2.xml><?xml version="1.0" encoding="utf-8"?>
<comments xmlns="http://schemas.openxmlformats.org/spreadsheetml/2006/main">
  <authors>
    <author>Christoph Janz</author>
  </authors>
  <commentList>
    <comment ref="E7" authorId="0">
      <text>
        <r>
          <rPr>
            <b/>
            <sz val="9"/>
            <color indexed="81"/>
            <rFont val="Arial"/>
          </rPr>
          <t>Christoph Janz:</t>
        </r>
        <r>
          <rPr>
            <sz val="9"/>
            <color indexed="81"/>
            <rFont val="Arial"/>
          </rPr>
          <t xml:space="preserve">
Conversions in a given month are calculated based on the signups of the previous month (to reflect a free trial length of 30 days). In order to be able to calculate the conversions in month 1 I've added the number of signups in "month 0" here.</t>
        </r>
      </text>
    </comment>
    <comment ref="E9" authorId="0">
      <text>
        <r>
          <rPr>
            <b/>
            <sz val="9"/>
            <color indexed="81"/>
            <rFont val="Arial"/>
          </rPr>
          <t>Christoph Janz:</t>
        </r>
        <r>
          <rPr>
            <sz val="9"/>
            <color indexed="81"/>
            <rFont val="Arial"/>
          </rPr>
          <t xml:space="preserve">
The model assumes a constant growth rate for organic signups, which you can change. If you want to work with a different assumption (e.g. linear growth), adjust the row for "Organic signups" accordingly.</t>
        </r>
      </text>
    </comment>
    <comment ref="E11" authorId="0">
      <text>
        <r>
          <rPr>
            <b/>
            <sz val="9"/>
            <color indexed="81"/>
            <rFont val="Arial"/>
          </rPr>
          <t>Christoph Janz:</t>
        </r>
        <r>
          <rPr>
            <sz val="9"/>
            <color indexed="81"/>
            <rFont val="Arial"/>
          </rPr>
          <t xml:space="preserve">
The model assumes constant costs per signup. You can easily change that by changing the values in the "Costs per paid signup" row.</t>
        </r>
      </text>
    </comment>
    <comment ref="H11" authorId="0">
      <text>
        <r>
          <rPr>
            <b/>
            <sz val="9"/>
            <color indexed="81"/>
            <rFont val="Arial"/>
          </rPr>
          <t>Christoph Janz:</t>
        </r>
        <r>
          <rPr>
            <sz val="9"/>
            <color indexed="81"/>
            <rFont val="Arial"/>
          </rPr>
          <t xml:space="preserve">
(marketing spending per new paid signup)</t>
        </r>
      </text>
    </comment>
    <comment ref="E12" authorId="0">
      <text>
        <r>
          <rPr>
            <b/>
            <sz val="9"/>
            <color indexed="81"/>
            <rFont val="Arial"/>
          </rPr>
          <t>Christoph Janz:</t>
        </r>
        <r>
          <rPr>
            <sz val="9"/>
            <color indexed="81"/>
            <rFont val="Arial"/>
          </rPr>
          <t xml:space="preserve">
The model assumes that you spend a linearly increasing amount on marketing. You can easily enter other values in the "Marketing spending" line.</t>
        </r>
      </text>
    </comment>
    <comment ref="C13" authorId="0">
      <text>
        <r>
          <rPr>
            <b/>
            <sz val="9"/>
            <color indexed="81"/>
            <rFont val="Arial"/>
          </rPr>
          <t>Christoph Janz:</t>
        </r>
        <r>
          <rPr>
            <sz val="9"/>
            <color indexed="81"/>
            <rFont val="Arial"/>
          </rPr>
          <t xml:space="preserve">
The model assumes that you're increasing your marketing budget by a constant amount month-over-month. You can easily work with different assumptions by changing the "Marketing spending" row accordingly.</t>
        </r>
      </text>
    </comment>
    <comment ref="H15" authorId="0">
      <text>
        <r>
          <rPr>
            <b/>
            <sz val="9"/>
            <color indexed="81"/>
            <rFont val="Arial"/>
          </rPr>
          <t>Christoph Janz:</t>
        </r>
        <r>
          <rPr>
            <sz val="9"/>
            <color indexed="81"/>
            <rFont val="Arial"/>
          </rPr>
          <t xml:space="preserve">
This metrics is used to calculate the number of "conversions from older signups" further down.</t>
        </r>
      </text>
    </comment>
    <comment ref="E22" authorId="0">
      <text>
        <r>
          <rPr>
            <b/>
            <sz val="9"/>
            <color indexed="81"/>
            <rFont val="Arial"/>
          </rPr>
          <t>Christoph Janz:</t>
        </r>
        <r>
          <rPr>
            <sz val="9"/>
            <color indexed="81"/>
            <rFont val="Arial"/>
          </rPr>
          <t xml:space="preserve">
In order to keep the template simple and generic the model assumes constant conversion rates. If you expect your conversion rates to go up or go down over time you can easily model that by adding a few additional rows.</t>
        </r>
      </text>
    </comment>
    <comment ref="H27" authorId="0">
      <text>
        <r>
          <rPr>
            <b/>
            <sz val="9"/>
            <color indexed="81"/>
            <rFont val="Arial"/>
          </rPr>
          <t>Christoph Janz:</t>
        </r>
        <r>
          <rPr>
            <sz val="9"/>
            <color indexed="81"/>
            <rFont val="Arial"/>
          </rPr>
          <t xml:space="preserve">
These are customers that have upgraded to the "PRO" plan. They're (obviously) not lost, but they need to be subtracted from the "BASIC" customer count.</t>
        </r>
      </text>
    </comment>
    <comment ref="H29" authorId="0">
      <text>
        <r>
          <rPr>
            <b/>
            <sz val="9"/>
            <color indexed="81"/>
            <rFont val="Arial"/>
          </rPr>
          <t>Christoph Janz:</t>
        </r>
        <r>
          <rPr>
            <sz val="9"/>
            <color indexed="81"/>
            <rFont val="Arial"/>
          </rPr>
          <t xml:space="preserve">
This line shows the blended CACs for Basic customers based on the following assumptions:
- 50% of all marketing costs are attributed to the acquisition of Basic customers
- 50% of all marketing costs are attributed to the acquisition of Pro customers
- 100% of all sales costs are attributed to the acquisition of Enterprise customers
- Customer success costs are not attributed to customer acquisition, but to CoGS instead.
This is a gross simplification that I've made to keep the model simple and generic. Make sure you adjust it to your needs.</t>
        </r>
      </text>
    </comment>
    <comment ref="H31" authorId="0">
      <text>
        <r>
          <rPr>
            <b/>
            <sz val="9"/>
            <color indexed="81"/>
            <rFont val="Arial"/>
          </rPr>
          <t>Christoph Janz:</t>
        </r>
        <r>
          <rPr>
            <sz val="9"/>
            <color indexed="81"/>
            <rFont val="Arial"/>
          </rPr>
          <t xml:space="preserve">
MRR = Monthly Recurring Revenues</t>
        </r>
      </text>
    </comment>
    <comment ref="C32" authorId="0">
      <text>
        <r>
          <rPr>
            <b/>
            <sz val="9"/>
            <color indexed="81"/>
            <rFont val="Arial"/>
          </rPr>
          <t>Christoph Janz:</t>
        </r>
        <r>
          <rPr>
            <sz val="9"/>
            <color indexed="81"/>
            <rFont val="Arial"/>
          </rPr>
          <t xml:space="preserve">
ARPA = Average Revenue per Account</t>
        </r>
      </text>
    </comment>
    <comment ref="E33" authorId="0">
      <text>
        <r>
          <rPr>
            <b/>
            <sz val="9"/>
            <color indexed="81"/>
            <rFont val="Arial"/>
          </rPr>
          <t>Christoph Janz:</t>
        </r>
        <r>
          <rPr>
            <sz val="9"/>
            <color indexed="81"/>
            <rFont val="Arial"/>
          </rPr>
          <t xml:space="preserve">
The model assumes that your ARPA grows at a steady % rate, which may or may not be realistic. You can easily change this in the ARPA rows.</t>
        </r>
      </text>
    </comment>
    <comment ref="E34" authorId="0">
      <text>
        <r>
          <rPr>
            <b/>
            <sz val="9"/>
            <color indexed="81"/>
            <rFont val="Arial"/>
          </rPr>
          <t>Christoph Janz:</t>
        </r>
        <r>
          <rPr>
            <sz val="9"/>
            <color indexed="81"/>
            <rFont val="Arial"/>
          </rPr>
          <t xml:space="preserve">
This is necessary in order to correctly calculate Churn MRR in the 1st month</t>
        </r>
      </text>
    </comment>
    <comment ref="H36" authorId="0">
      <text>
        <r>
          <rPr>
            <b/>
            <sz val="9"/>
            <color indexed="81"/>
            <rFont val="Arial"/>
          </rPr>
          <t>Christoph Janz:</t>
        </r>
        <r>
          <rPr>
            <sz val="9"/>
            <color indexed="81"/>
            <rFont val="Arial"/>
          </rPr>
          <t xml:space="preserve">
This means:
Expansion MRR from BASIC customers minus Contraction MRR from BASIC customers.
If your BASIC customers are all paying the same price, this isn't relevant. It becomes relevant if your pricing allows BASIC customers to pay you more (e.g. for access to certain features or if your pricing is based on usage of something).</t>
        </r>
      </text>
    </comment>
    <comment ref="H38" authorId="0">
      <text>
        <r>
          <rPr>
            <b/>
            <sz val="9"/>
            <color indexed="81"/>
            <rFont val="Arial"/>
          </rPr>
          <t>Christoph Janz:</t>
        </r>
        <r>
          <rPr>
            <sz val="9"/>
            <color indexed="81"/>
            <rFont val="Arial"/>
          </rPr>
          <t xml:space="preserve">
As noted above for "Upgraded to PRO" customers - this MRR isn't lost, but it needs to be subtracted from the MRR of the BASIC plan.</t>
        </r>
      </text>
    </comment>
    <comment ref="E51" authorId="0">
      <text>
        <r>
          <rPr>
            <b/>
            <sz val="9"/>
            <color indexed="81"/>
            <rFont val="Arial"/>
          </rPr>
          <t>Christoph Janz:</t>
        </r>
        <r>
          <rPr>
            <sz val="9"/>
            <color indexed="81"/>
            <rFont val="Arial"/>
          </rPr>
          <t xml:space="preserve">
The model assumes that a certain % of all BASIC customers upgrades to PRO each month.</t>
        </r>
      </text>
    </comment>
    <comment ref="E53" authorId="0">
      <text>
        <r>
          <rPr>
            <b/>
            <sz val="9"/>
            <color indexed="81"/>
            <rFont val="Arial"/>
          </rPr>
          <t>Christoph Janz:</t>
        </r>
        <r>
          <rPr>
            <sz val="9"/>
            <color indexed="81"/>
            <rFont val="Arial"/>
          </rPr>
          <t xml:space="preserve">
The model also assumes that a certain % of PRO customers downgrades to the BASIC plan each month, and that a certain % upgrades to ENTERPRISE.</t>
        </r>
      </text>
    </comment>
    <comment ref="H56" authorId="0">
      <text>
        <r>
          <rPr>
            <b/>
            <sz val="9"/>
            <color indexed="81"/>
            <rFont val="Arial"/>
          </rPr>
          <t>Christoph Janz:</t>
        </r>
        <r>
          <rPr>
            <sz val="9"/>
            <color indexed="81"/>
            <rFont val="Arial"/>
          </rPr>
          <t xml:space="preserve">
This line shows the blended CACs for Pro customers based on the following assumptions:
- 50% of all marketing costs are attributed to the acquisition of Basic customers
- 50% of all marketing costs are attributed to the acquisition of Pro customers
- 100% of all sales costs are attributed to the acquisition of Enterprise customers
- Customer success costs are not attributed to customer acquisition, but to CoGS instead.
This is a gross simplification that I've made to keep the model simple and generic. Make sure you adjust it to your needs.</t>
        </r>
      </text>
    </comment>
    <comment ref="H63" authorId="0">
      <text>
        <r>
          <rPr>
            <b/>
            <sz val="9"/>
            <color indexed="81"/>
            <rFont val="Arial"/>
          </rPr>
          <t>Christoph Janz:</t>
        </r>
        <r>
          <rPr>
            <sz val="9"/>
            <color indexed="81"/>
            <rFont val="Arial"/>
          </rPr>
          <t xml:space="preserve">
This means:
Expansion MRR from PRO customers minus Contraction MRR from PRO customers.
If your PRO customers are all paying the same price, this isn't relevant. It becomes relevant if your pricing allows PRO customers to pay you more (e.g. for access to certain features or if your pricing is based on usage of something).</t>
        </r>
      </text>
    </comment>
    <comment ref="C74" authorId="0">
      <text>
        <r>
          <rPr>
            <b/>
            <sz val="9"/>
            <color indexed="81"/>
            <rFont val="Arial"/>
          </rPr>
          <t>Christoph Janz:</t>
        </r>
        <r>
          <rPr>
            <sz val="9"/>
            <color indexed="81"/>
            <rFont val="Arial"/>
          </rPr>
          <t xml:space="preserve">
As you can see, the growth of the ENTERPRISE customer segment is modeled differently than BASIC and PRO. 
The BASIC and PRO model is based on an organic and marketing-driven low-touch sales acquisition model; the ENTERPRISE model is based on a sales-driven acquisition model.</t>
        </r>
      </text>
    </comment>
    <comment ref="H75" authorId="0">
      <text>
        <r>
          <rPr>
            <b/>
            <sz val="9"/>
            <color indexed="81"/>
            <rFont val="Arial"/>
          </rPr>
          <t>Christoph Janz:</t>
        </r>
        <r>
          <rPr>
            <sz val="9"/>
            <color indexed="81"/>
            <rFont val="Arial"/>
          </rPr>
          <t xml:space="preserve">
The model assumes that there are only two ways to get new ENTERPRISE customers: through direct sales and upgrades from PRO. If you have additional paths (e.g. upgrades from BASIC) you can easily add them.
Similarly, in order to keep the model, I'm assuming that there are no downgrades from ENTERPRISE to a lower plan. If you have or expect downgrades e.g. from ENTERPRISE to PRO, just add a row here.</t>
        </r>
      </text>
    </comment>
    <comment ref="H79" authorId="0">
      <text>
        <r>
          <rPr>
            <b/>
            <sz val="9"/>
            <color indexed="81"/>
            <rFont val="Arial"/>
          </rPr>
          <t>Christoph Janz:</t>
        </r>
        <r>
          <rPr>
            <sz val="9"/>
            <color indexed="81"/>
            <rFont val="Arial"/>
          </rPr>
          <t xml:space="preserve">
The model assumes that all ENTERPRISE customers are on annual plans, i.e. after 12 months they can decide if they want to renew or cancel their subscription.
In order to be able to calculate churn for existing ENTERPRISE customers, it is assumed that the ENTERPRISE customers at the beginning of the 1st month have been acquired over the course of the previous 12 months. This is of course a somewhat theoretical assumption and you need to adjust the model to include your actual numbers.
Please note that for small numbers of ENTERPRISE customers the churn numbers may look inflated or deflated because of rounding effects (since fractional customers don't exist).</t>
        </r>
      </text>
    </comment>
    <comment ref="H81" authorId="0">
      <text>
        <r>
          <rPr>
            <b/>
            <sz val="9"/>
            <color indexed="81"/>
            <rFont val="Arial"/>
          </rPr>
          <t>Christoph Janz:</t>
        </r>
        <r>
          <rPr>
            <sz val="9"/>
            <color indexed="81"/>
            <rFont val="Arial"/>
          </rPr>
          <t xml:space="preserve">
This line shows the blended CACs for Enterprise customers based on the following assumptions:
- 50% of all marketing costs are attributed to the acquisition of Basic customers
- 50% of all marketing costs are attributed to the acquisition of Pro customers
- 100% of all sales costs are attributed to the acquisition of Enterprise customers
- Customer success costs are not attributed to customer acquisition, but to CoGS instead.
This is a gross simplification that I've made to keep the model simple and generic. Make sure you adjust it to your needs.</t>
        </r>
      </text>
    </comment>
    <comment ref="C83" authorId="0">
      <text>
        <r>
          <rPr>
            <b/>
            <sz val="9"/>
            <color indexed="81"/>
            <rFont val="Arial"/>
          </rPr>
          <t>Christoph Janz:</t>
        </r>
        <r>
          <rPr>
            <sz val="9"/>
            <color indexed="81"/>
            <rFont val="Arial"/>
          </rPr>
          <t xml:space="preserve">
It is assumed that all ENTERPRISE customers are on annual contracts. Therefore the churn rate is expressed as an annual churn rate.</t>
        </r>
      </text>
    </comment>
    <comment ref="H84" authorId="0">
      <text>
        <r>
          <rPr>
            <b/>
            <sz val="9"/>
            <color indexed="81"/>
            <rFont val="Arial"/>
          </rPr>
          <t>Christoph Janz:</t>
        </r>
        <r>
          <rPr>
            <sz val="9"/>
            <color indexed="81"/>
            <rFont val="Arial"/>
          </rPr>
          <t xml:space="preserve">
ACV = Annual Contract Value
The model assumes that your ACV for new customers stays flat, but you can easily change this line to reflect different assumptions.
</t>
        </r>
      </text>
    </comment>
    <comment ref="H91" authorId="0">
      <text>
        <r>
          <rPr>
            <b/>
            <sz val="9"/>
            <color indexed="81"/>
            <rFont val="Arial"/>
          </rPr>
          <t>Christoph Janz:</t>
        </r>
        <r>
          <rPr>
            <sz val="9"/>
            <color indexed="81"/>
            <rFont val="Arial"/>
          </rPr>
          <t xml:space="preserve">
The model assumes that the ARPA increases for customers upon their renewal.
For simplicity's sake pricing changes during a contract period are not taken into account.</t>
        </r>
      </text>
    </comment>
    <comment ref="H96" authorId="0">
      <text>
        <r>
          <rPr>
            <b/>
            <sz val="9"/>
            <color indexed="81"/>
            <rFont val="Arial"/>
          </rPr>
          <t>Christoph Janz:</t>
        </r>
        <r>
          <rPr>
            <sz val="9"/>
            <color indexed="81"/>
            <rFont val="Arial"/>
          </rPr>
          <t xml:space="preserve">
This line shows you how much pipeline value (with regard to new customers) you should have in order to meet your goals for the next quarter. It assumes a 3-month sales cycle and a pipeline-to-close rate which you can adjust on the left.</t>
        </r>
      </text>
    </comment>
    <comment ref="AE96" authorId="0">
      <text>
        <r>
          <rPr>
            <b/>
            <sz val="9"/>
            <color indexed="81"/>
            <rFont val="Arial"/>
          </rPr>
          <t>Christoph Janz:</t>
        </r>
        <r>
          <rPr>
            <sz val="9"/>
            <color indexed="81"/>
            <rFont val="Arial"/>
          </rPr>
          <t xml:space="preserve">
This value can't be calculated because the plan doesn't go beyond 2017. The plan assumes that the pipeline for this quarter needs to be at least as big as for the previous quarter.</t>
        </r>
      </text>
    </comment>
    <comment ref="H109" authorId="0">
      <text>
        <r>
          <rPr>
            <b/>
            <sz val="9"/>
            <color indexed="81"/>
            <rFont val="Arial"/>
          </rPr>
          <t>Christoph Janz:</t>
        </r>
        <r>
          <rPr>
            <sz val="9"/>
            <color indexed="81"/>
            <rFont val="Arial"/>
          </rPr>
          <t xml:space="preserve">
This means:
Expansion MRR from all customers minus
Contraction MRR from all customers.
This is the "net net" of all ARPA changes and upgrades and downgrades between pricing plans.
Note: It would be even better to not only show the "net" of Expansion MRR and Contraction MRR, but also Expansion MRR and Contraction MRR itself. Modeling this would require a couple of additional lines though, so for the sake of simplicity of this template I decided to leave that out for now.</t>
        </r>
      </text>
    </comment>
    <comment ref="H115" authorId="0">
      <text>
        <r>
          <rPr>
            <b/>
            <sz val="9"/>
            <color indexed="81"/>
            <rFont val="Arial"/>
          </rPr>
          <t>Christoph Janz:</t>
        </r>
        <r>
          <rPr>
            <sz val="9"/>
            <color indexed="81"/>
            <rFont val="Arial"/>
          </rPr>
          <t xml:space="preserve">
Net MRR Churn rate = Net MRR Churn / MRR beginning of the month, with Net MRR Churn being the delta between Gross MRR Churn and Net Expansion MRR.
That is, in contrast to Gross MRR Churn, Net MRR Churn takes into account account expansions and contractions.
Please note that this calculation can be misleading, as contains churn from customers on annual contracts and customers on monthly contracts.</t>
        </r>
      </text>
    </comment>
    <comment ref="H116" authorId="0">
      <text>
        <r>
          <rPr>
            <b/>
            <sz val="9"/>
            <color indexed="81"/>
            <rFont val="Arial"/>
          </rPr>
          <t>Christoph Janz:</t>
        </r>
        <r>
          <rPr>
            <sz val="9"/>
            <color indexed="81"/>
            <rFont val="Arial"/>
          </rPr>
          <t xml:space="preserve">
Gross MRR churn rate = Lost MRR / MRR beginning of the month
Please note that this calculation can be misleading, as it contains churn from customers on annual contracts and customers on monthly contracts.</t>
        </r>
      </text>
    </comment>
    <comment ref="H119" authorId="0">
      <text>
        <r>
          <rPr>
            <b/>
            <sz val="9"/>
            <color indexed="81"/>
            <rFont val="Arial"/>
          </rPr>
          <t>Christoph Janz:</t>
        </r>
        <r>
          <rPr>
            <sz val="9"/>
            <color indexed="81"/>
            <rFont val="Arial"/>
          </rPr>
          <t xml:space="preserve">
It is assumed that all Basic and Pro customers are on monthly pay-as-you-go plans.</t>
        </r>
      </text>
    </comment>
    <comment ref="H121" authorId="0">
      <text>
        <r>
          <rPr>
            <b/>
            <sz val="9"/>
            <color indexed="81"/>
            <rFont val="Arial"/>
          </rPr>
          <t>Christoph Janz:</t>
        </r>
        <r>
          <rPr>
            <sz val="9"/>
            <color indexed="81"/>
            <rFont val="Arial"/>
          </rPr>
          <t xml:space="preserve">
It is assumed that all Enterprise customers are on annual plans with 1-year pre-payments.</t>
        </r>
      </text>
    </comment>
    <comment ref="G188" authorId="0">
      <text>
        <r>
          <rPr>
            <b/>
            <sz val="9"/>
            <color indexed="81"/>
            <rFont val="Arial"/>
          </rPr>
          <t xml:space="preserve">Christoph Janz:
</t>
        </r>
        <r>
          <rPr>
            <sz val="9"/>
            <color indexed="81"/>
            <rFont val="Arial"/>
          </rPr>
          <t>This chart comes with a number of caveats.
CACs are calculated based on the following assumptions:
- 50% of all marketing costs are attributed to the acquisition of Basic customers
- 50% of all marketing costs are attributed to the acquisition of Pro customers
- 100% of all sales costs are attributed to the acquisition of Enterprise customers
- Customer success costs are not attributed to customer acquisition, but to CoGS instead.
This is a gross simplification that I've made to keep the model simple and generic. 
Payback time is calculated by dividing CACs by the monthly ARPA of the respective plan in the given month, multiplied by the Gross Margin % (assuming all plans have the same Gross Margin %).</t>
        </r>
      </text>
    </comment>
    <comment ref="H221" authorId="0">
      <text>
        <r>
          <rPr>
            <b/>
            <sz val="9"/>
            <color indexed="81"/>
            <rFont val="Arial"/>
          </rPr>
          <t xml:space="preserve">Christoph Janz:
</t>
        </r>
        <r>
          <rPr>
            <sz val="9"/>
            <color indexed="81"/>
            <rFont val="Arial"/>
          </rPr>
          <t xml:space="preserve">
The CAC payback time calculations come with a number of caveats.
CACs are calculated based on the following assumptions:
- 50% of all marketing costs are attributed to the acquisition of Basic customers
- 50% of all marketing costs are attributed to the acquisition of Pro customers
- 100% of all sales costs are attributed to the acquisition of Enterprise customers
- Customer success costs are not attributed to customer acquisition, but to CoGS instead.
This is a gross simplification that I've made to keep the model simple and generic. 
Payback time is calculated by dividing CACs by the monthly ARPA of the respective plan in the given month, multiplied by the Gross Margin % (assuming all plans have the same Gross Margin %).</t>
        </r>
      </text>
    </comment>
  </commentList>
</comments>
</file>

<file path=xl/comments3.xml><?xml version="1.0" encoding="utf-8"?>
<comments xmlns="http://schemas.openxmlformats.org/spreadsheetml/2006/main">
  <authors>
    <author>Christoph Janz</author>
  </authors>
  <commentList>
    <comment ref="E6" authorId="0">
      <text>
        <r>
          <rPr>
            <b/>
            <sz val="9"/>
            <color indexed="81"/>
            <rFont val="Arial"/>
          </rPr>
          <t>Christoph Janz:</t>
        </r>
        <r>
          <rPr>
            <sz val="9"/>
            <color indexed="81"/>
            <rFont val="Arial"/>
          </rPr>
          <t xml:space="preserve">
It is assumed that bonus expenses are incurred on a monthly basis and paid out in December of each year, except for members of the Sales Team, who receive their bonus payments quarterly.</t>
        </r>
      </text>
    </comment>
    <comment ref="H68" authorId="0">
      <text>
        <r>
          <rPr>
            <b/>
            <sz val="9"/>
            <color indexed="81"/>
            <rFont val="Arial"/>
          </rPr>
          <t>Christoph Janz:</t>
        </r>
        <r>
          <rPr>
            <sz val="9"/>
            <color indexed="81"/>
            <rFont val="Arial"/>
          </rPr>
          <t xml:space="preserve">
See "Sales Team Hiring Plan" for detailed headcount planning</t>
        </r>
      </text>
    </comment>
    <comment ref="H76" authorId="0">
      <text>
        <r>
          <rPr>
            <b/>
            <sz val="9"/>
            <color indexed="81"/>
            <rFont val="Arial"/>
          </rPr>
          <t>Christoph Janz:</t>
        </r>
        <r>
          <rPr>
            <sz val="9"/>
            <color indexed="81"/>
            <rFont val="Arial"/>
          </rPr>
          <t xml:space="preserve">
To keep the template simple, I'm assuming that you have one team that takes care of customer support as well as customer success. If you have different teams for the different functions, adjust the sheet accordingly.</t>
        </r>
      </text>
    </comment>
    <comment ref="C78" authorId="0">
      <text>
        <r>
          <rPr>
            <b/>
            <sz val="9"/>
            <color indexed="81"/>
            <rFont val="Arial"/>
          </rPr>
          <t>Christoph Janz:</t>
        </r>
        <r>
          <rPr>
            <sz val="9"/>
            <color indexed="81"/>
            <rFont val="Arial"/>
          </rPr>
          <t xml:space="preserve">
Number of BASIC and PRO customers one Customer Success Manager can handle.</t>
        </r>
      </text>
    </comment>
    <comment ref="C79" authorId="0">
      <text>
        <r>
          <rPr>
            <b/>
            <sz val="9"/>
            <color indexed="81"/>
            <rFont val="Arial"/>
          </rPr>
          <t>Christoph Janz:</t>
        </r>
        <r>
          <rPr>
            <sz val="9"/>
            <color indexed="81"/>
            <rFont val="Arial"/>
          </rPr>
          <t xml:space="preserve">
Number of ENTERPRISE customers one Customer Success Manager can handle.
</t>
        </r>
      </text>
    </comment>
    <comment ref="C80" authorId="0">
      <text>
        <r>
          <rPr>
            <b/>
            <sz val="9"/>
            <color indexed="81"/>
            <rFont val="Arial"/>
          </rPr>
          <t>Christoph Janz:</t>
        </r>
        <r>
          <rPr>
            <sz val="9"/>
            <color indexed="81"/>
            <rFont val="Arial"/>
          </rPr>
          <t xml:space="preserve">
Number of Customer Success Managers one Customer Success Director can manage.</t>
        </r>
      </text>
    </comment>
    <comment ref="C121" authorId="0">
      <text>
        <r>
          <rPr>
            <b/>
            <sz val="9"/>
            <color indexed="81"/>
            <rFont val="Arial"/>
          </rPr>
          <t>Christoph Janz:</t>
        </r>
        <r>
          <rPr>
            <sz val="9"/>
            <color indexed="81"/>
            <rFont val="Arial"/>
          </rPr>
          <t xml:space="preserve">
The model assumes that your server infrastructure costs account for a certain % of revenues. This is of course a simplification - adjust it to fit your actual data/estimations.</t>
        </r>
      </text>
    </comment>
    <comment ref="H122" authorId="0">
      <text>
        <r>
          <rPr>
            <b/>
            <sz val="9"/>
            <color indexed="81"/>
            <rFont val="Arial"/>
          </rPr>
          <t>Christoph Janz:</t>
        </r>
        <r>
          <rPr>
            <sz val="9"/>
            <color indexed="81"/>
            <rFont val="Arial"/>
          </rPr>
          <t xml:space="preserve">
Go to the "Revenue" tab to change the assumptions regarding marketing spend</t>
        </r>
      </text>
    </comment>
    <comment ref="C123" authorId="0">
      <text>
        <r>
          <rPr>
            <b/>
            <sz val="9"/>
            <color indexed="81"/>
            <rFont val="Arial"/>
          </rPr>
          <t>Christoph Janz:</t>
        </r>
        <r>
          <rPr>
            <sz val="9"/>
            <color indexed="81"/>
            <rFont val="Arial"/>
          </rPr>
          <t xml:space="preserve">
The model assumes that you move to a new office in January 2017. You can easily replace the dummy data with your actual assumptions.</t>
        </r>
      </text>
    </comment>
    <comment ref="H124" authorId="0">
      <text>
        <r>
          <rPr>
            <b/>
            <sz val="9"/>
            <color indexed="81"/>
            <rFont val="Arial"/>
          </rPr>
          <t>Christoph Janz:</t>
        </r>
        <r>
          <rPr>
            <sz val="9"/>
            <color indexed="81"/>
            <rFont val="Arial"/>
          </rPr>
          <t xml:space="preserve">
The model assumes – simplistically – that each new hire costs a fixed amount in external recruiting fees. </t>
        </r>
      </text>
    </comment>
    <comment ref="AH124" authorId="0">
      <text>
        <r>
          <rPr>
            <b/>
            <sz val="9"/>
            <color indexed="81"/>
            <rFont val="Arial"/>
          </rPr>
          <t>Christoph Janz:</t>
        </r>
        <r>
          <rPr>
            <sz val="9"/>
            <color indexed="81"/>
            <rFont val="Arial"/>
          </rPr>
          <t xml:space="preserve">
There's a 0 in this cell because the model doesn't know if any hires are planned in the following month</t>
        </r>
      </text>
    </comment>
  </commentList>
</comments>
</file>

<file path=xl/sharedStrings.xml><?xml version="1.0" encoding="utf-8"?>
<sst xmlns="http://schemas.openxmlformats.org/spreadsheetml/2006/main" count="439" uniqueCount="293">
  <si>
    <t>Assumptions</t>
  </si>
  <si>
    <t>Total 2016</t>
  </si>
  <si>
    <t>Total 2017</t>
  </si>
  <si>
    <t>SIGNUPS</t>
  </si>
  <si>
    <t>Signups beginning of 1st month:</t>
  </si>
  <si>
    <t>Signups beginning of the month</t>
  </si>
  <si>
    <t>New signups in month 0</t>
  </si>
  <si>
    <t>New signups:</t>
  </si>
  <si>
    <t>Organic signups growth p.m.</t>
  </si>
  <si>
    <t>New organic signups</t>
  </si>
  <si>
    <t>New paid signups</t>
  </si>
  <si>
    <t>Total new signups</t>
  </si>
  <si>
    <t>Signups end of month</t>
  </si>
  <si>
    <t>Customers</t>
  </si>
  <si>
    <t>Customers beginning of the month</t>
  </si>
  <si>
    <t>New customers:</t>
  </si>
  <si>
    <t>Conversion rate (of previous month's signups)</t>
  </si>
  <si>
    <t>Conversions from previous month's signups</t>
  </si>
  <si>
    <t>Conversion rate (of all older signups)</t>
  </si>
  <si>
    <t>Conversions from older signups</t>
  </si>
  <si>
    <t>Total new customers</t>
  </si>
  <si>
    <t>Churn rate p.m.</t>
  </si>
  <si>
    <t>Lost customers (churn)</t>
  </si>
  <si>
    <t>Customers end of the month</t>
  </si>
  <si>
    <t>ARPA increase p.m.</t>
  </si>
  <si>
    <t>MRR</t>
  </si>
  <si>
    <t>Churn rate p.y.</t>
  </si>
  <si>
    <t>MRR growth p.m. year 2</t>
  </si>
  <si>
    <t>Pipeline closing rate</t>
  </si>
  <si>
    <t>CUSTOMERS &amp; MRR – BASIC PLAN</t>
  </si>
  <si>
    <t>CUSTOMERS &amp; MRR – PRO PLAN</t>
  </si>
  <si>
    <t>CUSTOMERS &amp; MRR – ENTERPRISE PLAN</t>
  </si>
  <si>
    <t>Organic signups 1st month:</t>
  </si>
  <si>
    <t>Organic signups growth rate p.m. in year 1</t>
  </si>
  <si>
    <t>Organic signups growth rate p.m. in year 2</t>
  </si>
  <si>
    <t>TOTAL CUSTOMERS &amp; MRR</t>
  </si>
  <si>
    <t>New customers</t>
  </si>
  <si>
    <t>Lost customers</t>
  </si>
  <si>
    <t>Net MRR churn rate</t>
  </si>
  <si>
    <t>For the charts</t>
  </si>
  <si>
    <t>m/m growth</t>
  </si>
  <si>
    <t>G&amp;A</t>
  </si>
  <si>
    <t>CFO</t>
  </si>
  <si>
    <t>Office Manager</t>
  </si>
  <si>
    <t>Director of Recruiting</t>
  </si>
  <si>
    <t>Founder &amp; CEO</t>
  </si>
  <si>
    <t>Bonus</t>
  </si>
  <si>
    <t>Payroll taxes &amp; benefits:</t>
  </si>
  <si>
    <t>Recruiter</t>
  </si>
  <si>
    <t>R&amp;D</t>
  </si>
  <si>
    <t>Founder &amp; CTO</t>
  </si>
  <si>
    <t>VP Engineering</t>
  </si>
  <si>
    <t>VP Product</t>
  </si>
  <si>
    <t>Product Manager</t>
  </si>
  <si>
    <t>Designer</t>
  </si>
  <si>
    <t>Sr. Developer</t>
  </si>
  <si>
    <t>Jr. Developer</t>
  </si>
  <si>
    <t>Marketing</t>
  </si>
  <si>
    <t>VP Marketing</t>
  </si>
  <si>
    <t>Sales</t>
  </si>
  <si>
    <t>VP Sales</t>
  </si>
  <si>
    <t>AE quota &amp; ramp-up</t>
  </si>
  <si>
    <t>Month 1:</t>
  </si>
  <si>
    <t>Month 2:</t>
  </si>
  <si>
    <t>Month 3:</t>
  </si>
  <si>
    <t>Month 4+:</t>
  </si>
  <si>
    <t>New ARR per AE p.m.</t>
  </si>
  <si>
    <t>ASSUMPTIONS</t>
  </si>
  <si>
    <t>Sales support staff</t>
  </si>
  <si>
    <t>Hire 1st Sales Director at</t>
  </si>
  <si>
    <t>AEs</t>
  </si>
  <si>
    <t>Maximum # of AEs per Sales Director:</t>
  </si>
  <si>
    <t>Maximum # of AEs per SDR:</t>
  </si>
  <si>
    <t>Hire 1st SDR Director at</t>
  </si>
  <si>
    <t>SDRs</t>
  </si>
  <si>
    <t>Maximum # of SDRs per SDR Director:</t>
  </si>
  <si>
    <t>HIRING PLAN</t>
  </si>
  <si>
    <t>Year 1</t>
  </si>
  <si>
    <t>Year 2</t>
  </si>
  <si>
    <t>AE 1</t>
  </si>
  <si>
    <t>AE 2</t>
  </si>
  <si>
    <t>AE 3</t>
  </si>
  <si>
    <t>AE 4</t>
  </si>
  <si>
    <t>AE 5</t>
  </si>
  <si>
    <t>AE 6</t>
  </si>
  <si>
    <t>AE 7</t>
  </si>
  <si>
    <t>AE 8</t>
  </si>
  <si>
    <t>AE 9</t>
  </si>
  <si>
    <t>AE 10</t>
  </si>
  <si>
    <t>AE 11</t>
  </si>
  <si>
    <t>AE 12</t>
  </si>
  <si>
    <t>AE 13</t>
  </si>
  <si>
    <t>AE 14</t>
  </si>
  <si>
    <t>AE 15</t>
  </si>
  <si>
    <t>AE 16</t>
  </si>
  <si>
    <t>AE 17</t>
  </si>
  <si>
    <t>AE 18</t>
  </si>
  <si>
    <t>AE 19</t>
  </si>
  <si>
    <t>AE 20</t>
  </si>
  <si>
    <t>AE 21</t>
  </si>
  <si>
    <t>AE 22</t>
  </si>
  <si>
    <t>AE 23</t>
  </si>
  <si>
    <t>AE 24</t>
  </si>
  <si>
    <t>AE 25</t>
  </si>
  <si>
    <t>Total</t>
  </si>
  <si>
    <t>Number of AEs</t>
  </si>
  <si>
    <t>Sales Directors</t>
  </si>
  <si>
    <t>SDR Directors</t>
  </si>
  <si>
    <t>Total sales headcount</t>
  </si>
  <si>
    <t>New additions</t>
  </si>
  <si>
    <t>Year 0</t>
  </si>
  <si>
    <t>New customers from direct sales</t>
  </si>
  <si>
    <t>Devops Engineer</t>
  </si>
  <si>
    <t>Product Marketing Manager</t>
  </si>
  <si>
    <t>Demand Gen Manager</t>
  </si>
  <si>
    <t>PR Manager</t>
  </si>
  <si>
    <t>See Sales Team Hiring Plan tab</t>
  </si>
  <si>
    <t>Customer Success</t>
  </si>
  <si>
    <t>VP Customer Success</t>
  </si>
  <si>
    <t>Customer Success Managers (BASIC &amp; PRO)</t>
  </si>
  <si>
    <t>Cost type</t>
  </si>
  <si>
    <t>S&amp;M</t>
  </si>
  <si>
    <t>CoGS</t>
  </si>
  <si>
    <t>Payment charges</t>
  </si>
  <si>
    <t>CASH INFLOW</t>
  </si>
  <si>
    <t>Total cash inflow</t>
  </si>
  <si>
    <t>Customers up for renewal</t>
  </si>
  <si>
    <t>Customers who renewed</t>
  </si>
  <si>
    <t>ACV increase upon renewal</t>
  </si>
  <si>
    <t>Gross MRR churn rate</t>
  </si>
  <si>
    <t>Lost Enterprise customers</t>
  </si>
  <si>
    <t>Basic customers beginning of 1st month</t>
  </si>
  <si>
    <t>Upgrades from Basic</t>
  </si>
  <si>
    <t>Downgraded to Basic</t>
  </si>
  <si>
    <t>Downgraded from Pro</t>
  </si>
  <si>
    <t>Upgraded to Pro</t>
  </si>
  <si>
    <t>Pro customers beginning of 1st month</t>
  </si>
  <si>
    <t>Upgrade rate (Basic =&gt; Pro)</t>
  </si>
  <si>
    <t>Downgrade rate (Pro =&gt; Basic)</t>
  </si>
  <si>
    <t>Upgrades from Pro</t>
  </si>
  <si>
    <t>Upgrade rate (Pro =&gt; Enterprise)</t>
  </si>
  <si>
    <t>Upgraded to Enterprise</t>
  </si>
  <si>
    <t>Enterprise customers beginning of 1st month</t>
  </si>
  <si>
    <t>Payment processing fees</t>
  </si>
  <si>
    <t>Server infrastructure</t>
  </si>
  <si>
    <t>Infrastructure costs as a % of MRR</t>
  </si>
  <si>
    <t>Marketing spend</t>
  </si>
  <si>
    <t>Salaries</t>
  </si>
  <si>
    <t>Total G&amp;A Salaries</t>
  </si>
  <si>
    <t>Total R&amp;D Salaries</t>
  </si>
  <si>
    <t>Total Marketing Salaries</t>
  </si>
  <si>
    <t>Total Sales Salaries</t>
  </si>
  <si>
    <t>Total Customer Success Salaries</t>
  </si>
  <si>
    <t>Various</t>
  </si>
  <si>
    <t>Staff related</t>
  </si>
  <si>
    <t>Travel</t>
  </si>
  <si>
    <t>G&amp;A staff</t>
  </si>
  <si>
    <t>R&amp;D staff</t>
  </si>
  <si>
    <t>Marketing staff</t>
  </si>
  <si>
    <t>Sales staff</t>
  </si>
  <si>
    <t>Customer success staff</t>
  </si>
  <si>
    <t>G&amp;A Headcount</t>
  </si>
  <si>
    <t>R&amp;D Headcount</t>
  </si>
  <si>
    <t>Marketing Headcount</t>
  </si>
  <si>
    <t>Sales Headcount</t>
  </si>
  <si>
    <t>CS Headcount</t>
  </si>
  <si>
    <t>Total travel costs</t>
  </si>
  <si>
    <t>Other (office supplies, subscriptions, phones,...)</t>
  </si>
  <si>
    <t>Onboarding (computer, software, desk,...)</t>
  </si>
  <si>
    <t>Total other costs</t>
  </si>
  <si>
    <t>Total onboarding costs</t>
  </si>
  <si>
    <t>Total staff related</t>
  </si>
  <si>
    <t>External recruiters</t>
  </si>
  <si>
    <t>Service providers (lawyers, accountants, ...)</t>
  </si>
  <si>
    <t>Other costs</t>
  </si>
  <si>
    <t>Office rent</t>
  </si>
  <si>
    <t>Other costs as a % of MRR</t>
  </si>
  <si>
    <t>Total various costs</t>
  </si>
  <si>
    <t>Total Headcount</t>
  </si>
  <si>
    <t>Total costs</t>
  </si>
  <si>
    <t>Total Salaries</t>
  </si>
  <si>
    <t>Total cash outflow</t>
  </si>
  <si>
    <t>Cash inflow</t>
  </si>
  <si>
    <t>Cash outflow</t>
  </si>
  <si>
    <t>Bonuses (Sales Team)</t>
  </si>
  <si>
    <t>Bonuses (everybody else)</t>
  </si>
  <si>
    <t>QA Engineer</t>
  </si>
  <si>
    <t>Video Editor</t>
  </si>
  <si>
    <t>Content Writer</t>
  </si>
  <si>
    <t>Business Analyst</t>
  </si>
  <si>
    <t>Team Assistant</t>
  </si>
  <si>
    <t>Finance Manager</t>
  </si>
  <si>
    <t>Customer Success Directors</t>
  </si>
  <si>
    <t>Revenues</t>
  </si>
  <si>
    <t>EBIT</t>
  </si>
  <si>
    <t>Account Executives</t>
  </si>
  <si>
    <t>% of revenues</t>
  </si>
  <si>
    <t>Customer Success Manager (ENTERPRISE)</t>
  </si>
  <si>
    <t>Gross Profit</t>
  </si>
  <si>
    <t>Operating Costs</t>
  </si>
  <si>
    <t>Total Operating Costs</t>
  </si>
  <si>
    <t>Total operating cashflow</t>
  </si>
  <si>
    <t>For charts &amp; P&amp;L summary</t>
  </si>
  <si>
    <t>Starting bank balance</t>
  </si>
  <si>
    <t>Cash from financing</t>
  </si>
  <si>
    <t>Ending bank balance</t>
  </si>
  <si>
    <t>Cash from operations</t>
  </si>
  <si>
    <t>$ S&amp;M per $ net new ARR</t>
  </si>
  <si>
    <t>New MRR from new customers ($)</t>
  </si>
  <si>
    <t>Lost MRR (churn) ($)</t>
  </si>
  <si>
    <t>Marketing spending ($)</t>
  </si>
  <si>
    <t>Costs per paid signup ($)</t>
  </si>
  <si>
    <t>ARPA (p.m.) ($)</t>
  </si>
  <si>
    <t>MRR beginning of the month  ($)</t>
  </si>
  <si>
    <t>New MRR from customers who downgraded from Pro ($)</t>
  </si>
  <si>
    <t>Net Expansion MRR of Basic customers ($)</t>
  </si>
  <si>
    <t>Lost MRR (upgraded to Pro) ($)</t>
  </si>
  <si>
    <t>Net new MRR ($)</t>
  </si>
  <si>
    <t>MRR end of month ($)</t>
  </si>
  <si>
    <t>MRR beginning of the month ($)</t>
  </si>
  <si>
    <t>New MRR from Basic customers who upgraded ($)</t>
  </si>
  <si>
    <t>Net Expansion MRR of Pro customers ($)</t>
  </si>
  <si>
    <t>Lost MRR (downgraded to Basic) ($)</t>
  </si>
  <si>
    <t>Lost MRR (upgraded to Enterprise) ($)</t>
  </si>
  <si>
    <t>ACV for new customers ($)</t>
  </si>
  <si>
    <t>ACV for renewals ($)</t>
  </si>
  <si>
    <t>New MRR to meet target ($)</t>
  </si>
  <si>
    <t>MRR end of month to meet target ($)</t>
  </si>
  <si>
    <t>New MRR from new customers  ($)</t>
  </si>
  <si>
    <t>New MRR from Pro customers who upgraded ($)</t>
  </si>
  <si>
    <t>Net Expansion MRR from renewals ($)</t>
  </si>
  <si>
    <t>Quarterly pipeline value required in ARR ($)</t>
  </si>
  <si>
    <t>Net expansion MRR ($)</t>
  </si>
  <si>
    <t>Net MRR churn ($)</t>
  </si>
  <si>
    <t>Cash inflow from Basic customers ($)</t>
  </si>
  <si>
    <t>Cash inflow from Pro customers ($)</t>
  </si>
  <si>
    <t>Cash inflow from new Enterprise customers ($)</t>
  </si>
  <si>
    <t>Cash inflow from Enterprise renewals ($)</t>
  </si>
  <si>
    <t>Churn MRR ($)</t>
  </si>
  <si>
    <t>Base salary ($)</t>
  </si>
  <si>
    <t>Travel costs per G&amp;A employee per month ($)</t>
  </si>
  <si>
    <t>Travel costs per R&amp;D employee per month ($)</t>
  </si>
  <si>
    <t>Travel costs per Marketing employee per month ($)</t>
  </si>
  <si>
    <t>Travel costs per Sales employee per month ($)</t>
  </si>
  <si>
    <t>Travel costs per CS employee per month ($)</t>
  </si>
  <si>
    <t>Other costs per G&amp;A employee per month ($)</t>
  </si>
  <si>
    <t>Other costs per R&amp;D employee per month ($)</t>
  </si>
  <si>
    <t>Other costs per Marketing employee per month ($)</t>
  </si>
  <si>
    <t>Other costs per Sales employee per month ($)</t>
  </si>
  <si>
    <t>Other costs per CS employee per month ($)</t>
  </si>
  <si>
    <t>Onboarding costs per new G&amp;A employee ($)</t>
  </si>
  <si>
    <t>Onboarding costs per new R&amp;D employee ($)</t>
  </si>
  <si>
    <t>Onboarding costs per new Marketing employee ($)</t>
  </si>
  <si>
    <t>Onboarding costs per new Sales employee ($)</t>
  </si>
  <si>
    <t>Onboarding costs per new CS employee ($)</t>
  </si>
  <si>
    <t>Rent p.m. year 1 / year 2 ($)</t>
  </si>
  <si>
    <t>Costs per new hire ($)</t>
  </si>
  <si>
    <t>Costs p.m. year 1 / year 2 ($)</t>
  </si>
  <si>
    <t>OTHER COSTS ($)</t>
  </si>
  <si>
    <t>SALARIES ($)</t>
  </si>
  <si>
    <t>CASH OUTFLOW ($)</t>
  </si>
  <si>
    <t>CoGS ($)</t>
  </si>
  <si>
    <t>R&amp;D ($)</t>
  </si>
  <si>
    <t>S&amp;M ($)</t>
  </si>
  <si>
    <t>G&amp;A ($)</t>
  </si>
  <si>
    <t>Costs per signup ($)</t>
  </si>
  <si>
    <t>Marketing spending 1st month ($)</t>
  </si>
  <si>
    <t>Marketing spending increase p.m. ($)</t>
  </si>
  <si>
    <t>ARPA (p.m.) 1st month ($)</t>
  </si>
  <si>
    <t>ARPA in month 0 ($)</t>
  </si>
  <si>
    <t>MRR beginning of month 1 ($)</t>
  </si>
  <si>
    <t>MRR target for end of month 12 ($)</t>
  </si>
  <si>
    <t>MRR target for end of month 24 ($)</t>
  </si>
  <si>
    <t xml:space="preserve">MRR growth p.m. year 1 </t>
  </si>
  <si>
    <t>ACV of existing customers ($)</t>
  </si>
  <si>
    <t>ACV of new customers (and upgraders from Pro) ($)</t>
  </si>
  <si>
    <t>New ARR target ($)</t>
  </si>
  <si>
    <t>AE Quota ($)</t>
  </si>
  <si>
    <t>OPERATING CASH FLOW ($)</t>
  </si>
  <si>
    <t>BANK BALANCE ($)</t>
  </si>
  <si>
    <t>Cash outflow ($)</t>
  </si>
  <si>
    <t>CACs ($)</t>
  </si>
  <si>
    <t>CAC payback time for Basic customers (months)</t>
  </si>
  <si>
    <t>CAC payback time for Pro customers (months)</t>
  </si>
  <si>
    <t>CAC payback time for Enterprise customers (months)</t>
  </si>
  <si>
    <t>Thereof bonuses (incl. payroll taxes)</t>
  </si>
  <si>
    <t>Use it at your own risk, yada yada yada.</t>
  </si>
  <si>
    <r>
      <rPr>
        <sz val="9"/>
        <color theme="0" tint="-0.499984740745262"/>
        <rFont val="Arial"/>
      </rPr>
      <t xml:space="preserve">Template created by </t>
    </r>
    <r>
      <rPr>
        <u/>
        <sz val="9"/>
        <color rgb="FF0000FF"/>
        <rFont val="Arial"/>
      </rPr>
      <t>Christoph Janz</t>
    </r>
    <r>
      <rPr>
        <sz val="9"/>
        <color theme="0" tint="-0.499984740745262"/>
        <rFont val="Arial"/>
      </rPr>
      <t xml:space="preserve"> of Point Nine Capital.</t>
    </r>
  </si>
  <si>
    <t>Disclaimer: Please be aware that his model may be inaccurate, incorrect or misleading.</t>
  </si>
  <si>
    <t>Start date</t>
  </si>
  <si>
    <t>PRO-FORMA P&amp;L ($)</t>
  </si>
  <si>
    <r>
      <rPr>
        <sz val="9"/>
        <color theme="0" tint="-0.499984740745262"/>
        <rFont val="Arial"/>
      </rPr>
      <t xml:space="preserve">Please take a look at these </t>
    </r>
    <r>
      <rPr>
        <u/>
        <sz val="9"/>
        <color theme="10"/>
        <rFont val="Arial"/>
      </rPr>
      <t>notes on how to use this model.</t>
    </r>
  </si>
  <si>
    <t>Thereof unconverted signups</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</si>
</sst>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409]mmm\-yy;@"/>
    <numFmt numFmtId="165" formatCode="_-[$$-409]* #,##0.00_ ;_-[$$-409]* \-#,##0.00\ ;_-[$$-409]* &quot;-&quot;??_ ;_-@_ "/>
    <numFmt numFmtId="166" formatCode="_-[$$-409]* #,##0_ ;_-[$$-409]* \-#,##0\ ;_-[$$-409]* &quot;-&quot;_ ;_-@_ "/>
    <numFmt numFmtId="167" formatCode="[$$-409]#,##0_ ;\-[$$-409]#,##0\ "/>
    <numFmt numFmtId="168" formatCode="[$$-409]#,##0.00_ ;\-[$$-409]#,##0.00\ "/>
    <numFmt numFmtId="169" formatCode="[$$-409]#,##0"/>
    <numFmt numFmtId="170" formatCode="[$$-409]#,##0_ ;[Red]\-[$$-409]#,##0\ "/>
    <numFmt numFmtId="171" formatCode="#,##0\ _€"/>
    <numFmt numFmtId="172" formatCode="#,##0_ ;\-#,##0\ "/>
    <numFmt numFmtId="173" formatCode="\&gt;\ #,##0"/>
  </numFmts>
  <fonts count="47" x14ac:knownFonts="1">
    <font>
      <sz val="10"/>
      <name val="Arial"/>
    </font>
    <font>
      <sz val="12"/>
      <color theme="1"/>
      <name val="Calibri"/>
      <family val="2"/>
      <scheme val="minor"/>
    </font>
    <font>
      <sz val="10"/>
      <name val="Arial"/>
    </font>
    <font>
      <sz val="8"/>
      <name val="Arial"/>
      <family val="2"/>
    </font>
    <font>
      <sz val="10"/>
      <color rgb="FF0000FF"/>
      <name val="Arial"/>
    </font>
    <font>
      <b/>
      <sz val="10"/>
      <name val="Arial"/>
      <family val="2"/>
    </font>
    <font>
      <b/>
      <sz val="8"/>
      <name val="Arial"/>
    </font>
    <font>
      <b/>
      <sz val="10"/>
      <color rgb="FF0000FF"/>
      <name val="Arial"/>
    </font>
    <font>
      <b/>
      <sz val="10"/>
      <color theme="0"/>
      <name val="Arial"/>
    </font>
    <font>
      <sz val="10"/>
      <color theme="0"/>
      <name val="Arial"/>
    </font>
    <font>
      <sz val="9"/>
      <name val="Arial"/>
    </font>
    <font>
      <sz val="9"/>
      <color rgb="FF0000FF"/>
      <name val="Arial"/>
    </font>
    <font>
      <sz val="11"/>
      <color rgb="FF3F3F76"/>
      <name val="Calibri"/>
      <family val="2"/>
      <scheme val="minor"/>
    </font>
    <font>
      <b/>
      <sz val="9"/>
      <name val="Arial"/>
    </font>
    <font>
      <b/>
      <sz val="9"/>
      <color rgb="FF0000FF"/>
      <name val="Arial"/>
    </font>
    <font>
      <u/>
      <sz val="10"/>
      <color theme="10"/>
      <name val="Arial"/>
    </font>
    <font>
      <u/>
      <sz val="10"/>
      <color theme="11"/>
      <name val="Arial"/>
    </font>
    <font>
      <sz val="10"/>
      <color theme="0" tint="-0.499984740745262"/>
      <name val="Arial"/>
    </font>
    <font>
      <sz val="10"/>
      <color theme="0" tint="-0.249977111117893"/>
      <name val="Arial"/>
    </font>
    <font>
      <b/>
      <sz val="10"/>
      <color rgb="FFFFFFFF"/>
      <name val="Arial"/>
    </font>
    <font>
      <sz val="10"/>
      <color rgb="FFFFFFFF"/>
      <name val="Arial"/>
    </font>
    <font>
      <sz val="9"/>
      <color indexed="81"/>
      <name val="Arial"/>
    </font>
    <font>
      <b/>
      <sz val="9"/>
      <color indexed="81"/>
      <name val="Arial"/>
    </font>
    <font>
      <sz val="10"/>
      <color theme="0" tint="-0.34998626667073579"/>
      <name val="Arial"/>
    </font>
    <font>
      <b/>
      <sz val="11"/>
      <color theme="1"/>
      <name val="Arial"/>
    </font>
    <font>
      <sz val="11"/>
      <color rgb="FF0000FF"/>
      <name val="Arial"/>
    </font>
    <font>
      <sz val="9"/>
      <color theme="1"/>
      <name val="Arial"/>
    </font>
    <font>
      <sz val="11"/>
      <color theme="1"/>
      <name val="Arial"/>
    </font>
    <font>
      <u/>
      <sz val="12"/>
      <color theme="10"/>
      <name val="Calibri"/>
      <family val="2"/>
      <scheme val="minor"/>
    </font>
    <font>
      <sz val="11"/>
      <name val="Arial"/>
    </font>
    <font>
      <b/>
      <sz val="11"/>
      <name val="Arial"/>
    </font>
    <font>
      <sz val="10"/>
      <color theme="1"/>
      <name val="Arial"/>
    </font>
    <font>
      <u/>
      <sz val="11"/>
      <color theme="10"/>
      <name val="Arial"/>
    </font>
    <font>
      <sz val="11"/>
      <color theme="1" tint="0.34998626667073579"/>
      <name val="Arial"/>
    </font>
    <font>
      <b/>
      <sz val="11"/>
      <color theme="0"/>
      <name val="Arial"/>
    </font>
    <font>
      <sz val="11"/>
      <color theme="0" tint="-0.499984740745262"/>
      <name val="Arial"/>
    </font>
    <font>
      <sz val="9"/>
      <color theme="0" tint="-0.499984740745262"/>
      <name val="Arial"/>
    </font>
    <font>
      <sz val="8"/>
      <color rgb="FF0000FF"/>
      <name val="Arial"/>
    </font>
    <font>
      <b/>
      <sz val="10"/>
      <color theme="0" tint="-0.34998626667073579"/>
      <name val="Arial"/>
    </font>
    <font>
      <sz val="8"/>
      <color theme="0" tint="-0.34998626667073579"/>
      <name val="Arial"/>
    </font>
    <font>
      <b/>
      <sz val="10"/>
      <color theme="0" tint="-0.499984740745262"/>
      <name val="Arial"/>
    </font>
    <font>
      <sz val="8"/>
      <color theme="0" tint="-0.499984740745262"/>
      <name val="Arial"/>
    </font>
    <font>
      <b/>
      <sz val="8"/>
      <color theme="0" tint="-0.499984740745262"/>
      <name val="Arial"/>
    </font>
    <font>
      <b/>
      <sz val="9"/>
      <color theme="0" tint="-0.499984740745262"/>
      <name val="Arial"/>
    </font>
    <font>
      <u/>
      <sz val="9"/>
      <color theme="0" tint="-0.499984740745262"/>
      <name val="Arial"/>
    </font>
    <font>
      <u/>
      <sz val="9"/>
      <color rgb="FF0000FF"/>
      <name val="Arial"/>
    </font>
    <font>
      <u/>
      <sz val="9"/>
      <color theme="10"/>
      <name val="Arial"/>
    </font>
  </fonts>
  <fills count="17">
    <fill>
      <patternFill patternType="none"/>
    </fill>
    <fill>
      <patternFill patternType="gray125"/>
    </fill>
    <fill>
      <patternFill patternType="solid">
        <fgColor rgb="FFFFCC99"/>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1"/>
        <bgColor indexed="64"/>
      </patternFill>
    </fill>
    <fill>
      <patternFill patternType="solid">
        <fgColor theme="8" tint="0.79998168889431442"/>
        <bgColor indexed="64"/>
      </patternFill>
    </fill>
    <fill>
      <patternFill patternType="solid">
        <fgColor rgb="FFFFFFFF"/>
        <bgColor rgb="FF000000"/>
      </patternFill>
    </fill>
    <fill>
      <patternFill patternType="solid">
        <fgColor rgb="FF000000"/>
        <bgColor rgb="FF000000"/>
      </patternFill>
    </fill>
    <fill>
      <patternFill patternType="solid">
        <fgColor rgb="FFD9D9D9"/>
        <bgColor rgb="FF000000"/>
      </patternFill>
    </fill>
    <fill>
      <patternFill patternType="solid">
        <fgColor rgb="FFBFBFBF"/>
        <bgColor rgb="FF000000"/>
      </patternFill>
    </fill>
    <fill>
      <patternFill patternType="solid">
        <fgColor rgb="FFDAEEF3"/>
        <bgColor rgb="FF000000"/>
      </patternFill>
    </fill>
    <fill>
      <patternFill patternType="solid">
        <fgColor theme="0"/>
        <bgColor rgb="FF000000"/>
      </patternFill>
    </fill>
    <fill>
      <patternFill patternType="solid">
        <fgColor theme="0" tint="-0.14999847407452621"/>
        <bgColor rgb="FF000000"/>
      </patternFill>
    </fill>
    <fill>
      <patternFill patternType="solid">
        <fgColor theme="0" tint="-4.9989318521683403E-2"/>
        <bgColor rgb="FF000000"/>
      </patternFill>
    </fill>
    <fill>
      <patternFill patternType="solid">
        <fgColor theme="0" tint="-4.9989318521683403E-2"/>
        <bgColor indexed="64"/>
      </patternFill>
    </fill>
  </fills>
  <borders count="97">
    <border>
      <left/>
      <right/>
      <top/>
      <bottom/>
      <diagonal/>
    </border>
    <border>
      <left style="thin">
        <color rgb="FF7F7F7F"/>
      </left>
      <right style="thin">
        <color rgb="FF7F7F7F"/>
      </right>
      <top style="thin">
        <color rgb="FF7F7F7F"/>
      </top>
      <bottom style="thin">
        <color rgb="FF7F7F7F"/>
      </bottom>
      <diagonal/>
    </border>
    <border>
      <left style="thin">
        <color theme="0"/>
      </left>
      <right style="thin">
        <color theme="0"/>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medium">
        <color auto="1"/>
      </right>
      <top style="medium">
        <color auto="1"/>
      </top>
      <bottom/>
      <diagonal/>
    </border>
    <border>
      <left style="thin">
        <color auto="1"/>
      </left>
      <right/>
      <top/>
      <bottom/>
      <diagonal/>
    </border>
    <border>
      <left/>
      <right style="thin">
        <color auto="1"/>
      </right>
      <top/>
      <bottom/>
      <diagonal/>
    </border>
    <border>
      <left/>
      <right/>
      <top/>
      <bottom style="thin">
        <color auto="1"/>
      </bottom>
      <diagonal/>
    </border>
    <border>
      <left/>
      <right/>
      <top style="medium">
        <color auto="1"/>
      </top>
      <bottom style="thin">
        <color auto="1"/>
      </bottom>
      <diagonal/>
    </border>
    <border>
      <left style="medium">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style="medium">
        <color auto="1"/>
      </right>
      <top/>
      <bottom/>
      <diagonal/>
    </border>
    <border>
      <left style="medium">
        <color auto="1"/>
      </left>
      <right/>
      <top/>
      <bottom/>
      <diagonal/>
    </border>
    <border>
      <left/>
      <right style="medium">
        <color auto="1"/>
      </right>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style="medium">
        <color auto="1"/>
      </right>
      <top/>
      <bottom style="medium">
        <color auto="1"/>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medium">
        <color auto="1"/>
      </left>
      <right/>
      <top style="medium">
        <color auto="1"/>
      </top>
      <bottom/>
      <diagonal/>
    </border>
    <border>
      <left/>
      <right/>
      <top style="medium">
        <color auto="1"/>
      </top>
      <bottom/>
      <diagonal/>
    </border>
    <border>
      <left style="medium">
        <color auto="1"/>
      </left>
      <right style="medium">
        <color theme="0"/>
      </right>
      <top style="medium">
        <color theme="0"/>
      </top>
      <bottom style="medium">
        <color theme="0"/>
      </bottom>
      <diagonal/>
    </border>
    <border>
      <left style="medium">
        <color theme="0"/>
      </left>
      <right style="thin">
        <color theme="0"/>
      </right>
      <top style="medium">
        <color theme="0"/>
      </top>
      <bottom style="medium">
        <color theme="0"/>
      </bottom>
      <diagonal/>
    </border>
    <border>
      <left style="thin">
        <color theme="0"/>
      </left>
      <right style="medium">
        <color auto="1"/>
      </right>
      <top style="thin">
        <color theme="0"/>
      </top>
      <bottom style="thin">
        <color theme="0"/>
      </bottom>
      <diagonal/>
    </border>
    <border>
      <left style="medium">
        <color auto="1"/>
      </left>
      <right style="thin">
        <color auto="1"/>
      </right>
      <top style="thin">
        <color theme="0"/>
      </top>
      <bottom/>
      <diagonal/>
    </border>
    <border>
      <left style="thin">
        <color auto="1"/>
      </left>
      <right style="thin">
        <color auto="1"/>
      </right>
      <top style="thin">
        <color theme="0"/>
      </top>
      <bottom/>
      <diagonal/>
    </border>
    <border>
      <left style="thin">
        <color auto="1"/>
      </left>
      <right style="medium">
        <color auto="1"/>
      </right>
      <top style="thin">
        <color theme="0"/>
      </top>
      <bottom/>
      <diagonal/>
    </border>
    <border>
      <left style="medium">
        <color auto="1"/>
      </left>
      <right style="medium">
        <color theme="0"/>
      </right>
      <top style="medium">
        <color theme="0"/>
      </top>
      <bottom style="thin">
        <color auto="1"/>
      </bottom>
      <diagonal/>
    </border>
    <border>
      <left style="medium">
        <color theme="0"/>
      </left>
      <right style="thin">
        <color theme="0"/>
      </right>
      <top style="medium">
        <color theme="0"/>
      </top>
      <bottom style="thin">
        <color auto="1"/>
      </bottom>
      <diagonal/>
    </border>
    <border>
      <left style="thin">
        <color theme="0"/>
      </left>
      <right style="medium">
        <color auto="1"/>
      </right>
      <top style="thin">
        <color theme="0"/>
      </top>
      <bottom style="thin">
        <color auto="1"/>
      </bottom>
      <diagonal/>
    </border>
    <border>
      <left style="medium">
        <color auto="1"/>
      </left>
      <right style="thin">
        <color auto="1"/>
      </right>
      <top style="medium">
        <color theme="0"/>
      </top>
      <bottom style="thin">
        <color auto="1"/>
      </bottom>
      <diagonal/>
    </border>
    <border>
      <left style="thin">
        <color auto="1"/>
      </left>
      <right style="thin">
        <color auto="1"/>
      </right>
      <top style="medium">
        <color theme="0"/>
      </top>
      <bottom style="thin">
        <color auto="1"/>
      </bottom>
      <diagonal/>
    </border>
    <border>
      <left style="thin">
        <color auto="1"/>
      </left>
      <right style="medium">
        <color auto="1"/>
      </right>
      <top style="medium">
        <color theme="0"/>
      </top>
      <bottom style="thin">
        <color auto="1"/>
      </bottom>
      <diagonal/>
    </border>
    <border>
      <left style="medium">
        <color auto="1"/>
      </left>
      <right style="medium">
        <color theme="0"/>
      </right>
      <top style="thin">
        <color auto="1"/>
      </top>
      <bottom style="medium">
        <color theme="0"/>
      </bottom>
      <diagonal/>
    </border>
    <border>
      <left style="medium">
        <color theme="0"/>
      </left>
      <right style="thin">
        <color theme="0"/>
      </right>
      <top style="thin">
        <color auto="1"/>
      </top>
      <bottom style="medium">
        <color theme="0"/>
      </bottom>
      <diagonal/>
    </border>
    <border>
      <left style="thin">
        <color theme="0"/>
      </left>
      <right style="medium">
        <color auto="1"/>
      </right>
      <top/>
      <bottom style="thin">
        <color theme="0"/>
      </bottom>
      <diagonal/>
    </border>
    <border>
      <left style="thin">
        <color theme="0"/>
      </left>
      <right style="thin">
        <color theme="0"/>
      </right>
      <top/>
      <bottom style="thin">
        <color theme="0"/>
      </bottom>
      <diagonal/>
    </border>
    <border>
      <left style="medium">
        <color auto="1"/>
      </left>
      <right style="thin">
        <color theme="0"/>
      </right>
      <top style="thin">
        <color theme="0"/>
      </top>
      <bottom style="thin">
        <color theme="0"/>
      </bottom>
      <diagonal/>
    </border>
    <border>
      <left style="medium">
        <color auto="1"/>
      </left>
      <right style="thin">
        <color theme="0"/>
      </right>
      <top style="thin">
        <color theme="0"/>
      </top>
      <bottom/>
      <diagonal/>
    </border>
    <border>
      <left style="thin">
        <color theme="0"/>
      </left>
      <right style="medium">
        <color auto="1"/>
      </right>
      <top style="thin">
        <color theme="0"/>
      </top>
      <bottom/>
      <diagonal/>
    </border>
    <border>
      <left style="medium">
        <color auto="1"/>
      </left>
      <right style="thin">
        <color theme="0" tint="-0.14999847407452621"/>
      </right>
      <top style="thin">
        <color auto="1"/>
      </top>
      <bottom style="thin">
        <color auto="1"/>
      </bottom>
      <diagonal/>
    </border>
    <border>
      <left style="thin">
        <color theme="0" tint="-0.14999847407452621"/>
      </left>
      <right style="thin">
        <color theme="0" tint="-0.14999847407452621"/>
      </right>
      <top style="thin">
        <color auto="1"/>
      </top>
      <bottom style="thin">
        <color auto="1"/>
      </bottom>
      <diagonal/>
    </border>
    <border>
      <left style="thin">
        <color theme="0" tint="-0.14999847407452621"/>
      </left>
      <right style="medium">
        <color auto="1"/>
      </right>
      <top style="thin">
        <color auto="1"/>
      </top>
      <bottom style="thin">
        <color auto="1"/>
      </bottom>
      <diagonal/>
    </border>
    <border>
      <left style="medium">
        <color auto="1"/>
      </left>
      <right style="thin">
        <color theme="0"/>
      </right>
      <top style="medium">
        <color theme="0"/>
      </top>
      <bottom style="medium">
        <color auto="1"/>
      </bottom>
      <diagonal/>
    </border>
    <border>
      <left style="thin">
        <color theme="0"/>
      </left>
      <right style="thin">
        <color theme="0"/>
      </right>
      <top style="medium">
        <color theme="0"/>
      </top>
      <bottom style="medium">
        <color auto="1"/>
      </bottom>
      <diagonal/>
    </border>
    <border>
      <left style="thin">
        <color theme="0"/>
      </left>
      <right style="medium">
        <color auto="1"/>
      </right>
      <top style="medium">
        <color theme="0"/>
      </top>
      <bottom style="medium">
        <color auto="1"/>
      </bottom>
      <diagonal/>
    </border>
    <border>
      <left/>
      <right style="medium">
        <color auto="1"/>
      </right>
      <top style="medium">
        <color auto="1"/>
      </top>
      <bottom style="medium">
        <color auto="1"/>
      </bottom>
      <diagonal/>
    </border>
    <border>
      <left/>
      <right/>
      <top style="thin">
        <color auto="1"/>
      </top>
      <bottom style="thin">
        <color theme="0"/>
      </bottom>
      <diagonal/>
    </border>
    <border>
      <left style="thin">
        <color auto="1"/>
      </left>
      <right/>
      <top/>
      <bottom style="thin">
        <color auto="1"/>
      </bottom>
      <diagonal/>
    </border>
    <border>
      <left/>
      <right style="thin">
        <color auto="1"/>
      </right>
      <top/>
      <bottom style="thin">
        <color auto="1"/>
      </bottom>
      <diagonal/>
    </border>
    <border>
      <left style="medium">
        <color auto="1"/>
      </left>
      <right/>
      <top style="thin">
        <color auto="1"/>
      </top>
      <bottom style="thin">
        <color theme="0"/>
      </bottom>
      <diagonal/>
    </border>
    <border>
      <left/>
      <right style="medium">
        <color auto="1"/>
      </right>
      <top style="thin">
        <color auto="1"/>
      </top>
      <bottom style="thin">
        <color theme="0"/>
      </bottom>
      <diagonal/>
    </border>
    <border>
      <left style="medium">
        <color auto="1"/>
      </left>
      <right/>
      <top style="thin">
        <color theme="0"/>
      </top>
      <bottom style="thin">
        <color theme="0"/>
      </bottom>
      <diagonal/>
    </border>
    <border>
      <left/>
      <right style="medium">
        <color auto="1"/>
      </right>
      <top style="thin">
        <color theme="0"/>
      </top>
      <bottom style="thin">
        <color theme="0"/>
      </bottom>
      <diagonal/>
    </border>
    <border>
      <left style="medium">
        <color auto="1"/>
      </left>
      <right/>
      <top style="thin">
        <color theme="0"/>
      </top>
      <bottom/>
      <diagonal/>
    </border>
    <border>
      <left/>
      <right/>
      <top style="thin">
        <color theme="0"/>
      </top>
      <bottom/>
      <diagonal/>
    </border>
    <border>
      <left/>
      <right style="medium">
        <color auto="1"/>
      </right>
      <top style="thin">
        <color theme="0"/>
      </top>
      <bottom/>
      <diagonal/>
    </border>
    <border>
      <left style="medium">
        <color auto="1"/>
      </left>
      <right/>
      <top style="medium">
        <color theme="0"/>
      </top>
      <bottom style="medium">
        <color auto="1"/>
      </bottom>
      <diagonal/>
    </border>
    <border>
      <left/>
      <right/>
      <top style="medium">
        <color theme="0"/>
      </top>
      <bottom style="medium">
        <color auto="1"/>
      </bottom>
      <diagonal/>
    </border>
    <border>
      <left/>
      <right style="medium">
        <color auto="1"/>
      </right>
      <top style="medium">
        <color theme="0"/>
      </top>
      <bottom style="medium">
        <color auto="1"/>
      </bottom>
      <diagonal/>
    </border>
    <border>
      <left style="medium">
        <color auto="1"/>
      </left>
      <right style="thin">
        <color theme="0"/>
      </right>
      <top/>
      <bottom style="medium">
        <color theme="0"/>
      </bottom>
      <diagonal/>
    </border>
    <border>
      <left style="thin">
        <color theme="0"/>
      </left>
      <right style="thin">
        <color theme="0"/>
      </right>
      <top/>
      <bottom style="medium">
        <color theme="0"/>
      </bottom>
      <diagonal/>
    </border>
    <border>
      <left style="thin">
        <color theme="0"/>
      </left>
      <right style="medium">
        <color auto="1"/>
      </right>
      <top/>
      <bottom style="medium">
        <color theme="0"/>
      </bottom>
      <diagonal/>
    </border>
    <border>
      <left style="medium">
        <color auto="1"/>
      </left>
      <right/>
      <top/>
      <bottom style="medium">
        <color theme="0"/>
      </bottom>
      <diagonal/>
    </border>
    <border>
      <left/>
      <right/>
      <top/>
      <bottom style="medium">
        <color theme="0"/>
      </bottom>
      <diagonal/>
    </border>
    <border>
      <left/>
      <right style="medium">
        <color auto="1"/>
      </right>
      <top/>
      <bottom style="medium">
        <color theme="0"/>
      </bottom>
      <diagonal/>
    </border>
    <border>
      <left style="thin">
        <color auto="1"/>
      </left>
      <right style="medium">
        <color auto="1"/>
      </right>
      <top style="thin">
        <color auto="1"/>
      </top>
      <bottom/>
      <diagonal/>
    </border>
    <border>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theme="0"/>
      </left>
      <right/>
      <top/>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style="thin">
        <color auto="1"/>
      </left>
      <right style="medium">
        <color auto="1"/>
      </right>
      <top style="thin">
        <color auto="1"/>
      </top>
      <bottom style="medium">
        <color auto="1"/>
      </bottom>
      <diagonal/>
    </border>
  </borders>
  <cellStyleXfs count="922">
    <xf numFmtId="0" fontId="0" fillId="0" borderId="0"/>
    <xf numFmtId="0" fontId="12" fillId="2" borderId="1" applyNumberFormat="0" applyAlignment="0" applyProtection="0"/>
    <xf numFmtId="0" fontId="1" fillId="0" borderId="0"/>
    <xf numFmtId="0" fontId="1" fillId="0" borderId="0"/>
    <xf numFmtId="0" fontId="1"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28"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cellStyleXfs>
  <cellXfs count="573">
    <xf numFmtId="0" fontId="0" fillId="0" borderId="0" xfId="0"/>
    <xf numFmtId="0" fontId="2" fillId="0" borderId="2" xfId="0" applyFont="1" applyBorder="1"/>
    <xf numFmtId="0" fontId="3" fillId="0" borderId="2" xfId="0" applyFont="1" applyBorder="1" applyAlignment="1">
      <alignment horizontal="left"/>
    </xf>
    <xf numFmtId="0" fontId="4" fillId="0" borderId="2" xfId="0" applyFont="1" applyBorder="1" applyAlignment="1"/>
    <xf numFmtId="0" fontId="2" fillId="3" borderId="2" xfId="0" applyFont="1" applyFill="1" applyBorder="1"/>
    <xf numFmtId="0" fontId="2" fillId="0" borderId="0" xfId="0" applyFont="1" applyBorder="1"/>
    <xf numFmtId="0" fontId="5" fillId="3" borderId="0" xfId="0" applyFont="1" applyFill="1" applyBorder="1" applyAlignment="1">
      <alignment horizontal="center"/>
    </xf>
    <xf numFmtId="0" fontId="2" fillId="3" borderId="0" xfId="0" applyFont="1" applyFill="1" applyBorder="1"/>
    <xf numFmtId="164" fontId="5" fillId="3" borderId="6" xfId="0" applyNumberFormat="1" applyFont="1" applyFill="1" applyBorder="1" applyAlignment="1">
      <alignment horizontal="center"/>
    </xf>
    <xf numFmtId="164" fontId="5" fillId="3" borderId="7" xfId="0" applyNumberFormat="1" applyFont="1" applyFill="1" applyBorder="1" applyAlignment="1">
      <alignment horizontal="center"/>
    </xf>
    <xf numFmtId="164" fontId="5" fillId="3" borderId="8" xfId="0" applyNumberFormat="1" applyFont="1" applyFill="1" applyBorder="1" applyAlignment="1">
      <alignment horizontal="center"/>
    </xf>
    <xf numFmtId="0" fontId="0" fillId="3" borderId="12" xfId="0" applyFont="1" applyFill="1" applyBorder="1"/>
    <xf numFmtId="3" fontId="0" fillId="3" borderId="13" xfId="0" applyNumberFormat="1" applyFont="1" applyFill="1" applyBorder="1"/>
    <xf numFmtId="0" fontId="5" fillId="5" borderId="10" xfId="0" applyFont="1" applyFill="1" applyBorder="1"/>
    <xf numFmtId="0" fontId="6" fillId="5" borderId="0" xfId="0" applyFont="1" applyFill="1" applyBorder="1" applyAlignment="1">
      <alignment horizontal="left"/>
    </xf>
    <xf numFmtId="0" fontId="7" fillId="5" borderId="0" xfId="0" applyFont="1" applyFill="1" applyBorder="1" applyAlignment="1"/>
    <xf numFmtId="0" fontId="7" fillId="5" borderId="11" xfId="0" applyFont="1" applyFill="1" applyBorder="1" applyAlignment="1"/>
    <xf numFmtId="0" fontId="5" fillId="3" borderId="0" xfId="0" applyFont="1" applyFill="1" applyBorder="1"/>
    <xf numFmtId="0" fontId="9" fillId="6" borderId="15" xfId="0" applyFont="1" applyFill="1" applyBorder="1"/>
    <xf numFmtId="0" fontId="9" fillId="6" borderId="4" xfId="0" applyFont="1" applyFill="1" applyBorder="1"/>
    <xf numFmtId="0" fontId="9" fillId="6" borderId="16" xfId="0" applyFont="1" applyFill="1" applyBorder="1"/>
    <xf numFmtId="0" fontId="5" fillId="4" borderId="10" xfId="0" applyFont="1" applyFill="1" applyBorder="1"/>
    <xf numFmtId="0" fontId="6" fillId="4" borderId="0" xfId="0" applyFont="1" applyFill="1" applyBorder="1" applyAlignment="1">
      <alignment horizontal="left"/>
    </xf>
    <xf numFmtId="0" fontId="7" fillId="4" borderId="0" xfId="0" applyFont="1" applyFill="1" applyBorder="1" applyAlignment="1"/>
    <xf numFmtId="0" fontId="7" fillId="4" borderId="11" xfId="0" applyFont="1" applyFill="1" applyBorder="1" applyAlignment="1"/>
    <xf numFmtId="0" fontId="2" fillId="3" borderId="18" xfId="0" applyFont="1" applyFill="1" applyBorder="1"/>
    <xf numFmtId="0" fontId="2" fillId="3" borderId="19" xfId="0" applyFont="1" applyFill="1" applyBorder="1"/>
    <xf numFmtId="0" fontId="2" fillId="4" borderId="19" xfId="0" applyFont="1" applyFill="1" applyBorder="1"/>
    <xf numFmtId="0" fontId="2" fillId="0" borderId="0" xfId="0" applyFont="1" applyFill="1" applyBorder="1"/>
    <xf numFmtId="0" fontId="3" fillId="4" borderId="10" xfId="0" applyFont="1" applyFill="1" applyBorder="1" applyAlignment="1">
      <alignment horizontal="right"/>
    </xf>
    <xf numFmtId="0" fontId="10" fillId="4" borderId="0" xfId="0" applyFont="1" applyFill="1" applyBorder="1" applyAlignment="1">
      <alignment horizontal="left"/>
    </xf>
    <xf numFmtId="0" fontId="11" fillId="4" borderId="0" xfId="0" applyFont="1" applyFill="1" applyBorder="1" applyAlignment="1"/>
    <xf numFmtId="0" fontId="4" fillId="4" borderId="11" xfId="0" applyFont="1" applyFill="1" applyBorder="1" applyAlignment="1"/>
    <xf numFmtId="0" fontId="4" fillId="3" borderId="0" xfId="0" applyFont="1" applyFill="1" applyBorder="1" applyAlignment="1">
      <alignment horizontal="left"/>
    </xf>
    <xf numFmtId="3" fontId="0" fillId="3" borderId="18" xfId="0" applyNumberFormat="1" applyFont="1" applyFill="1" applyBorder="1"/>
    <xf numFmtId="3" fontId="2" fillId="3" borderId="0" xfId="0" applyNumberFormat="1" applyFont="1" applyFill="1" applyBorder="1"/>
    <xf numFmtId="3" fontId="2" fillId="3" borderId="19" xfId="0" applyNumberFormat="1" applyFont="1" applyFill="1" applyBorder="1"/>
    <xf numFmtId="3" fontId="2" fillId="4" borderId="19" xfId="0" applyNumberFormat="1" applyFont="1" applyFill="1" applyBorder="1"/>
    <xf numFmtId="0" fontId="2" fillId="4" borderId="10" xfId="0" applyFont="1" applyFill="1" applyBorder="1" applyAlignment="1">
      <alignment horizontal="left"/>
    </xf>
    <xf numFmtId="0" fontId="2" fillId="3" borderId="0" xfId="0" applyFont="1" applyFill="1" applyBorder="1" applyAlignment="1">
      <alignment horizontal="left"/>
    </xf>
    <xf numFmtId="3" fontId="2" fillId="3" borderId="18" xfId="0" applyNumberFormat="1" applyFont="1" applyFill="1" applyBorder="1"/>
    <xf numFmtId="10" fontId="2" fillId="0" borderId="0" xfId="0" applyNumberFormat="1" applyFont="1" applyFill="1" applyBorder="1"/>
    <xf numFmtId="10" fontId="3" fillId="4" borderId="10" xfId="0" applyNumberFormat="1" applyFont="1" applyFill="1" applyBorder="1" applyAlignment="1">
      <alignment horizontal="left" indent="1"/>
    </xf>
    <xf numFmtId="10" fontId="10" fillId="4" borderId="0" xfId="0" applyNumberFormat="1" applyFont="1" applyFill="1" applyBorder="1" applyAlignment="1">
      <alignment horizontal="left"/>
    </xf>
    <xf numFmtId="10" fontId="11" fillId="4" borderId="0" xfId="0" applyNumberFormat="1" applyFont="1" applyFill="1" applyBorder="1" applyAlignment="1"/>
    <xf numFmtId="10" fontId="4" fillId="4" borderId="11" xfId="0" applyNumberFormat="1" applyFont="1" applyFill="1" applyBorder="1" applyAlignment="1"/>
    <xf numFmtId="10" fontId="4" fillId="3" borderId="0" xfId="0" applyNumberFormat="1" applyFont="1" applyFill="1" applyBorder="1" applyAlignment="1">
      <alignment horizontal="left"/>
    </xf>
    <xf numFmtId="10" fontId="0" fillId="3" borderId="0" xfId="0" applyNumberFormat="1" applyFont="1" applyFill="1" applyBorder="1"/>
    <xf numFmtId="10" fontId="0" fillId="3" borderId="19" xfId="0" applyNumberFormat="1" applyFont="1" applyFill="1" applyBorder="1"/>
    <xf numFmtId="10" fontId="0" fillId="4" borderId="19" xfId="0" applyNumberFormat="1" applyFont="1" applyFill="1" applyBorder="1"/>
    <xf numFmtId="10" fontId="4" fillId="4" borderId="19" xfId="0" applyNumberFormat="1" applyFont="1" applyFill="1" applyBorder="1"/>
    <xf numFmtId="0" fontId="0" fillId="0" borderId="0" xfId="0" applyFont="1" applyFill="1" applyBorder="1"/>
    <xf numFmtId="3" fontId="0" fillId="3" borderId="0" xfId="0" applyNumberFormat="1" applyFont="1" applyFill="1" applyBorder="1"/>
    <xf numFmtId="3" fontId="0" fillId="3" borderId="19" xfId="0" applyNumberFormat="1" applyFont="1" applyFill="1" applyBorder="1"/>
    <xf numFmtId="3" fontId="0" fillId="4" borderId="19" xfId="0" applyNumberFormat="1" applyFont="1" applyFill="1" applyBorder="1"/>
    <xf numFmtId="0" fontId="0" fillId="4" borderId="10" xfId="0" applyFont="1" applyFill="1" applyBorder="1"/>
    <xf numFmtId="165" fontId="4" fillId="4" borderId="11" xfId="0" applyNumberFormat="1" applyFont="1" applyFill="1" applyBorder="1" applyAlignment="1"/>
    <xf numFmtId="166" fontId="2" fillId="3" borderId="0" xfId="0" applyNumberFormat="1" applyFont="1" applyFill="1" applyBorder="1"/>
    <xf numFmtId="167" fontId="0" fillId="3" borderId="0" xfId="0" applyNumberFormat="1" applyFont="1" applyFill="1" applyBorder="1"/>
    <xf numFmtId="166" fontId="2" fillId="0" borderId="0" xfId="0" applyNumberFormat="1" applyFont="1" applyFill="1" applyBorder="1"/>
    <xf numFmtId="0" fontId="0" fillId="4" borderId="10" xfId="0" applyNumberFormat="1" applyFont="1" applyFill="1" applyBorder="1" applyAlignment="1">
      <alignment horizontal="left" indent="1"/>
    </xf>
    <xf numFmtId="166" fontId="4" fillId="4" borderId="11" xfId="0" applyNumberFormat="1" applyFont="1" applyFill="1" applyBorder="1" applyAlignment="1"/>
    <xf numFmtId="0" fontId="0" fillId="3" borderId="0" xfId="0" applyNumberFormat="1" applyFont="1" applyFill="1" applyBorder="1" applyAlignment="1">
      <alignment horizontal="left" indent="1"/>
    </xf>
    <xf numFmtId="0" fontId="0" fillId="4" borderId="10" xfId="0" applyFont="1" applyFill="1" applyBorder="1" applyAlignment="1">
      <alignment horizontal="left" indent="1"/>
    </xf>
    <xf numFmtId="0" fontId="3" fillId="4" borderId="0" xfId="0" applyFont="1" applyFill="1" applyBorder="1" applyAlignment="1">
      <alignment horizontal="left"/>
    </xf>
    <xf numFmtId="0" fontId="0" fillId="3" borderId="0" xfId="0" applyFont="1" applyFill="1" applyBorder="1" applyAlignment="1">
      <alignment horizontal="left" indent="1"/>
    </xf>
    <xf numFmtId="0" fontId="5" fillId="0" borderId="0" xfId="0" applyFont="1" applyFill="1" applyBorder="1"/>
    <xf numFmtId="0" fontId="5" fillId="4" borderId="10" xfId="0" applyFont="1" applyFill="1" applyBorder="1" applyAlignment="1">
      <alignment horizontal="left"/>
    </xf>
    <xf numFmtId="0" fontId="5" fillId="3" borderId="0" xfId="0" applyFont="1" applyFill="1" applyBorder="1" applyAlignment="1">
      <alignment horizontal="left"/>
    </xf>
    <xf numFmtId="3" fontId="5" fillId="7" borderId="21" xfId="0" applyNumberFormat="1" applyFont="1" applyFill="1" applyBorder="1"/>
    <xf numFmtId="3" fontId="5" fillId="7" borderId="22" xfId="0" applyNumberFormat="1" applyFont="1" applyFill="1" applyBorder="1"/>
    <xf numFmtId="3" fontId="5" fillId="7" borderId="23" xfId="0" applyNumberFormat="1" applyFont="1" applyFill="1" applyBorder="1"/>
    <xf numFmtId="0" fontId="0" fillId="3" borderId="13" xfId="0" applyFont="1" applyFill="1" applyBorder="1"/>
    <xf numFmtId="0" fontId="13" fillId="5" borderId="10" xfId="0" applyFont="1" applyFill="1" applyBorder="1" applyAlignment="1">
      <alignment horizontal="left"/>
    </xf>
    <xf numFmtId="0" fontId="13" fillId="5" borderId="0" xfId="0" applyFont="1" applyFill="1" applyBorder="1" applyAlignment="1">
      <alignment horizontal="left"/>
    </xf>
    <xf numFmtId="0" fontId="14" fillId="5" borderId="0" xfId="0" applyFont="1" applyFill="1" applyBorder="1" applyAlignment="1"/>
    <xf numFmtId="0" fontId="14" fillId="5" borderId="11" xfId="0" applyFont="1" applyFill="1" applyBorder="1" applyAlignment="1"/>
    <xf numFmtId="0" fontId="13" fillId="4" borderId="10" xfId="0" applyFont="1" applyFill="1" applyBorder="1" applyAlignment="1">
      <alignment horizontal="left"/>
    </xf>
    <xf numFmtId="0" fontId="13" fillId="4" borderId="0" xfId="0" applyFont="1" applyFill="1" applyBorder="1" applyAlignment="1">
      <alignment horizontal="left"/>
    </xf>
    <xf numFmtId="0" fontId="14" fillId="4" borderId="0" xfId="0" applyFont="1" applyFill="1" applyBorder="1" applyAlignment="1"/>
    <xf numFmtId="0" fontId="14" fillId="4" borderId="11" xfId="0" applyFont="1" applyFill="1" applyBorder="1" applyAlignment="1"/>
    <xf numFmtId="0" fontId="2" fillId="4" borderId="18" xfId="0" applyFont="1" applyFill="1" applyBorder="1"/>
    <xf numFmtId="0" fontId="2" fillId="4" borderId="0" xfId="0" applyFont="1" applyFill="1" applyBorder="1"/>
    <xf numFmtId="0" fontId="2" fillId="5" borderId="19" xfId="0" applyFont="1" applyFill="1" applyBorder="1"/>
    <xf numFmtId="167" fontId="2" fillId="4" borderId="19" xfId="0" applyNumberFormat="1" applyFont="1" applyFill="1" applyBorder="1"/>
    <xf numFmtId="10" fontId="14" fillId="4" borderId="0" xfId="0" applyNumberFormat="1" applyFont="1" applyFill="1" applyBorder="1" applyAlignment="1"/>
    <xf numFmtId="167" fontId="2" fillId="4" borderId="18" xfId="0" applyNumberFormat="1" applyFont="1" applyFill="1" applyBorder="1"/>
    <xf numFmtId="167" fontId="2" fillId="4" borderId="0" xfId="0" applyNumberFormat="1" applyFont="1" applyFill="1" applyBorder="1"/>
    <xf numFmtId="0" fontId="4" fillId="4" borderId="0" xfId="0" applyFont="1" applyFill="1" applyBorder="1" applyAlignment="1"/>
    <xf numFmtId="0" fontId="9" fillId="6" borderId="18" xfId="0" applyFont="1" applyFill="1" applyBorder="1"/>
    <xf numFmtId="0" fontId="9" fillId="6" borderId="0" xfId="0" applyFont="1" applyFill="1" applyBorder="1"/>
    <xf numFmtId="0" fontId="9" fillId="6" borderId="19" xfId="0" applyFont="1" applyFill="1" applyBorder="1"/>
    <xf numFmtId="0" fontId="5" fillId="4" borderId="18" xfId="0" applyFont="1" applyFill="1" applyBorder="1" applyAlignment="1">
      <alignment horizontal="left"/>
    </xf>
    <xf numFmtId="0" fontId="5" fillId="3" borderId="18" xfId="0" applyFont="1" applyFill="1" applyBorder="1"/>
    <xf numFmtId="0" fontId="0" fillId="3" borderId="18" xfId="0" applyFont="1" applyFill="1" applyBorder="1"/>
    <xf numFmtId="0" fontId="0" fillId="3" borderId="0" xfId="0" applyFont="1" applyFill="1" applyBorder="1"/>
    <xf numFmtId="0" fontId="0" fillId="3" borderId="18" xfId="0" applyFont="1" applyFill="1" applyBorder="1" applyAlignment="1">
      <alignment horizontal="left" indent="1"/>
    </xf>
    <xf numFmtId="0" fontId="3" fillId="0" borderId="0" xfId="0" applyFont="1" applyBorder="1" applyAlignment="1">
      <alignment horizontal="left"/>
    </xf>
    <xf numFmtId="0" fontId="4" fillId="0" borderId="0" xfId="0" applyFont="1" applyBorder="1" applyAlignment="1"/>
    <xf numFmtId="0" fontId="2" fillId="0" borderId="11" xfId="0" applyFont="1" applyBorder="1"/>
    <xf numFmtId="0" fontId="2" fillId="0" borderId="10" xfId="0" applyFont="1" applyBorder="1"/>
    <xf numFmtId="0" fontId="0" fillId="3" borderId="0" xfId="0" applyFont="1" applyFill="1" applyBorder="1" applyAlignment="1">
      <alignment horizontal="left"/>
    </xf>
    <xf numFmtId="0" fontId="2" fillId="4" borderId="17" xfId="0" applyFont="1" applyFill="1" applyBorder="1"/>
    <xf numFmtId="0" fontId="2" fillId="5" borderId="17" xfId="0" applyFont="1" applyFill="1" applyBorder="1"/>
    <xf numFmtId="3" fontId="2" fillId="4" borderId="17" xfId="0" applyNumberFormat="1" applyFont="1" applyFill="1" applyBorder="1"/>
    <xf numFmtId="3" fontId="0" fillId="4" borderId="17" xfId="0" applyNumberFormat="1" applyFont="1" applyFill="1" applyBorder="1"/>
    <xf numFmtId="10" fontId="10" fillId="4" borderId="0" xfId="0" applyNumberFormat="1" applyFont="1" applyFill="1" applyBorder="1" applyAlignment="1"/>
    <xf numFmtId="3" fontId="11" fillId="4" borderId="0" xfId="0" applyNumberFormat="1" applyFont="1" applyFill="1" applyBorder="1" applyAlignment="1"/>
    <xf numFmtId="0" fontId="20" fillId="9" borderId="4" xfId="0" applyFont="1" applyFill="1" applyBorder="1"/>
    <xf numFmtId="0" fontId="20" fillId="9" borderId="16" xfId="0" applyFont="1" applyFill="1" applyBorder="1"/>
    <xf numFmtId="0" fontId="0" fillId="8" borderId="0" xfId="0" applyFill="1"/>
    <xf numFmtId="0" fontId="0" fillId="10" borderId="19" xfId="0" applyFill="1" applyBorder="1"/>
    <xf numFmtId="0" fontId="0" fillId="10" borderId="0" xfId="0" applyFill="1"/>
    <xf numFmtId="0" fontId="0" fillId="8" borderId="17" xfId="0" applyFill="1" applyBorder="1" applyAlignment="1">
      <alignment horizontal="left"/>
    </xf>
    <xf numFmtId="3" fontId="0" fillId="8" borderId="0" xfId="0" applyNumberFormat="1" applyFill="1"/>
    <xf numFmtId="3" fontId="5" fillId="12" borderId="22" xfId="0" applyNumberFormat="1" applyFont="1" applyFill="1" applyBorder="1"/>
    <xf numFmtId="168" fontId="0" fillId="8" borderId="0" xfId="0" applyNumberFormat="1" applyFill="1"/>
    <xf numFmtId="168" fontId="0" fillId="8" borderId="19" xfId="0" applyNumberFormat="1" applyFill="1" applyBorder="1"/>
    <xf numFmtId="0" fontId="0" fillId="3" borderId="18" xfId="0" applyFont="1" applyFill="1" applyBorder="1" applyAlignment="1">
      <alignment horizontal="left"/>
    </xf>
    <xf numFmtId="10" fontId="0" fillId="3" borderId="18" xfId="0" applyNumberFormat="1" applyFont="1" applyFill="1" applyBorder="1" applyAlignment="1">
      <alignment horizontal="left" indent="1"/>
    </xf>
    <xf numFmtId="0" fontId="0" fillId="3" borderId="18" xfId="0" applyNumberFormat="1" applyFont="1" applyFill="1" applyBorder="1" applyAlignment="1">
      <alignment horizontal="left" indent="1"/>
    </xf>
    <xf numFmtId="0" fontId="5" fillId="7" borderId="21" xfId="0" applyFont="1" applyFill="1" applyBorder="1" applyAlignment="1">
      <alignment horizontal="left"/>
    </xf>
    <xf numFmtId="0" fontId="8" fillId="6" borderId="15" xfId="0" applyFont="1" applyFill="1" applyBorder="1" applyAlignment="1">
      <alignment horizontal="left"/>
    </xf>
    <xf numFmtId="0" fontId="5" fillId="3" borderId="18" xfId="0" applyFont="1" applyFill="1" applyBorder="1" applyAlignment="1">
      <alignment horizontal="left"/>
    </xf>
    <xf numFmtId="0" fontId="5" fillId="7" borderId="25" xfId="0" applyFont="1" applyFill="1" applyBorder="1" applyAlignment="1">
      <alignment horizontal="left"/>
    </xf>
    <xf numFmtId="10" fontId="18" fillId="3" borderId="18" xfId="0" applyNumberFormat="1" applyFont="1" applyFill="1" applyBorder="1"/>
    <xf numFmtId="0" fontId="0" fillId="8" borderId="0" xfId="0" applyFill="1" applyBorder="1"/>
    <xf numFmtId="0" fontId="0" fillId="10" borderId="0" xfId="0" applyFill="1" applyBorder="1"/>
    <xf numFmtId="3" fontId="0" fillId="8" borderId="0" xfId="0" applyNumberFormat="1" applyFill="1" applyBorder="1"/>
    <xf numFmtId="168" fontId="0" fillId="8" borderId="0" xfId="0" applyNumberFormat="1" applyFill="1" applyBorder="1"/>
    <xf numFmtId="0" fontId="0" fillId="10" borderId="17" xfId="0" applyFill="1" applyBorder="1"/>
    <xf numFmtId="0" fontId="0" fillId="11" borderId="17" xfId="0" applyFill="1" applyBorder="1"/>
    <xf numFmtId="3" fontId="0" fillId="10" borderId="17" xfId="0" applyNumberFormat="1" applyFill="1" applyBorder="1"/>
    <xf numFmtId="3" fontId="5" fillId="12" borderId="20" xfId="0" applyNumberFormat="1" applyFont="1" applyFill="1" applyBorder="1"/>
    <xf numFmtId="0" fontId="20" fillId="9" borderId="14" xfId="0" applyFont="1" applyFill="1" applyBorder="1"/>
    <xf numFmtId="0" fontId="2" fillId="4" borderId="10" xfId="0" applyFont="1" applyFill="1" applyBorder="1"/>
    <xf numFmtId="0" fontId="23" fillId="3" borderId="0" xfId="0" applyFont="1" applyFill="1" applyBorder="1" applyAlignment="1">
      <alignment horizontal="left"/>
    </xf>
    <xf numFmtId="167" fontId="23" fillId="3" borderId="0" xfId="0" applyNumberFormat="1" applyFont="1" applyFill="1" applyBorder="1"/>
    <xf numFmtId="0" fontId="23" fillId="3" borderId="0" xfId="0" applyFont="1" applyFill="1" applyBorder="1"/>
    <xf numFmtId="0" fontId="13" fillId="4" borderId="0" xfId="0" applyFont="1" applyFill="1" applyBorder="1" applyAlignment="1">
      <alignment horizontal="right"/>
    </xf>
    <xf numFmtId="9" fontId="11" fillId="4" borderId="0" xfId="0" applyNumberFormat="1" applyFont="1" applyFill="1" applyBorder="1"/>
    <xf numFmtId="0" fontId="0" fillId="10" borderId="14" xfId="0" applyFill="1" applyBorder="1"/>
    <xf numFmtId="9" fontId="4" fillId="4" borderId="0" xfId="0" applyNumberFormat="1" applyFont="1" applyFill="1" applyBorder="1" applyAlignment="1"/>
    <xf numFmtId="0" fontId="27" fillId="0" borderId="35" xfId="0" applyFont="1" applyBorder="1"/>
    <xf numFmtId="0" fontId="27" fillId="0" borderId="36" xfId="0" applyFont="1" applyBorder="1"/>
    <xf numFmtId="0" fontId="27" fillId="0" borderId="37" xfId="0" applyFont="1" applyBorder="1"/>
    <xf numFmtId="0" fontId="27" fillId="0" borderId="38" xfId="0" applyFont="1" applyBorder="1"/>
    <xf numFmtId="0" fontId="27" fillId="0" borderId="2" xfId="0" applyFont="1" applyBorder="1"/>
    <xf numFmtId="0" fontId="27" fillId="0" borderId="39" xfId="0" applyFont="1" applyBorder="1"/>
    <xf numFmtId="0" fontId="34" fillId="6" borderId="40" xfId="0" applyFont="1" applyFill="1" applyBorder="1" applyAlignment="1">
      <alignment vertical="center"/>
    </xf>
    <xf numFmtId="0" fontId="34" fillId="6" borderId="41" xfId="0" applyFont="1" applyFill="1" applyBorder="1" applyAlignment="1">
      <alignment vertical="center"/>
    </xf>
    <xf numFmtId="0" fontId="34" fillId="3" borderId="40" xfId="0" applyFont="1" applyFill="1" applyBorder="1" applyAlignment="1">
      <alignment vertical="center"/>
    </xf>
    <xf numFmtId="0" fontId="34" fillId="3" borderId="41" xfId="0" applyFont="1" applyFill="1" applyBorder="1" applyAlignment="1">
      <alignment vertical="center"/>
    </xf>
    <xf numFmtId="0" fontId="34" fillId="3" borderId="9" xfId="0" applyFont="1" applyFill="1" applyBorder="1" applyAlignment="1">
      <alignment vertical="center"/>
    </xf>
    <xf numFmtId="0" fontId="27" fillId="0" borderId="42" xfId="0" applyFont="1" applyBorder="1"/>
    <xf numFmtId="0" fontId="27" fillId="0" borderId="43" xfId="0" applyFont="1" applyBorder="1"/>
    <xf numFmtId="0" fontId="24" fillId="0" borderId="44" xfId="0" applyFont="1" applyBorder="1" applyAlignment="1">
      <alignment horizontal="center"/>
    </xf>
    <xf numFmtId="0" fontId="27" fillId="0" borderId="48" xfId="0" applyFont="1" applyBorder="1"/>
    <xf numFmtId="0" fontId="27" fillId="0" borderId="49" xfId="0" applyFont="1" applyBorder="1"/>
    <xf numFmtId="0" fontId="24" fillId="0" borderId="50" xfId="0" applyFont="1" applyBorder="1" applyAlignment="1">
      <alignment horizontal="center"/>
    </xf>
    <xf numFmtId="0" fontId="24" fillId="0" borderId="51" xfId="0" applyFont="1" applyBorder="1" applyAlignment="1">
      <alignment horizontal="center"/>
    </xf>
    <xf numFmtId="0" fontId="24" fillId="0" borderId="52" xfId="0" applyFont="1" applyBorder="1" applyAlignment="1">
      <alignment horizontal="center"/>
    </xf>
    <xf numFmtId="0" fontId="24" fillId="0" borderId="53" xfId="0" applyFont="1" applyBorder="1" applyAlignment="1">
      <alignment horizontal="center"/>
    </xf>
    <xf numFmtId="0" fontId="27" fillId="0" borderId="54" xfId="0" applyFont="1" applyBorder="1"/>
    <xf numFmtId="0" fontId="27" fillId="0" borderId="55" xfId="0" applyFont="1" applyBorder="1"/>
    <xf numFmtId="0" fontId="24" fillId="0" borderId="56" xfId="0" applyFont="1" applyBorder="1" applyAlignment="1">
      <alignment horizontal="center"/>
    </xf>
    <xf numFmtId="0" fontId="24" fillId="0" borderId="37" xfId="0" applyFont="1" applyBorder="1"/>
    <xf numFmtId="0" fontId="24" fillId="0" borderId="38" xfId="0" applyFont="1" applyBorder="1"/>
    <xf numFmtId="0" fontId="24" fillId="0" borderId="35" xfId="0" applyFont="1" applyBorder="1"/>
    <xf numFmtId="0" fontId="24" fillId="0" borderId="58" xfId="0" applyFont="1" applyBorder="1"/>
    <xf numFmtId="0" fontId="27" fillId="0" borderId="58" xfId="0" applyFont="1" applyBorder="1"/>
    <xf numFmtId="0" fontId="26" fillId="0" borderId="37" xfId="0" applyFont="1" applyBorder="1"/>
    <xf numFmtId="0" fontId="26" fillId="0" borderId="58" xfId="0" applyFont="1" applyBorder="1"/>
    <xf numFmtId="0" fontId="26" fillId="0" borderId="35" xfId="0" applyFont="1" applyBorder="1"/>
    <xf numFmtId="0" fontId="36" fillId="0" borderId="44" xfId="0" applyFont="1" applyBorder="1"/>
    <xf numFmtId="0" fontId="26" fillId="0" borderId="38" xfId="0" applyFont="1" applyBorder="1"/>
    <xf numFmtId="3" fontId="24" fillId="0" borderId="37" xfId="0" applyNumberFormat="1" applyFont="1" applyBorder="1"/>
    <xf numFmtId="3" fontId="24" fillId="0" borderId="58" xfId="0" applyNumberFormat="1" applyFont="1" applyBorder="1"/>
    <xf numFmtId="3" fontId="24" fillId="0" borderId="35" xfId="0" applyNumberFormat="1" applyFont="1" applyBorder="1"/>
    <xf numFmtId="3" fontId="24" fillId="0" borderId="38" xfId="0" applyNumberFormat="1" applyFont="1" applyBorder="1"/>
    <xf numFmtId="3" fontId="27" fillId="0" borderId="37" xfId="0" applyNumberFormat="1" applyFont="1" applyBorder="1"/>
    <xf numFmtId="3" fontId="27" fillId="0" borderId="58" xfId="0" applyNumberFormat="1" applyFont="1" applyBorder="1"/>
    <xf numFmtId="3" fontId="27" fillId="0" borderId="35" xfId="0" applyNumberFormat="1" applyFont="1" applyBorder="1"/>
    <xf numFmtId="3" fontId="35" fillId="0" borderId="44" xfId="0" applyNumberFormat="1" applyFont="1" applyBorder="1"/>
    <xf numFmtId="3" fontId="27" fillId="0" borderId="38" xfId="0" applyNumberFormat="1" applyFont="1" applyBorder="1"/>
    <xf numFmtId="3" fontId="24" fillId="0" borderId="59" xfId="0" applyNumberFormat="1" applyFont="1" applyBorder="1"/>
    <xf numFmtId="3" fontId="24" fillId="0" borderId="36" xfId="0" applyNumberFormat="1" applyFont="1" applyBorder="1"/>
    <xf numFmtId="3" fontId="24" fillId="0" borderId="64" xfId="0" applyNumberFormat="1" applyFont="1" applyBorder="1"/>
    <xf numFmtId="3" fontId="24" fillId="0" borderId="65" xfId="0" applyNumberFormat="1" applyFont="1" applyBorder="1"/>
    <xf numFmtId="4" fontId="24" fillId="0" borderId="35" xfId="0" applyNumberFormat="1" applyFont="1" applyBorder="1"/>
    <xf numFmtId="4" fontId="24" fillId="0" borderId="57" xfId="0" applyNumberFormat="1" applyFont="1" applyBorder="1"/>
    <xf numFmtId="4" fontId="24" fillId="0" borderId="57" xfId="0" applyNumberFormat="1" applyFont="1" applyBorder="1" applyAlignment="1">
      <alignment horizontal="right"/>
    </xf>
    <xf numFmtId="0" fontId="5" fillId="4" borderId="67" xfId="0" applyFont="1" applyFill="1" applyBorder="1" applyAlignment="1">
      <alignment horizontal="center"/>
    </xf>
    <xf numFmtId="0" fontId="27" fillId="3" borderId="0" xfId="0" applyFont="1" applyFill="1" applyBorder="1"/>
    <xf numFmtId="0" fontId="29" fillId="3" borderId="0" xfId="0" applyFont="1" applyFill="1" applyBorder="1"/>
    <xf numFmtId="0" fontId="30" fillId="3" borderId="0" xfId="0" applyFont="1" applyFill="1" applyBorder="1"/>
    <xf numFmtId="0" fontId="29" fillId="3" borderId="0" xfId="0" applyFont="1" applyFill="1" applyBorder="1" applyAlignment="1">
      <alignment horizontal="left" indent="1"/>
    </xf>
    <xf numFmtId="0" fontId="29" fillId="3" borderId="0" xfId="0" applyFont="1" applyFill="1" applyBorder="1" applyAlignment="1">
      <alignment horizontal="left"/>
    </xf>
    <xf numFmtId="0" fontId="29" fillId="3" borderId="0" xfId="0" applyFont="1" applyFill="1" applyBorder="1" applyAlignment="1">
      <alignment vertical="top" wrapText="1"/>
    </xf>
    <xf numFmtId="0" fontId="33" fillId="3" borderId="0" xfId="0" applyFont="1" applyFill="1" applyBorder="1"/>
    <xf numFmtId="0" fontId="10" fillId="4" borderId="0" xfId="0" applyFont="1" applyFill="1" applyBorder="1" applyAlignment="1">
      <alignment horizontal="left"/>
    </xf>
    <xf numFmtId="0" fontId="27" fillId="4" borderId="0" xfId="0" applyFont="1" applyFill="1" applyBorder="1"/>
    <xf numFmtId="0" fontId="24" fillId="4" borderId="0" xfId="0" applyFont="1" applyFill="1" applyBorder="1"/>
    <xf numFmtId="0" fontId="24" fillId="4" borderId="0" xfId="0" applyFont="1" applyFill="1" applyBorder="1" applyAlignment="1"/>
    <xf numFmtId="0" fontId="31" fillId="4" borderId="0" xfId="0" applyFont="1" applyFill="1" applyBorder="1" applyAlignment="1">
      <alignment horizontal="left"/>
    </xf>
    <xf numFmtId="0" fontId="25" fillId="4" borderId="0" xfId="0" applyFont="1" applyFill="1" applyBorder="1"/>
    <xf numFmtId="0" fontId="27" fillId="4" borderId="0" xfId="0" applyFont="1" applyFill="1" applyBorder="1" applyAlignment="1">
      <alignment horizontal="right"/>
    </xf>
    <xf numFmtId="0" fontId="27" fillId="4" borderId="3" xfId="0" applyFont="1" applyFill="1" applyBorder="1"/>
    <xf numFmtId="0" fontId="27" fillId="4" borderId="4" xfId="0" applyFont="1" applyFill="1" applyBorder="1"/>
    <xf numFmtId="0" fontId="27" fillId="4" borderId="5" xfId="0" applyFont="1" applyFill="1" applyBorder="1"/>
    <xf numFmtId="0" fontId="27" fillId="4" borderId="10" xfId="0" applyFont="1" applyFill="1" applyBorder="1"/>
    <xf numFmtId="0" fontId="27" fillId="4" borderId="11" xfId="0" applyFont="1" applyFill="1" applyBorder="1"/>
    <xf numFmtId="0" fontId="27" fillId="4" borderId="69" xfId="0" applyFont="1" applyFill="1" applyBorder="1"/>
    <xf numFmtId="0" fontId="27" fillId="4" borderId="12" xfId="0" applyFont="1" applyFill="1" applyBorder="1"/>
    <xf numFmtId="0" fontId="27" fillId="4" borderId="70" xfId="0" applyFont="1" applyFill="1" applyBorder="1"/>
    <xf numFmtId="167" fontId="25" fillId="4" borderId="0" xfId="0" applyNumberFormat="1" applyFont="1" applyFill="1" applyBorder="1" applyAlignment="1"/>
    <xf numFmtId="9" fontId="25" fillId="4" borderId="0" xfId="0" applyNumberFormat="1" applyFont="1" applyFill="1" applyBorder="1" applyAlignment="1"/>
    <xf numFmtId="9" fontId="29" fillId="4" borderId="0" xfId="0" applyNumberFormat="1" applyFont="1" applyFill="1" applyBorder="1" applyAlignment="1"/>
    <xf numFmtId="0" fontId="24" fillId="3" borderId="71" xfId="0" applyFont="1" applyFill="1" applyBorder="1" applyAlignment="1">
      <alignment horizontal="center"/>
    </xf>
    <xf numFmtId="0" fontId="24" fillId="3" borderId="68" xfId="0" applyFont="1" applyFill="1" applyBorder="1" applyAlignment="1">
      <alignment horizontal="center"/>
    </xf>
    <xf numFmtId="0" fontId="24" fillId="3" borderId="72" xfId="0" applyFont="1" applyFill="1" applyBorder="1" applyAlignment="1">
      <alignment horizontal="center"/>
    </xf>
    <xf numFmtId="170" fontId="26" fillId="3" borderId="73" xfId="0" applyNumberFormat="1" applyFont="1" applyFill="1" applyBorder="1"/>
    <xf numFmtId="170" fontId="26" fillId="3" borderId="39" xfId="0" applyNumberFormat="1" applyFont="1" applyFill="1" applyBorder="1"/>
    <xf numFmtId="170" fontId="26" fillId="3" borderId="74" xfId="0" applyNumberFormat="1" applyFont="1" applyFill="1" applyBorder="1"/>
    <xf numFmtId="3" fontId="24" fillId="3" borderId="73" xfId="0" applyNumberFormat="1" applyFont="1" applyFill="1" applyBorder="1"/>
    <xf numFmtId="3" fontId="24" fillId="3" borderId="39" xfId="0" applyNumberFormat="1" applyFont="1" applyFill="1" applyBorder="1"/>
    <xf numFmtId="3" fontId="24" fillId="3" borderId="74" xfId="0" applyNumberFormat="1" applyFont="1" applyFill="1" applyBorder="1"/>
    <xf numFmtId="3" fontId="27" fillId="3" borderId="73" xfId="0" applyNumberFormat="1" applyFont="1" applyFill="1" applyBorder="1"/>
    <xf numFmtId="3" fontId="27" fillId="3" borderId="39" xfId="0" applyNumberFormat="1" applyFont="1" applyFill="1" applyBorder="1"/>
    <xf numFmtId="3" fontId="27" fillId="3" borderId="74" xfId="0" applyNumberFormat="1" applyFont="1" applyFill="1" applyBorder="1"/>
    <xf numFmtId="3" fontId="27" fillId="3" borderId="73" xfId="0" applyNumberFormat="1" applyFont="1" applyFill="1" applyBorder="1" applyAlignment="1">
      <alignment horizontal="right"/>
    </xf>
    <xf numFmtId="3" fontId="27" fillId="3" borderId="39" xfId="0" applyNumberFormat="1" applyFont="1" applyFill="1" applyBorder="1" applyAlignment="1">
      <alignment horizontal="right"/>
    </xf>
    <xf numFmtId="3" fontId="27" fillId="3" borderId="74" xfId="0" applyNumberFormat="1" applyFont="1" applyFill="1" applyBorder="1" applyAlignment="1">
      <alignment horizontal="right"/>
    </xf>
    <xf numFmtId="3" fontId="24" fillId="3" borderId="75" xfId="0" applyNumberFormat="1" applyFont="1" applyFill="1" applyBorder="1" applyAlignment="1">
      <alignment horizontal="right"/>
    </xf>
    <xf numFmtId="3" fontId="24" fillId="3" borderId="76" xfId="0" applyNumberFormat="1" applyFont="1" applyFill="1" applyBorder="1" applyAlignment="1">
      <alignment horizontal="right"/>
    </xf>
    <xf numFmtId="3" fontId="24" fillId="3" borderId="77" xfId="0" applyNumberFormat="1" applyFont="1" applyFill="1" applyBorder="1" applyAlignment="1">
      <alignment horizontal="right"/>
    </xf>
    <xf numFmtId="3" fontId="24" fillId="3" borderId="78" xfId="0" applyNumberFormat="1" applyFont="1" applyFill="1" applyBorder="1" applyAlignment="1">
      <alignment horizontal="right"/>
    </xf>
    <xf numFmtId="3" fontId="24" fillId="3" borderId="79" xfId="0" applyNumberFormat="1" applyFont="1" applyFill="1" applyBorder="1" applyAlignment="1">
      <alignment horizontal="right"/>
    </xf>
    <xf numFmtId="3" fontId="24" fillId="3" borderId="80" xfId="0" applyNumberFormat="1" applyFont="1" applyFill="1" applyBorder="1" applyAlignment="1">
      <alignment horizontal="right"/>
    </xf>
    <xf numFmtId="3" fontId="27" fillId="0" borderId="81" xfId="0" applyNumberFormat="1" applyFont="1" applyBorder="1"/>
    <xf numFmtId="3" fontId="27" fillId="0" borderId="82" xfId="0" applyNumberFormat="1" applyFont="1" applyBorder="1"/>
    <xf numFmtId="3" fontId="35" fillId="0" borderId="83" xfId="0" applyNumberFormat="1" applyFont="1" applyBorder="1"/>
    <xf numFmtId="3" fontId="27" fillId="3" borderId="84" xfId="0" applyNumberFormat="1" applyFont="1" applyFill="1" applyBorder="1" applyAlignment="1">
      <alignment horizontal="right"/>
    </xf>
    <xf numFmtId="3" fontId="27" fillId="3" borderId="85" xfId="0" applyNumberFormat="1" applyFont="1" applyFill="1" applyBorder="1" applyAlignment="1">
      <alignment horizontal="right"/>
    </xf>
    <xf numFmtId="3" fontId="27" fillId="3" borderId="86" xfId="0" applyNumberFormat="1" applyFont="1" applyFill="1" applyBorder="1" applyAlignment="1">
      <alignment horizontal="right"/>
    </xf>
    <xf numFmtId="3" fontId="24" fillId="7" borderId="61" xfId="0" applyNumberFormat="1" applyFont="1" applyFill="1" applyBorder="1"/>
    <xf numFmtId="3" fontId="24" fillId="7" borderId="62" xfId="0" applyNumberFormat="1" applyFont="1" applyFill="1" applyBorder="1"/>
    <xf numFmtId="3" fontId="24" fillId="7" borderId="21" xfId="0" applyNumberFormat="1" applyFont="1" applyFill="1" applyBorder="1" applyAlignment="1">
      <alignment horizontal="right"/>
    </xf>
    <xf numFmtId="3" fontId="24" fillId="7" borderId="22" xfId="0" applyNumberFormat="1" applyFont="1" applyFill="1" applyBorder="1" applyAlignment="1">
      <alignment horizontal="right"/>
    </xf>
    <xf numFmtId="3" fontId="24" fillId="7" borderId="23" xfId="0" applyNumberFormat="1" applyFont="1" applyFill="1" applyBorder="1" applyAlignment="1">
      <alignment horizontal="right"/>
    </xf>
    <xf numFmtId="17" fontId="37" fillId="4" borderId="0" xfId="0" applyNumberFormat="1" applyFont="1" applyFill="1" applyBorder="1" applyAlignment="1">
      <alignment horizontal="left"/>
    </xf>
    <xf numFmtId="166" fontId="24" fillId="0" borderId="73" xfId="0" applyNumberFormat="1" applyFont="1" applyBorder="1"/>
    <xf numFmtId="1" fontId="37" fillId="4" borderId="0" xfId="0" applyNumberFormat="1" applyFont="1" applyFill="1" applyBorder="1" applyAlignment="1">
      <alignment horizontal="left"/>
    </xf>
    <xf numFmtId="171" fontId="37" fillId="4" borderId="0" xfId="0" applyNumberFormat="1" applyFont="1" applyFill="1" applyBorder="1" applyAlignment="1">
      <alignment horizontal="left"/>
    </xf>
    <xf numFmtId="0" fontId="0" fillId="3" borderId="41" xfId="0" applyFont="1" applyFill="1" applyBorder="1" applyAlignment="1">
      <alignment horizontal="left"/>
    </xf>
    <xf numFmtId="0" fontId="19" fillId="9" borderId="15" xfId="0" applyFont="1" applyFill="1" applyBorder="1" applyAlignment="1">
      <alignment horizontal="left"/>
    </xf>
    <xf numFmtId="0" fontId="5" fillId="8" borderId="18" xfId="0" applyFont="1" applyFill="1" applyBorder="1" applyAlignment="1">
      <alignment horizontal="left"/>
    </xf>
    <xf numFmtId="0" fontId="5" fillId="10" borderId="18" xfId="0" applyFont="1" applyFill="1" applyBorder="1" applyAlignment="1">
      <alignment horizontal="left"/>
    </xf>
    <xf numFmtId="0" fontId="5" fillId="8" borderId="19" xfId="0" applyFont="1" applyFill="1" applyBorder="1" applyAlignment="1">
      <alignment horizontal="left"/>
    </xf>
    <xf numFmtId="0" fontId="5" fillId="10" borderId="19" xfId="0" applyFont="1" applyFill="1" applyBorder="1" applyAlignment="1">
      <alignment horizontal="left"/>
    </xf>
    <xf numFmtId="0" fontId="0" fillId="3" borderId="19" xfId="0" applyFont="1" applyFill="1" applyBorder="1" applyAlignment="1">
      <alignment horizontal="left"/>
    </xf>
    <xf numFmtId="0" fontId="0" fillId="3" borderId="19" xfId="0" applyFont="1" applyFill="1" applyBorder="1" applyAlignment="1">
      <alignment horizontal="center"/>
    </xf>
    <xf numFmtId="0" fontId="20" fillId="9" borderId="87" xfId="0" applyFont="1" applyFill="1" applyBorder="1" applyAlignment="1">
      <alignment horizontal="center"/>
    </xf>
    <xf numFmtId="0" fontId="20" fillId="9" borderId="16" xfId="0" applyFont="1" applyFill="1" applyBorder="1" applyAlignment="1">
      <alignment horizontal="center"/>
    </xf>
    <xf numFmtId="0" fontId="0" fillId="4" borderId="0" xfId="0" applyFont="1" applyFill="1" applyBorder="1"/>
    <xf numFmtId="172" fontId="23" fillId="3" borderId="0" xfId="0" applyNumberFormat="1" applyFont="1" applyFill="1" applyBorder="1"/>
    <xf numFmtId="10" fontId="11" fillId="4" borderId="0" xfId="0" applyNumberFormat="1" applyFont="1" applyFill="1" applyBorder="1" applyAlignment="1">
      <alignment horizontal="right"/>
    </xf>
    <xf numFmtId="0" fontId="0" fillId="10" borderId="19" xfId="0" applyFont="1" applyFill="1" applyBorder="1" applyAlignment="1">
      <alignment horizontal="left"/>
    </xf>
    <xf numFmtId="0" fontId="0" fillId="7" borderId="23" xfId="0" applyFont="1" applyFill="1" applyBorder="1" applyAlignment="1">
      <alignment horizontal="center"/>
    </xf>
    <xf numFmtId="0" fontId="0" fillId="8" borderId="18" xfId="0" applyFont="1" applyFill="1" applyBorder="1" applyAlignment="1">
      <alignment horizontal="left"/>
    </xf>
    <xf numFmtId="0" fontId="0" fillId="8" borderId="18" xfId="0" applyFont="1" applyFill="1" applyBorder="1" applyAlignment="1">
      <alignment horizontal="left" indent="1"/>
    </xf>
    <xf numFmtId="0" fontId="0" fillId="8" borderId="19" xfId="0" applyFont="1" applyFill="1" applyBorder="1" applyAlignment="1">
      <alignment horizontal="center"/>
    </xf>
    <xf numFmtId="3" fontId="35" fillId="0" borderId="60" xfId="0" applyNumberFormat="1" applyFont="1" applyBorder="1"/>
    <xf numFmtId="3" fontId="35" fillId="7" borderId="63" xfId="0" applyNumberFormat="1" applyFont="1" applyFill="1" applyBorder="1" applyAlignment="1">
      <alignment horizontal="right"/>
    </xf>
    <xf numFmtId="3" fontId="35" fillId="0" borderId="66" xfId="0" applyNumberFormat="1" applyFont="1" applyBorder="1"/>
    <xf numFmtId="0" fontId="38" fillId="4" borderId="10" xfId="0" applyFont="1" applyFill="1" applyBorder="1" applyAlignment="1">
      <alignment horizontal="left"/>
    </xf>
    <xf numFmtId="0" fontId="39" fillId="4" borderId="0" xfId="0" applyFont="1" applyFill="1" applyBorder="1" applyAlignment="1">
      <alignment horizontal="left"/>
    </xf>
    <xf numFmtId="0" fontId="23" fillId="4" borderId="0" xfId="0" applyFont="1" applyFill="1" applyBorder="1" applyAlignment="1"/>
    <xf numFmtId="0" fontId="38" fillId="4" borderId="11" xfId="0" applyFont="1" applyFill="1" applyBorder="1" applyAlignment="1"/>
    <xf numFmtId="0" fontId="38" fillId="3" borderId="0" xfId="0" applyFont="1" applyFill="1" applyBorder="1" applyAlignment="1">
      <alignment horizontal="left"/>
    </xf>
    <xf numFmtId="10" fontId="23" fillId="3" borderId="0" xfId="0" applyNumberFormat="1" applyFont="1" applyFill="1" applyBorder="1"/>
    <xf numFmtId="0" fontId="0" fillId="8" borderId="21" xfId="0" applyFont="1" applyFill="1" applyBorder="1" applyAlignment="1">
      <alignment horizontal="left"/>
    </xf>
    <xf numFmtId="0" fontId="5" fillId="8" borderId="23" xfId="0" applyFont="1" applyFill="1" applyBorder="1" applyAlignment="1">
      <alignment horizontal="left"/>
    </xf>
    <xf numFmtId="0" fontId="10" fillId="4" borderId="0" xfId="0" applyFont="1" applyFill="1" applyBorder="1" applyAlignment="1">
      <alignment horizontal="left"/>
    </xf>
    <xf numFmtId="0" fontId="3" fillId="4" borderId="0" xfId="0" applyFont="1" applyFill="1" applyBorder="1" applyAlignment="1">
      <alignment horizontal="left"/>
    </xf>
    <xf numFmtId="0" fontId="5" fillId="7" borderId="27" xfId="0" applyFont="1" applyFill="1" applyBorder="1" applyAlignment="1">
      <alignment horizontal="left"/>
    </xf>
    <xf numFmtId="0" fontId="17" fillId="3" borderId="0" xfId="0" applyFont="1" applyFill="1" applyBorder="1"/>
    <xf numFmtId="0" fontId="40" fillId="4" borderId="10" xfId="0" applyFont="1" applyFill="1" applyBorder="1" applyAlignment="1">
      <alignment horizontal="left"/>
    </xf>
    <xf numFmtId="0" fontId="41" fillId="4" borderId="0" xfId="0" applyFont="1" applyFill="1" applyBorder="1" applyAlignment="1">
      <alignment horizontal="left"/>
    </xf>
    <xf numFmtId="0" fontId="17" fillId="4" borderId="0" xfId="0" applyFont="1" applyFill="1" applyBorder="1" applyAlignment="1"/>
    <xf numFmtId="0" fontId="40" fillId="4" borderId="11" xfId="0" applyFont="1" applyFill="1" applyBorder="1" applyAlignment="1"/>
    <xf numFmtId="0" fontId="40" fillId="3" borderId="0" xfId="0" applyFont="1" applyFill="1" applyBorder="1" applyAlignment="1">
      <alignment horizontal="left"/>
    </xf>
    <xf numFmtId="0" fontId="17" fillId="3" borderId="18" xfId="0" applyFont="1" applyFill="1" applyBorder="1" applyAlignment="1">
      <alignment horizontal="left"/>
    </xf>
    <xf numFmtId="0" fontId="17" fillId="3" borderId="19" xfId="0" applyFont="1" applyFill="1" applyBorder="1" applyAlignment="1">
      <alignment horizontal="center"/>
    </xf>
    <xf numFmtId="172" fontId="17" fillId="3" borderId="0" xfId="0" applyNumberFormat="1" applyFont="1" applyFill="1" applyBorder="1"/>
    <xf numFmtId="0" fontId="17" fillId="4" borderId="10" xfId="0" applyFont="1" applyFill="1" applyBorder="1" applyAlignment="1">
      <alignment horizontal="left"/>
    </xf>
    <xf numFmtId="0" fontId="17" fillId="4" borderId="11" xfId="0" applyFont="1" applyFill="1" applyBorder="1" applyAlignment="1"/>
    <xf numFmtId="0" fontId="17" fillId="3" borderId="0" xfId="0" applyFont="1" applyFill="1" applyBorder="1" applyAlignment="1">
      <alignment horizontal="left"/>
    </xf>
    <xf numFmtId="0" fontId="40" fillId="0" borderId="0" xfId="0" applyFont="1" applyFill="1" applyBorder="1"/>
    <xf numFmtId="0" fontId="40" fillId="4" borderId="10" xfId="0" applyFont="1" applyFill="1" applyBorder="1"/>
    <xf numFmtId="0" fontId="42" fillId="4" borderId="0" xfId="0" applyFont="1" applyFill="1" applyBorder="1" applyAlignment="1">
      <alignment horizontal="left"/>
    </xf>
    <xf numFmtId="0" fontId="40" fillId="4" borderId="0" xfId="0" applyFont="1" applyFill="1" applyBorder="1" applyAlignment="1"/>
    <xf numFmtId="0" fontId="40" fillId="3" borderId="0" xfId="0" applyFont="1" applyFill="1" applyBorder="1"/>
    <xf numFmtId="0" fontId="17" fillId="13" borderId="15" xfId="0" applyFont="1" applyFill="1" applyBorder="1" applyAlignment="1">
      <alignment horizontal="left"/>
    </xf>
    <xf numFmtId="10" fontId="17" fillId="13" borderId="15" xfId="0" applyNumberFormat="1" applyFont="1" applyFill="1" applyBorder="1"/>
    <xf numFmtId="10" fontId="17" fillId="13" borderId="4" xfId="0" applyNumberFormat="1" applyFont="1" applyFill="1" applyBorder="1"/>
    <xf numFmtId="167" fontId="17" fillId="14" borderId="14" xfId="0" applyNumberFormat="1" applyFont="1" applyFill="1" applyBorder="1"/>
    <xf numFmtId="10" fontId="17" fillId="3" borderId="18" xfId="0" applyNumberFormat="1" applyFont="1" applyFill="1" applyBorder="1"/>
    <xf numFmtId="10" fontId="17" fillId="3" borderId="0" xfId="0" applyNumberFormat="1" applyFont="1" applyFill="1" applyBorder="1"/>
    <xf numFmtId="0" fontId="17" fillId="4" borderId="17" xfId="0" applyFont="1" applyFill="1" applyBorder="1"/>
    <xf numFmtId="0" fontId="17" fillId="3" borderId="29" xfId="0" applyFont="1" applyFill="1" applyBorder="1" applyAlignment="1">
      <alignment horizontal="left"/>
    </xf>
    <xf numFmtId="10" fontId="17" fillId="3" borderId="29" xfId="0" applyNumberFormat="1" applyFont="1" applyFill="1" applyBorder="1"/>
    <xf numFmtId="10" fontId="17" fillId="3" borderId="30" xfId="0" applyNumberFormat="1" applyFont="1" applyFill="1" applyBorder="1"/>
    <xf numFmtId="10" fontId="17" fillId="3" borderId="88" xfId="0" applyNumberFormat="1" applyFont="1" applyFill="1" applyBorder="1"/>
    <xf numFmtId="0" fontId="17" fillId="4" borderId="34" xfId="0" applyFont="1" applyFill="1" applyBorder="1"/>
    <xf numFmtId="3" fontId="5" fillId="7" borderId="20" xfId="0" applyNumberFormat="1" applyFont="1" applyFill="1" applyBorder="1"/>
    <xf numFmtId="0" fontId="17" fillId="3" borderId="88" xfId="0" applyFont="1" applyFill="1" applyBorder="1" applyAlignment="1">
      <alignment horizontal="center"/>
    </xf>
    <xf numFmtId="172" fontId="17" fillId="3" borderId="18" xfId="0" applyNumberFormat="1" applyFont="1" applyFill="1" applyBorder="1"/>
    <xf numFmtId="0" fontId="5" fillId="7" borderId="90" xfId="0" applyFont="1" applyFill="1" applyBorder="1" applyAlignment="1">
      <alignment horizontal="left"/>
    </xf>
    <xf numFmtId="0" fontId="5" fillId="7" borderId="67" xfId="0" applyFont="1" applyFill="1" applyBorder="1" applyAlignment="1">
      <alignment horizontal="left"/>
    </xf>
    <xf numFmtId="0" fontId="0" fillId="13" borderId="18" xfId="0" applyFill="1" applyBorder="1" applyAlignment="1">
      <alignment horizontal="left"/>
    </xf>
    <xf numFmtId="0" fontId="5" fillId="12" borderId="25" xfId="0" applyFont="1" applyFill="1" applyBorder="1" applyAlignment="1">
      <alignment horizontal="left"/>
    </xf>
    <xf numFmtId="169" fontId="0" fillId="8" borderId="19" xfId="0" applyNumberFormat="1" applyFill="1" applyBorder="1"/>
    <xf numFmtId="169" fontId="5" fillId="12" borderId="27" xfId="0" applyNumberFormat="1" applyFont="1" applyFill="1" applyBorder="1"/>
    <xf numFmtId="0" fontId="0" fillId="4" borderId="0" xfId="0" applyFont="1" applyFill="1" applyBorder="1" applyAlignment="1"/>
    <xf numFmtId="0" fontId="5" fillId="4" borderId="11" xfId="0" applyFont="1" applyFill="1" applyBorder="1" applyAlignment="1"/>
    <xf numFmtId="0" fontId="0" fillId="13" borderId="18" xfId="0" applyFont="1" applyFill="1" applyBorder="1" applyAlignment="1">
      <alignment horizontal="left"/>
    </xf>
    <xf numFmtId="169" fontId="0" fillId="8" borderId="19" xfId="0" applyNumberFormat="1" applyFont="1" applyFill="1" applyBorder="1"/>
    <xf numFmtId="0" fontId="2" fillId="3" borderId="11" xfId="0" applyFont="1" applyFill="1" applyBorder="1"/>
    <xf numFmtId="0" fontId="2" fillId="3" borderId="10" xfId="0" applyFont="1" applyFill="1" applyBorder="1"/>
    <xf numFmtId="10" fontId="2" fillId="3" borderId="0" xfId="0" applyNumberFormat="1" applyFont="1" applyFill="1" applyBorder="1"/>
    <xf numFmtId="0" fontId="0" fillId="3" borderId="0" xfId="0" applyFill="1" applyAlignment="1">
      <alignment vertical="center"/>
    </xf>
    <xf numFmtId="164" fontId="5" fillId="3" borderId="6" xfId="0" applyNumberFormat="1" applyFont="1" applyFill="1" applyBorder="1" applyAlignment="1">
      <alignment horizontal="center" vertical="center"/>
    </xf>
    <xf numFmtId="164" fontId="5" fillId="3" borderId="7" xfId="0" applyNumberFormat="1" applyFont="1" applyFill="1" applyBorder="1" applyAlignment="1">
      <alignment horizontal="center" vertical="center"/>
    </xf>
    <xf numFmtId="164" fontId="5" fillId="3" borderId="8" xfId="0" applyNumberFormat="1" applyFont="1" applyFill="1" applyBorder="1" applyAlignment="1">
      <alignment horizontal="center" vertical="center"/>
    </xf>
    <xf numFmtId="0" fontId="0" fillId="0" borderId="0" xfId="0" applyAlignment="1">
      <alignment vertical="center"/>
    </xf>
    <xf numFmtId="0" fontId="19" fillId="9" borderId="15" xfId="0" applyFont="1" applyFill="1" applyBorder="1" applyAlignment="1">
      <alignment horizontal="left" vertical="center"/>
    </xf>
    <xf numFmtId="0" fontId="20" fillId="9" borderId="16" xfId="0" applyFont="1" applyFill="1" applyBorder="1" applyAlignment="1">
      <alignment vertical="center"/>
    </xf>
    <xf numFmtId="0" fontId="20" fillId="9" borderId="4" xfId="0" applyFont="1" applyFill="1" applyBorder="1" applyAlignment="1">
      <alignment vertical="center"/>
    </xf>
    <xf numFmtId="0" fontId="20" fillId="9" borderId="14" xfId="0" applyFont="1" applyFill="1" applyBorder="1" applyAlignment="1">
      <alignment vertical="center"/>
    </xf>
    <xf numFmtId="0" fontId="0" fillId="13" borderId="18" xfId="0" applyFill="1" applyBorder="1" applyAlignment="1">
      <alignment horizontal="left" vertical="center"/>
    </xf>
    <xf numFmtId="169" fontId="0" fillId="8" borderId="19" xfId="0" applyNumberFormat="1" applyFill="1" applyBorder="1" applyAlignment="1">
      <alignment vertical="center"/>
    </xf>
    <xf numFmtId="169" fontId="0" fillId="8" borderId="0" xfId="0" applyNumberFormat="1" applyFill="1" applyAlignment="1">
      <alignment vertical="center"/>
    </xf>
    <xf numFmtId="0" fontId="5" fillId="3" borderId="0" xfId="0" applyFont="1" applyFill="1" applyAlignment="1">
      <alignment vertical="center"/>
    </xf>
    <xf numFmtId="0" fontId="5" fillId="15" borderId="18" xfId="0" applyFont="1" applyFill="1" applyBorder="1" applyAlignment="1">
      <alignment horizontal="left" vertical="center"/>
    </xf>
    <xf numFmtId="169" fontId="5" fillId="15" borderId="19" xfId="0" applyNumberFormat="1" applyFont="1" applyFill="1" applyBorder="1" applyAlignment="1">
      <alignment vertical="center"/>
    </xf>
    <xf numFmtId="0" fontId="5" fillId="0" borderId="0" xfId="0" applyFont="1" applyAlignment="1">
      <alignment vertical="center"/>
    </xf>
    <xf numFmtId="0" fontId="17" fillId="3" borderId="0" xfId="0" applyFont="1" applyFill="1" applyAlignment="1">
      <alignment vertical="center"/>
    </xf>
    <xf numFmtId="0" fontId="17" fillId="13" borderId="18" xfId="0" applyFont="1" applyFill="1" applyBorder="1" applyAlignment="1">
      <alignment horizontal="left" vertical="center"/>
    </xf>
    <xf numFmtId="169" fontId="17" fillId="8" borderId="19" xfId="0" applyNumberFormat="1" applyFont="1" applyFill="1" applyBorder="1" applyAlignment="1">
      <alignment vertical="center"/>
    </xf>
    <xf numFmtId="9" fontId="17" fillId="8" borderId="0" xfId="0" applyNumberFormat="1" applyFont="1" applyFill="1" applyAlignment="1">
      <alignment vertical="center"/>
    </xf>
    <xf numFmtId="0" fontId="17" fillId="0" borderId="0" xfId="0" applyFont="1" applyAlignment="1">
      <alignment vertical="center"/>
    </xf>
    <xf numFmtId="10" fontId="17" fillId="8" borderId="0" xfId="0" applyNumberFormat="1" applyFont="1" applyFill="1" applyAlignment="1">
      <alignment vertical="center"/>
    </xf>
    <xf numFmtId="0" fontId="0" fillId="3" borderId="0" xfId="0" applyFont="1" applyFill="1" applyAlignment="1">
      <alignment vertical="center"/>
    </xf>
    <xf numFmtId="0" fontId="0" fillId="13" borderId="18" xfId="0" applyFont="1" applyFill="1" applyBorder="1" applyAlignment="1">
      <alignment horizontal="left" vertical="center" indent="1"/>
    </xf>
    <xf numFmtId="169" fontId="0" fillId="8" borderId="19" xfId="0" applyNumberFormat="1" applyFont="1" applyFill="1" applyBorder="1" applyAlignment="1">
      <alignment vertical="center"/>
    </xf>
    <xf numFmtId="0" fontId="0" fillId="0" borderId="0" xfId="0" applyFont="1" applyAlignment="1">
      <alignment vertical="center"/>
    </xf>
    <xf numFmtId="0" fontId="17" fillId="13" borderId="18" xfId="0" applyFont="1" applyFill="1" applyBorder="1" applyAlignment="1">
      <alignment horizontal="left" vertical="center" indent="1"/>
    </xf>
    <xf numFmtId="0" fontId="40" fillId="3" borderId="0" xfId="0" applyFont="1" applyFill="1" applyAlignment="1">
      <alignment vertical="center"/>
    </xf>
    <xf numFmtId="0" fontId="5" fillId="13" borderId="21" xfId="0" applyFont="1" applyFill="1" applyBorder="1" applyAlignment="1">
      <alignment horizontal="left" vertical="center"/>
    </xf>
    <xf numFmtId="169" fontId="5" fillId="8" borderId="23" xfId="0" applyNumberFormat="1" applyFont="1" applyFill="1" applyBorder="1" applyAlignment="1">
      <alignment vertical="center"/>
    </xf>
    <xf numFmtId="0" fontId="40" fillId="0" borderId="0" xfId="0" applyFont="1" applyAlignment="1">
      <alignment vertical="center"/>
    </xf>
    <xf numFmtId="0" fontId="5" fillId="12" borderId="25" xfId="0" applyFont="1" applyFill="1" applyBorder="1" applyAlignment="1">
      <alignment horizontal="left" vertical="center"/>
    </xf>
    <xf numFmtId="169" fontId="5" fillId="12" borderId="27" xfId="0" applyNumberFormat="1" applyFont="1" applyFill="1" applyBorder="1" applyAlignment="1">
      <alignment vertical="center"/>
    </xf>
    <xf numFmtId="0" fontId="0" fillId="13" borderId="18" xfId="0" applyFont="1" applyFill="1" applyBorder="1" applyAlignment="1">
      <alignment horizontal="left" vertical="center"/>
    </xf>
    <xf numFmtId="10" fontId="5" fillId="15" borderId="0" xfId="0" applyNumberFormat="1" applyFont="1" applyFill="1" applyAlignment="1">
      <alignment vertical="center"/>
    </xf>
    <xf numFmtId="10" fontId="5" fillId="4" borderId="17" xfId="0" applyNumberFormat="1" applyFont="1" applyFill="1" applyBorder="1" applyAlignment="1">
      <alignment vertical="center"/>
    </xf>
    <xf numFmtId="169" fontId="0" fillId="16" borderId="17" xfId="0" applyNumberFormat="1" applyFont="1" applyFill="1" applyBorder="1" applyAlignment="1">
      <alignment vertical="center"/>
    </xf>
    <xf numFmtId="9" fontId="17" fillId="15" borderId="17" xfId="0" applyNumberFormat="1" applyFont="1" applyFill="1" applyBorder="1" applyAlignment="1">
      <alignment vertical="center"/>
    </xf>
    <xf numFmtId="9" fontId="17" fillId="16" borderId="17" xfId="0" applyNumberFormat="1" applyFont="1" applyFill="1" applyBorder="1" applyAlignment="1">
      <alignment vertical="center"/>
    </xf>
    <xf numFmtId="10" fontId="17" fillId="16" borderId="17" xfId="0" applyNumberFormat="1" applyFont="1" applyFill="1" applyBorder="1" applyAlignment="1">
      <alignment vertical="center"/>
    </xf>
    <xf numFmtId="0" fontId="5" fillId="16" borderId="67" xfId="0" applyFont="1" applyFill="1" applyBorder="1" applyAlignment="1">
      <alignment horizontal="center" vertical="center"/>
    </xf>
    <xf numFmtId="0" fontId="17" fillId="8" borderId="0" xfId="0" applyFont="1" applyFill="1" applyAlignment="1">
      <alignment horizontal="left"/>
    </xf>
    <xf numFmtId="3" fontId="2" fillId="3" borderId="28" xfId="0" applyNumberFormat="1" applyFont="1" applyFill="1" applyBorder="1"/>
    <xf numFmtId="3" fontId="2" fillId="3" borderId="12" xfId="0" applyNumberFormat="1" applyFont="1" applyFill="1" applyBorder="1"/>
    <xf numFmtId="3" fontId="2" fillId="3" borderId="31" xfId="0" applyNumberFormat="1" applyFont="1" applyFill="1" applyBorder="1"/>
    <xf numFmtId="3" fontId="5" fillId="7" borderId="26" xfId="0" applyNumberFormat="1" applyFont="1" applyFill="1" applyBorder="1"/>
    <xf numFmtId="3" fontId="9" fillId="6" borderId="18" xfId="0" applyNumberFormat="1" applyFont="1" applyFill="1" applyBorder="1"/>
    <xf numFmtId="3" fontId="9" fillId="6" borderId="0" xfId="0" applyNumberFormat="1" applyFont="1" applyFill="1" applyBorder="1"/>
    <xf numFmtId="3" fontId="9" fillId="6" borderId="19" xfId="0" applyNumberFormat="1" applyFont="1" applyFill="1" applyBorder="1"/>
    <xf numFmtId="3" fontId="2" fillId="4" borderId="18" xfId="0" applyNumberFormat="1" applyFont="1" applyFill="1" applyBorder="1"/>
    <xf numFmtId="3" fontId="2" fillId="4" borderId="0" xfId="0" applyNumberFormat="1" applyFont="1" applyFill="1" applyBorder="1"/>
    <xf numFmtId="3" fontId="18" fillId="3" borderId="18" xfId="0" applyNumberFormat="1" applyFont="1" applyFill="1" applyBorder="1"/>
    <xf numFmtId="3" fontId="18" fillId="3" borderId="0" xfId="0" applyNumberFormat="1" applyFont="1" applyFill="1" applyBorder="1"/>
    <xf numFmtId="3" fontId="18" fillId="3" borderId="19" xfId="0" applyNumberFormat="1" applyFont="1" applyFill="1" applyBorder="1"/>
    <xf numFmtId="0" fontId="8" fillId="6" borderId="15" xfId="0" applyFont="1" applyFill="1" applyBorder="1"/>
    <xf numFmtId="0" fontId="5" fillId="7" borderId="15" xfId="0" applyFont="1" applyFill="1" applyBorder="1" applyAlignment="1">
      <alignment horizontal="left"/>
    </xf>
    <xf numFmtId="0" fontId="18" fillId="3" borderId="18" xfId="0" applyFont="1" applyFill="1" applyBorder="1" applyAlignment="1">
      <alignment horizontal="left" indent="1"/>
    </xf>
    <xf numFmtId="0" fontId="0" fillId="8" borderId="18" xfId="0" applyFill="1" applyBorder="1" applyAlignment="1">
      <alignment horizontal="left"/>
    </xf>
    <xf numFmtId="0" fontId="5" fillId="12" borderId="21" xfId="0" applyFont="1" applyFill="1" applyBorder="1" applyAlignment="1">
      <alignment horizontal="left"/>
    </xf>
    <xf numFmtId="0" fontId="0" fillId="8" borderId="18" xfId="0" applyFill="1" applyBorder="1" applyAlignment="1">
      <alignment horizontal="left" indent="1"/>
    </xf>
    <xf numFmtId="0" fontId="2" fillId="3" borderId="92" xfId="0" applyFont="1" applyFill="1" applyBorder="1"/>
    <xf numFmtId="3" fontId="0" fillId="3" borderId="18" xfId="1" applyNumberFormat="1" applyFont="1" applyFill="1" applyBorder="1"/>
    <xf numFmtId="3" fontId="0" fillId="3" borderId="0" xfId="1" applyNumberFormat="1" applyFont="1" applyFill="1" applyBorder="1"/>
    <xf numFmtId="3" fontId="0" fillId="3" borderId="19" xfId="1" applyNumberFormat="1" applyFont="1" applyFill="1" applyBorder="1"/>
    <xf numFmtId="3" fontId="0" fillId="4" borderId="19" xfId="1" applyNumberFormat="1" applyFont="1" applyFill="1" applyBorder="1"/>
    <xf numFmtId="3" fontId="2" fillId="4" borderId="19" xfId="1" applyNumberFormat="1" applyFont="1" applyFill="1" applyBorder="1"/>
    <xf numFmtId="3" fontId="5" fillId="7" borderId="24" xfId="0" applyNumberFormat="1" applyFont="1" applyFill="1" applyBorder="1"/>
    <xf numFmtId="3" fontId="17" fillId="4" borderId="19" xfId="0" applyNumberFormat="1" applyFont="1" applyFill="1" applyBorder="1"/>
    <xf numFmtId="3" fontId="17" fillId="4" borderId="24" xfId="0" applyNumberFormat="1" applyFont="1" applyFill="1" applyBorder="1"/>
    <xf numFmtId="0" fontId="0" fillId="8" borderId="18" xfId="0" applyFill="1" applyBorder="1"/>
    <xf numFmtId="0" fontId="0" fillId="10" borderId="18" xfId="0" applyFill="1" applyBorder="1"/>
    <xf numFmtId="3" fontId="0" fillId="8" borderId="18" xfId="0" applyNumberFormat="1" applyFill="1" applyBorder="1"/>
    <xf numFmtId="3" fontId="5" fillId="12" borderId="21" xfId="0" applyNumberFormat="1" applyFont="1" applyFill="1" applyBorder="1"/>
    <xf numFmtId="168" fontId="0" fillId="8" borderId="18" xfId="0" applyNumberFormat="1" applyFill="1" applyBorder="1"/>
    <xf numFmtId="0" fontId="20" fillId="9" borderId="15" xfId="0" applyFont="1" applyFill="1" applyBorder="1"/>
    <xf numFmtId="172" fontId="0" fillId="8" borderId="18" xfId="0" applyNumberFormat="1" applyFill="1" applyBorder="1"/>
    <xf numFmtId="172" fontId="0" fillId="8" borderId="0" xfId="0" applyNumberFormat="1" applyFill="1"/>
    <xf numFmtId="172" fontId="0" fillId="8" borderId="0" xfId="0" applyNumberFormat="1" applyFill="1" applyBorder="1"/>
    <xf numFmtId="172" fontId="0" fillId="10" borderId="17" xfId="0" applyNumberFormat="1" applyFill="1" applyBorder="1"/>
    <xf numFmtId="172" fontId="2" fillId="4" borderId="17" xfId="0" applyNumberFormat="1" applyFont="1" applyFill="1" applyBorder="1"/>
    <xf numFmtId="172" fontId="5" fillId="12" borderId="21" xfId="0" applyNumberFormat="1" applyFont="1" applyFill="1" applyBorder="1"/>
    <xf numFmtId="172" fontId="5" fillId="12" borderId="22" xfId="0" applyNumberFormat="1" applyFont="1" applyFill="1" applyBorder="1"/>
    <xf numFmtId="172" fontId="5" fillId="12" borderId="23" xfId="0" applyNumberFormat="1" applyFont="1" applyFill="1" applyBorder="1"/>
    <xf numFmtId="172" fontId="5" fillId="12" borderId="20" xfId="0" applyNumberFormat="1" applyFont="1" applyFill="1" applyBorder="1"/>
    <xf numFmtId="172" fontId="17" fillId="4" borderId="17" xfId="0" applyNumberFormat="1" applyFont="1" applyFill="1" applyBorder="1"/>
    <xf numFmtId="3" fontId="5" fillId="12" borderId="25" xfId="0" applyNumberFormat="1" applyFont="1" applyFill="1" applyBorder="1"/>
    <xf numFmtId="3" fontId="5" fillId="12" borderId="26" xfId="0" applyNumberFormat="1" applyFont="1" applyFill="1" applyBorder="1"/>
    <xf numFmtId="3" fontId="5" fillId="12" borderId="24" xfId="0" applyNumberFormat="1" applyFont="1" applyFill="1" applyBorder="1"/>
    <xf numFmtId="3" fontId="0" fillId="8" borderId="15" xfId="0" applyNumberFormat="1" applyFill="1" applyBorder="1"/>
    <xf numFmtId="3" fontId="23" fillId="3" borderId="0" xfId="0" applyNumberFormat="1" applyFont="1" applyFill="1" applyBorder="1"/>
    <xf numFmtId="3" fontId="11" fillId="4" borderId="0" xfId="0" applyNumberFormat="1" applyFont="1" applyFill="1" applyBorder="1" applyAlignment="1">
      <alignment horizontal="right"/>
    </xf>
    <xf numFmtId="3" fontId="3" fillId="4" borderId="0" xfId="0" applyNumberFormat="1" applyFont="1" applyFill="1" applyBorder="1" applyAlignment="1">
      <alignment horizontal="left"/>
    </xf>
    <xf numFmtId="3" fontId="41" fillId="4" borderId="0" xfId="0" applyNumberFormat="1" applyFont="1" applyFill="1" applyBorder="1" applyAlignment="1">
      <alignment horizontal="left"/>
    </xf>
    <xf numFmtId="3" fontId="13" fillId="4" borderId="0" xfId="0" applyNumberFormat="1" applyFont="1" applyFill="1" applyBorder="1" applyAlignment="1">
      <alignment horizontal="right"/>
    </xf>
    <xf numFmtId="3" fontId="4" fillId="4" borderId="0" xfId="0" applyNumberFormat="1" applyFont="1" applyFill="1" applyBorder="1" applyAlignment="1"/>
    <xf numFmtId="3" fontId="17" fillId="3" borderId="0" xfId="0" applyNumberFormat="1" applyFont="1" applyFill="1" applyBorder="1"/>
    <xf numFmtId="3" fontId="17" fillId="4" borderId="17" xfId="0" applyNumberFormat="1" applyFont="1" applyFill="1" applyBorder="1"/>
    <xf numFmtId="3" fontId="0" fillId="10" borderId="0" xfId="0" applyNumberFormat="1" applyFill="1"/>
    <xf numFmtId="3" fontId="0" fillId="10" borderId="0" xfId="0" applyNumberFormat="1" applyFill="1" applyBorder="1"/>
    <xf numFmtId="3" fontId="0" fillId="11" borderId="17" xfId="0" applyNumberFormat="1" applyFill="1" applyBorder="1"/>
    <xf numFmtId="3" fontId="17" fillId="3" borderId="18" xfId="0" applyNumberFormat="1" applyFont="1" applyFill="1" applyBorder="1"/>
    <xf numFmtId="3" fontId="17" fillId="3" borderId="19" xfId="0" applyNumberFormat="1" applyFont="1" applyFill="1" applyBorder="1"/>
    <xf numFmtId="3" fontId="17" fillId="3" borderId="29" xfId="0" applyNumberFormat="1" applyFont="1" applyFill="1" applyBorder="1"/>
    <xf numFmtId="3" fontId="17" fillId="3" borderId="30" xfId="0" applyNumberFormat="1" applyFont="1" applyFill="1" applyBorder="1"/>
    <xf numFmtId="3" fontId="17" fillId="3" borderId="88" xfId="0" applyNumberFormat="1" applyFont="1" applyFill="1" applyBorder="1"/>
    <xf numFmtId="3" fontId="17" fillId="4" borderId="34" xfId="0" applyNumberFormat="1" applyFont="1" applyFill="1" applyBorder="1"/>
    <xf numFmtId="3" fontId="0" fillId="3" borderId="41" xfId="0" applyNumberFormat="1" applyFont="1" applyFill="1" applyBorder="1"/>
    <xf numFmtId="3" fontId="2" fillId="3" borderId="41" xfId="0" applyNumberFormat="1" applyFont="1" applyFill="1" applyBorder="1"/>
    <xf numFmtId="3" fontId="20" fillId="9" borderId="4" xfId="0" applyNumberFormat="1" applyFont="1" applyFill="1" applyBorder="1"/>
    <xf numFmtId="3" fontId="20" fillId="9" borderId="16" xfId="0" applyNumberFormat="1" applyFont="1" applyFill="1" applyBorder="1"/>
    <xf numFmtId="3" fontId="20" fillId="9" borderId="14" xfId="0" applyNumberFormat="1" applyFont="1" applyFill="1" applyBorder="1"/>
    <xf numFmtId="3" fontId="0" fillId="10" borderId="14" xfId="0" applyNumberFormat="1" applyFill="1" applyBorder="1"/>
    <xf numFmtId="3" fontId="0" fillId="8" borderId="22" xfId="0" applyNumberFormat="1" applyFill="1" applyBorder="1"/>
    <xf numFmtId="3" fontId="2" fillId="4" borderId="20" xfId="0" applyNumberFormat="1" applyFont="1" applyFill="1" applyBorder="1"/>
    <xf numFmtId="3" fontId="5" fillId="7" borderId="90" xfId="0" applyNumberFormat="1" applyFont="1" applyFill="1" applyBorder="1"/>
    <xf numFmtId="3" fontId="5" fillId="7" borderId="91" xfId="0" applyNumberFormat="1" applyFont="1" applyFill="1" applyBorder="1"/>
    <xf numFmtId="3" fontId="5" fillId="7" borderId="89" xfId="0" applyNumberFormat="1" applyFont="1" applyFill="1" applyBorder="1"/>
    <xf numFmtId="3" fontId="0" fillId="8" borderId="0" xfId="0" applyNumberFormat="1" applyFont="1" applyFill="1"/>
    <xf numFmtId="3" fontId="0" fillId="8" borderId="0" xfId="0" applyNumberFormat="1" applyFont="1" applyFill="1" applyBorder="1"/>
    <xf numFmtId="172" fontId="10" fillId="4" borderId="0" xfId="0" applyNumberFormat="1" applyFont="1" applyFill="1" applyBorder="1" applyAlignment="1"/>
    <xf numFmtId="172" fontId="11" fillId="4" borderId="0" xfId="0" applyNumberFormat="1" applyFont="1" applyFill="1" applyBorder="1" applyAlignment="1"/>
    <xf numFmtId="172" fontId="11" fillId="4" borderId="0" xfId="0" applyNumberFormat="1" applyFont="1" applyFill="1" applyBorder="1" applyAlignment="1">
      <alignment horizontal="right"/>
    </xf>
    <xf numFmtId="0" fontId="40" fillId="4" borderId="0" xfId="0" applyFont="1" applyFill="1" applyBorder="1"/>
    <xf numFmtId="3" fontId="35" fillId="3" borderId="74" xfId="0" applyNumberFormat="1" applyFont="1" applyFill="1" applyBorder="1"/>
    <xf numFmtId="3" fontId="5" fillId="15" borderId="0" xfId="0" applyNumberFormat="1" applyFont="1" applyFill="1" applyAlignment="1">
      <alignment vertical="center"/>
    </xf>
    <xf numFmtId="3" fontId="5" fillId="4" borderId="17" xfId="0" applyNumberFormat="1" applyFont="1" applyFill="1" applyBorder="1" applyAlignment="1">
      <alignment vertical="center"/>
    </xf>
    <xf numFmtId="3" fontId="0" fillId="8" borderId="0" xfId="0" applyNumberFormat="1" applyFill="1" applyAlignment="1">
      <alignment vertical="center"/>
    </xf>
    <xf numFmtId="3" fontId="0" fillId="16" borderId="17" xfId="0" applyNumberFormat="1" applyFont="1" applyFill="1" applyBorder="1" applyAlignment="1">
      <alignment vertical="center"/>
    </xf>
    <xf numFmtId="3" fontId="0" fillId="8" borderId="0" xfId="0" applyNumberFormat="1" applyFont="1" applyFill="1" applyAlignment="1">
      <alignment vertical="center"/>
    </xf>
    <xf numFmtId="3" fontId="5" fillId="8" borderId="22" xfId="0" applyNumberFormat="1" applyFont="1" applyFill="1" applyBorder="1" applyAlignment="1">
      <alignment vertical="center"/>
    </xf>
    <xf numFmtId="3" fontId="5" fillId="16" borderId="20" xfId="0" applyNumberFormat="1" applyFont="1" applyFill="1" applyBorder="1" applyAlignment="1">
      <alignment vertical="center"/>
    </xf>
    <xf numFmtId="3" fontId="5" fillId="12" borderId="26" xfId="0" applyNumberFormat="1" applyFont="1" applyFill="1" applyBorder="1" applyAlignment="1">
      <alignment vertical="center"/>
    </xf>
    <xf numFmtId="3" fontId="5" fillId="12" borderId="24" xfId="0" applyNumberFormat="1" applyFont="1" applyFill="1" applyBorder="1" applyAlignment="1">
      <alignment vertical="center"/>
    </xf>
    <xf numFmtId="3" fontId="0" fillId="3" borderId="0" xfId="0" applyNumberFormat="1" applyFill="1" applyAlignment="1">
      <alignment vertical="center"/>
    </xf>
    <xf numFmtId="3" fontId="20" fillId="9" borderId="4" xfId="0" applyNumberFormat="1" applyFont="1" applyFill="1" applyBorder="1" applyAlignment="1">
      <alignment vertical="center"/>
    </xf>
    <xf numFmtId="3" fontId="20" fillId="9" borderId="16" xfId="0" applyNumberFormat="1" applyFont="1" applyFill="1" applyBorder="1" applyAlignment="1">
      <alignment vertical="center"/>
    </xf>
    <xf numFmtId="3" fontId="20" fillId="9" borderId="14" xfId="0" applyNumberFormat="1" applyFont="1" applyFill="1" applyBorder="1" applyAlignment="1">
      <alignment vertical="center"/>
    </xf>
    <xf numFmtId="3" fontId="4" fillId="8" borderId="0" xfId="0" applyNumberFormat="1" applyFont="1" applyFill="1" applyAlignment="1">
      <alignment vertical="center"/>
    </xf>
    <xf numFmtId="3" fontId="17" fillId="3" borderId="0" xfId="0" applyNumberFormat="1" applyFont="1" applyFill="1" applyAlignment="1">
      <alignment vertical="center"/>
    </xf>
    <xf numFmtId="4" fontId="17" fillId="3" borderId="0" xfId="0" applyNumberFormat="1" applyFont="1" applyFill="1" applyAlignment="1">
      <alignment vertical="center"/>
    </xf>
    <xf numFmtId="3" fontId="5" fillId="7" borderId="15" xfId="0" applyNumberFormat="1" applyFont="1" applyFill="1" applyBorder="1"/>
    <xf numFmtId="3" fontId="5" fillId="7" borderId="4" xfId="0" applyNumberFormat="1" applyFont="1" applyFill="1" applyBorder="1"/>
    <xf numFmtId="3" fontId="5" fillId="7" borderId="16" xfId="0" applyNumberFormat="1" applyFont="1" applyFill="1" applyBorder="1"/>
    <xf numFmtId="3" fontId="5" fillId="7" borderId="14" xfId="0" applyNumberFormat="1" applyFont="1" applyFill="1" applyBorder="1"/>
    <xf numFmtId="0" fontId="13" fillId="10" borderId="10" xfId="0" applyFont="1" applyFill="1" applyBorder="1" applyAlignment="1">
      <alignment horizontal="left"/>
    </xf>
    <xf numFmtId="0" fontId="10" fillId="10" borderId="0" xfId="0" applyFont="1" applyFill="1" applyAlignment="1">
      <alignment horizontal="left"/>
    </xf>
    <xf numFmtId="0" fontId="11" fillId="10" borderId="0" xfId="0" applyFont="1" applyFill="1"/>
    <xf numFmtId="0" fontId="14" fillId="10" borderId="11" xfId="0" applyFont="1" applyFill="1" applyBorder="1"/>
    <xf numFmtId="0" fontId="5" fillId="11" borderId="10" xfId="0" applyFont="1" applyFill="1" applyBorder="1"/>
    <xf numFmtId="0" fontId="6" fillId="11" borderId="0" xfId="0" applyFont="1" applyFill="1" applyAlignment="1">
      <alignment horizontal="left"/>
    </xf>
    <xf numFmtId="0" fontId="7" fillId="11" borderId="0" xfId="0" applyFont="1" applyFill="1"/>
    <xf numFmtId="0" fontId="7" fillId="11" borderId="11" xfId="0" applyFont="1" applyFill="1" applyBorder="1"/>
    <xf numFmtId="0" fontId="38" fillId="4" borderId="69" xfId="0" applyFont="1" applyFill="1" applyBorder="1" applyAlignment="1">
      <alignment horizontal="left"/>
    </xf>
    <xf numFmtId="0" fontId="39" fillId="4" borderId="12" xfId="0" applyFont="1" applyFill="1" applyBorder="1" applyAlignment="1">
      <alignment horizontal="left"/>
    </xf>
    <xf numFmtId="0" fontId="23" fillId="4" borderId="12" xfId="0" applyFont="1" applyFill="1" applyBorder="1" applyAlignment="1"/>
    <xf numFmtId="0" fontId="38" fillId="4" borderId="70" xfId="0" applyFont="1" applyFill="1" applyBorder="1" applyAlignment="1"/>
    <xf numFmtId="0" fontId="39" fillId="3" borderId="0" xfId="0" applyFont="1" applyFill="1" applyBorder="1" applyAlignment="1">
      <alignment horizontal="left"/>
    </xf>
    <xf numFmtId="0" fontId="23" fillId="3" borderId="0" xfId="0" applyFont="1" applyFill="1" applyBorder="1" applyAlignment="1"/>
    <xf numFmtId="0" fontId="3" fillId="3" borderId="0" xfId="0" applyFont="1" applyFill="1" applyBorder="1" applyAlignment="1">
      <alignment horizontal="left"/>
    </xf>
    <xf numFmtId="0" fontId="4" fillId="3" borderId="0" xfId="0" applyFont="1" applyFill="1" applyBorder="1" applyAlignment="1"/>
    <xf numFmtId="0" fontId="38" fillId="3" borderId="4" xfId="0" applyFont="1" applyFill="1" applyBorder="1" applyAlignment="1">
      <alignment horizontal="left"/>
    </xf>
    <xf numFmtId="0" fontId="39" fillId="3" borderId="4" xfId="0" applyFont="1" applyFill="1" applyBorder="1" applyAlignment="1">
      <alignment horizontal="left"/>
    </xf>
    <xf numFmtId="0" fontId="23" fillId="3" borderId="4" xfId="0" applyFont="1" applyFill="1" applyBorder="1" applyAlignment="1"/>
    <xf numFmtId="0" fontId="38" fillId="3" borderId="4" xfId="0" applyFont="1" applyFill="1" applyBorder="1" applyAlignment="1"/>
    <xf numFmtId="0" fontId="38" fillId="3" borderId="0" xfId="0" applyFont="1" applyFill="1" applyBorder="1" applyAlignment="1"/>
    <xf numFmtId="0" fontId="7" fillId="3" borderId="0" xfId="0" applyFont="1" applyFill="1" applyBorder="1" applyAlignment="1"/>
    <xf numFmtId="0" fontId="17" fillId="3" borderId="24" xfId="0" applyFont="1" applyFill="1" applyBorder="1" applyAlignment="1">
      <alignment horizontal="left"/>
    </xf>
    <xf numFmtId="10" fontId="17" fillId="3" borderId="25" xfId="0" applyNumberFormat="1" applyFont="1" applyFill="1" applyBorder="1"/>
    <xf numFmtId="10" fontId="17" fillId="3" borderId="26" xfId="0" applyNumberFormat="1" applyFont="1" applyFill="1" applyBorder="1"/>
    <xf numFmtId="10" fontId="17" fillId="3" borderId="27" xfId="0" applyNumberFormat="1" applyFont="1" applyFill="1" applyBorder="1"/>
    <xf numFmtId="0" fontId="43" fillId="4" borderId="10" xfId="0" applyFont="1" applyFill="1" applyBorder="1" applyAlignment="1">
      <alignment horizontal="left"/>
    </xf>
    <xf numFmtId="0" fontId="36" fillId="4" borderId="0" xfId="0" applyFont="1" applyFill="1" applyBorder="1" applyAlignment="1">
      <alignment horizontal="left"/>
    </xf>
    <xf numFmtId="0" fontId="36" fillId="4" borderId="0" xfId="0" applyFont="1" applyFill="1" applyBorder="1" applyAlignment="1"/>
    <xf numFmtId="0" fontId="43" fillId="4" borderId="11" xfId="0" applyFont="1" applyFill="1" applyBorder="1" applyAlignment="1"/>
    <xf numFmtId="0" fontId="17" fillId="8" borderId="14" xfId="0" applyFont="1" applyFill="1" applyBorder="1" applyAlignment="1">
      <alignment horizontal="left"/>
    </xf>
    <xf numFmtId="172" fontId="17" fillId="8" borderId="15" xfId="0" applyNumberFormat="1" applyFont="1" applyFill="1" applyBorder="1"/>
    <xf numFmtId="172" fontId="17" fillId="8" borderId="4" xfId="0" applyNumberFormat="1" applyFont="1" applyFill="1" applyBorder="1"/>
    <xf numFmtId="172" fontId="17" fillId="8" borderId="16" xfId="0" applyNumberFormat="1" applyFont="1" applyFill="1" applyBorder="1"/>
    <xf numFmtId="0" fontId="17" fillId="10" borderId="19" xfId="0" applyFont="1" applyFill="1" applyBorder="1"/>
    <xf numFmtId="0" fontId="17" fillId="0" borderId="0" xfId="0" applyFont="1" applyFill="1" applyBorder="1"/>
    <xf numFmtId="3" fontId="0" fillId="8" borderId="4" xfId="0" applyNumberFormat="1" applyFill="1" applyBorder="1"/>
    <xf numFmtId="3" fontId="0" fillId="8" borderId="16" xfId="0" applyNumberFormat="1" applyFill="1" applyBorder="1"/>
    <xf numFmtId="3" fontId="17" fillId="4" borderId="88" xfId="0" applyNumberFormat="1" applyFont="1" applyFill="1" applyBorder="1"/>
    <xf numFmtId="10" fontId="17" fillId="3" borderId="21" xfId="0" applyNumberFormat="1" applyFont="1" applyFill="1" applyBorder="1"/>
    <xf numFmtId="10" fontId="17" fillId="3" borderId="22" xfId="0" applyNumberFormat="1" applyFont="1" applyFill="1" applyBorder="1"/>
    <xf numFmtId="10" fontId="17" fillId="3" borderId="23" xfId="0" applyNumberFormat="1" applyFont="1" applyFill="1" applyBorder="1"/>
    <xf numFmtId="3" fontId="17" fillId="4" borderId="20" xfId="0" applyNumberFormat="1" applyFont="1" applyFill="1" applyBorder="1"/>
    <xf numFmtId="0" fontId="17" fillId="3" borderId="14" xfId="0" applyFont="1" applyFill="1" applyBorder="1" applyAlignment="1">
      <alignment horizontal="left"/>
    </xf>
    <xf numFmtId="0" fontId="17" fillId="3" borderId="34" xfId="0" applyFont="1" applyFill="1" applyBorder="1" applyAlignment="1">
      <alignment horizontal="left"/>
    </xf>
    <xf numFmtId="4" fontId="23" fillId="3" borderId="0" xfId="0" applyNumberFormat="1" applyFont="1" applyFill="1" applyBorder="1"/>
    <xf numFmtId="0" fontId="0" fillId="3" borderId="0" xfId="0" applyFill="1"/>
    <xf numFmtId="3" fontId="0" fillId="8" borderId="19" xfId="0" applyNumberFormat="1" applyFill="1" applyBorder="1"/>
    <xf numFmtId="3" fontId="0" fillId="8" borderId="28" xfId="0" applyNumberFormat="1" applyFill="1" applyBorder="1"/>
    <xf numFmtId="3" fontId="0" fillId="8" borderId="12" xfId="0" applyNumberFormat="1" applyFill="1" applyBorder="1"/>
    <xf numFmtId="3" fontId="0" fillId="8" borderId="31" xfId="0" applyNumberFormat="1" applyFill="1" applyBorder="1"/>
    <xf numFmtId="0" fontId="36" fillId="3" borderId="0" xfId="0" applyFont="1" applyFill="1" applyAlignment="1">
      <alignment vertical="center"/>
    </xf>
    <xf numFmtId="169" fontId="36" fillId="3" borderId="0" xfId="0" applyNumberFormat="1" applyFont="1" applyFill="1" applyAlignment="1">
      <alignment vertical="center"/>
    </xf>
    <xf numFmtId="0" fontId="28" fillId="3" borderId="0" xfId="397" applyFill="1" applyAlignment="1">
      <alignment vertical="center"/>
    </xf>
    <xf numFmtId="169" fontId="44" fillId="3" borderId="0" xfId="397" applyNumberFormat="1" applyFont="1" applyFill="1" applyAlignment="1">
      <alignment horizontal="right" vertical="top"/>
    </xf>
    <xf numFmtId="0" fontId="17" fillId="3" borderId="0" xfId="0" applyFont="1" applyFill="1" applyAlignment="1"/>
    <xf numFmtId="3" fontId="17" fillId="3" borderId="0" xfId="0" applyNumberFormat="1" applyFont="1" applyFill="1" applyAlignment="1"/>
    <xf numFmtId="0" fontId="17" fillId="3" borderId="14" xfId="0" applyFont="1" applyFill="1" applyBorder="1"/>
    <xf numFmtId="0" fontId="17" fillId="3" borderId="34" xfId="0" applyFont="1" applyFill="1" applyBorder="1"/>
    <xf numFmtId="3" fontId="17" fillId="3" borderId="15" xfId="0" applyNumberFormat="1" applyFont="1" applyFill="1" applyBorder="1"/>
    <xf numFmtId="3" fontId="17" fillId="3" borderId="4" xfId="0" applyNumberFormat="1" applyFont="1" applyFill="1" applyBorder="1"/>
    <xf numFmtId="3" fontId="17" fillId="3" borderId="16" xfId="0" applyNumberFormat="1" applyFont="1" applyFill="1" applyBorder="1"/>
    <xf numFmtId="3" fontId="17" fillId="4" borderId="14" xfId="0" applyNumberFormat="1" applyFont="1" applyFill="1" applyBorder="1"/>
    <xf numFmtId="0" fontId="0" fillId="3" borderId="0" xfId="0" applyFill="1" applyAlignment="1">
      <alignment horizontal="center" vertical="center"/>
    </xf>
    <xf numFmtId="0" fontId="36" fillId="3" borderId="0" xfId="0" applyFont="1" applyFill="1" applyAlignment="1">
      <alignment horizontal="right"/>
    </xf>
    <xf numFmtId="3" fontId="44" fillId="3" borderId="0" xfId="397" applyNumberFormat="1" applyFont="1" applyFill="1" applyAlignment="1">
      <alignment horizontal="left"/>
    </xf>
    <xf numFmtId="0" fontId="46" fillId="3" borderId="0" xfId="397" applyFont="1" applyFill="1" applyAlignment="1">
      <alignment horizontal="left" vertical="center"/>
    </xf>
    <xf numFmtId="0" fontId="36" fillId="0" borderId="0" xfId="0" applyFont="1" applyAlignment="1">
      <alignment horizontal="right" vertical="center"/>
    </xf>
    <xf numFmtId="0" fontId="10" fillId="4" borderId="0" xfId="0" applyFont="1" applyFill="1" applyBorder="1" applyAlignment="1">
      <alignment horizontal="left"/>
    </xf>
    <xf numFmtId="3" fontId="17" fillId="3" borderId="93" xfId="0" applyNumberFormat="1" applyFont="1" applyFill="1" applyBorder="1" applyAlignment="1">
      <alignment horizontal="center"/>
    </xf>
    <xf numFmtId="3" fontId="17" fillId="3" borderId="94" xfId="0" applyNumberFormat="1" applyFont="1" applyFill="1" applyBorder="1" applyAlignment="1">
      <alignment horizontal="center"/>
    </xf>
    <xf numFmtId="173" fontId="17" fillId="3" borderId="95" xfId="0" applyNumberFormat="1" applyFont="1" applyFill="1" applyBorder="1" applyAlignment="1">
      <alignment horizontal="center"/>
    </xf>
    <xf numFmtId="173" fontId="17" fillId="3" borderId="30" xfId="0" applyNumberFormat="1" applyFont="1" applyFill="1" applyBorder="1" applyAlignment="1">
      <alignment horizontal="center"/>
    </xf>
    <xf numFmtId="173" fontId="17" fillId="3" borderId="88" xfId="0" applyNumberFormat="1" applyFont="1" applyFill="1" applyBorder="1" applyAlignment="1">
      <alignment horizontal="center"/>
    </xf>
    <xf numFmtId="0" fontId="5" fillId="4" borderId="3"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10" xfId="0" applyFont="1" applyFill="1" applyBorder="1" applyAlignment="1">
      <alignment horizontal="center" vertical="center"/>
    </xf>
    <xf numFmtId="0" fontId="5" fillId="4" borderId="0" xfId="0" applyFont="1" applyFill="1" applyBorder="1" applyAlignment="1">
      <alignment horizontal="center" vertical="center"/>
    </xf>
    <xf numFmtId="0" fontId="5" fillId="4" borderId="11" xfId="0" applyFont="1" applyFill="1" applyBorder="1" applyAlignment="1">
      <alignment horizontal="center" vertical="center"/>
    </xf>
    <xf numFmtId="3" fontId="17" fillId="3" borderId="32" xfId="0" applyNumberFormat="1" applyFont="1" applyFill="1" applyBorder="1" applyAlignment="1">
      <alignment horizontal="center"/>
    </xf>
    <xf numFmtId="3" fontId="17" fillId="3" borderId="33" xfId="0" applyNumberFormat="1" applyFont="1" applyFill="1" applyBorder="1" applyAlignment="1">
      <alignment horizontal="center"/>
    </xf>
    <xf numFmtId="3" fontId="17" fillId="3" borderId="96" xfId="0" applyNumberFormat="1" applyFont="1" applyFill="1" applyBorder="1" applyAlignment="1">
      <alignment horizontal="center"/>
    </xf>
    <xf numFmtId="10" fontId="10" fillId="4" borderId="0" xfId="0" applyNumberFormat="1" applyFont="1" applyFill="1" applyBorder="1" applyAlignment="1">
      <alignment horizontal="left"/>
    </xf>
    <xf numFmtId="0" fontId="10" fillId="4" borderId="0" xfId="0" applyNumberFormat="1" applyFont="1" applyFill="1" applyBorder="1" applyAlignment="1">
      <alignment horizontal="left"/>
    </xf>
    <xf numFmtId="0" fontId="0" fillId="0" borderId="0" xfId="0" applyAlignment="1">
      <alignment horizontal="left"/>
    </xf>
    <xf numFmtId="0" fontId="3" fillId="4" borderId="0" xfId="0" applyFont="1" applyFill="1" applyBorder="1" applyAlignment="1">
      <alignment horizontal="left"/>
    </xf>
    <xf numFmtId="0" fontId="3" fillId="4" borderId="0" xfId="0" applyFont="1" applyFill="1" applyBorder="1" applyAlignment="1">
      <alignment vertical="center" wrapText="1"/>
    </xf>
    <xf numFmtId="0" fontId="24" fillId="0" borderId="45" xfId="0" applyFont="1" applyBorder="1" applyAlignment="1">
      <alignment horizontal="center"/>
    </xf>
    <xf numFmtId="0" fontId="24" fillId="0" borderId="46" xfId="0" applyFont="1" applyBorder="1" applyAlignment="1">
      <alignment horizontal="center"/>
    </xf>
    <xf numFmtId="0" fontId="24" fillId="0" borderId="47" xfId="0" applyFont="1" applyBorder="1" applyAlignment="1">
      <alignment horizontal="center"/>
    </xf>
    <xf numFmtId="0" fontId="32" fillId="3" borderId="0" xfId="397" applyFont="1" applyFill="1" applyBorder="1" applyAlignment="1">
      <alignment horizontal="left" indent="1"/>
    </xf>
    <xf numFmtId="0" fontId="32" fillId="3" borderId="0" xfId="397" applyFont="1" applyFill="1" applyBorder="1" applyAlignment="1">
      <alignment horizontal="left" vertical="top" wrapText="1"/>
    </xf>
    <xf numFmtId="0" fontId="30" fillId="3" borderId="0" xfId="0" applyFont="1" applyFill="1" applyBorder="1" applyAlignment="1">
      <alignment horizontal="left" indent="1"/>
    </xf>
    <xf numFmtId="0" fontId="30" fillId="3" borderId="0" xfId="0" applyFont="1" applyFill="1" applyBorder="1" applyAlignment="1">
      <alignment horizontal="left"/>
    </xf>
    <xf numFmtId="0" fontId="24" fillId="4" borderId="0" xfId="0" applyFont="1" applyFill="1" applyBorder="1" applyAlignment="1">
      <alignment horizontal="center"/>
    </xf>
    <xf numFmtId="0" fontId="29" fillId="3" borderId="0" xfId="0" applyFont="1" applyFill="1" applyBorder="1" applyAlignment="1">
      <alignment horizontal="left" vertical="top" wrapText="1"/>
    </xf>
    <xf numFmtId="0" fontId="24" fillId="3" borderId="0" xfId="0" applyFont="1" applyFill="1" applyBorder="1" applyAlignment="1">
      <alignment horizontal="left" vertical="top" wrapText="1"/>
    </xf>
  </cellXfs>
  <cellStyles count="922">
    <cellStyle name="Besuchter Link" xfId="6" builtinId="9" hidden="1"/>
    <cellStyle name="Besuchter Link" xfId="8" builtinId="9" hidden="1"/>
    <cellStyle name="Besuchter Link" xfId="10" builtinId="9" hidden="1"/>
    <cellStyle name="Besuchter Link" xfId="12" builtinId="9" hidden="1"/>
    <cellStyle name="Besuchter Link" xfId="14" builtinId="9" hidden="1"/>
    <cellStyle name="Besuchter Link" xfId="16" builtinId="9" hidden="1"/>
    <cellStyle name="Besuchter Link" xfId="18" builtinId="9" hidden="1"/>
    <cellStyle name="Besuchter Link" xfId="20" builtinId="9" hidden="1"/>
    <cellStyle name="Besuchter Link" xfId="22" builtinId="9" hidden="1"/>
    <cellStyle name="Besuchter Link" xfId="24" builtinId="9" hidden="1"/>
    <cellStyle name="Besuchter Link" xfId="26" builtinId="9" hidden="1"/>
    <cellStyle name="Besuchter Link" xfId="28" builtinId="9" hidden="1"/>
    <cellStyle name="Besuchter Link" xfId="30" builtinId="9" hidden="1"/>
    <cellStyle name="Besuchter Link" xfId="32" builtinId="9" hidden="1"/>
    <cellStyle name="Besuchter Link" xfId="34" builtinId="9" hidden="1"/>
    <cellStyle name="Besuchter Link" xfId="36" builtinId="9" hidden="1"/>
    <cellStyle name="Besuchter Link" xfId="38" builtinId="9" hidden="1"/>
    <cellStyle name="Besuchter Link" xfId="40" builtinId="9" hidden="1"/>
    <cellStyle name="Besuchter Link" xfId="42" builtinId="9" hidden="1"/>
    <cellStyle name="Besuchter Link" xfId="44" builtinId="9" hidden="1"/>
    <cellStyle name="Besuchter Link" xfId="46" builtinId="9" hidden="1"/>
    <cellStyle name="Besuchter Link" xfId="48" builtinId="9" hidden="1"/>
    <cellStyle name="Besuchter Link" xfId="50" builtinId="9" hidden="1"/>
    <cellStyle name="Besuchter Link" xfId="52" builtinId="9" hidden="1"/>
    <cellStyle name="Besuchter Link" xfId="54" builtinId="9" hidden="1"/>
    <cellStyle name="Besuchter Link" xfId="56" builtinId="9" hidden="1"/>
    <cellStyle name="Besuchter Link" xfId="58" builtinId="9" hidden="1"/>
    <cellStyle name="Besuchter Link" xfId="60" builtinId="9" hidden="1"/>
    <cellStyle name="Besuchter Link" xfId="62" builtinId="9" hidden="1"/>
    <cellStyle name="Besuchter Link" xfId="64" builtinId="9" hidden="1"/>
    <cellStyle name="Besuchter Link" xfId="66" builtinId="9" hidden="1"/>
    <cellStyle name="Besuchter Link" xfId="68" builtinId="9" hidden="1"/>
    <cellStyle name="Besuchter Link" xfId="70" builtinId="9" hidden="1"/>
    <cellStyle name="Besuchter Link" xfId="72" builtinId="9" hidden="1"/>
    <cellStyle name="Besuchter Link" xfId="74" builtinId="9" hidden="1"/>
    <cellStyle name="Besuchter Link" xfId="76" builtinId="9" hidden="1"/>
    <cellStyle name="Besuchter Link" xfId="78" builtinId="9" hidden="1"/>
    <cellStyle name="Besuchter Link" xfId="80" builtinId="9" hidden="1"/>
    <cellStyle name="Besuchter Link" xfId="82" builtinId="9" hidden="1"/>
    <cellStyle name="Besuchter Link" xfId="84" builtinId="9" hidden="1"/>
    <cellStyle name="Besuchter Link" xfId="86" builtinId="9" hidden="1"/>
    <cellStyle name="Besuchter Link" xfId="88" builtinId="9" hidden="1"/>
    <cellStyle name="Besuchter Link" xfId="90" builtinId="9" hidden="1"/>
    <cellStyle name="Besuchter Link" xfId="92" builtinId="9" hidden="1"/>
    <cellStyle name="Besuchter Link" xfId="94" builtinId="9" hidden="1"/>
    <cellStyle name="Besuchter Link" xfId="96" builtinId="9" hidden="1"/>
    <cellStyle name="Besuchter Link" xfId="98" builtinId="9" hidden="1"/>
    <cellStyle name="Besuchter Link" xfId="100" builtinId="9" hidden="1"/>
    <cellStyle name="Besuchter Link" xfId="102" builtinId="9" hidden="1"/>
    <cellStyle name="Besuchter Link" xfId="104" builtinId="9" hidden="1"/>
    <cellStyle name="Besuchter Link" xfId="106" builtinId="9" hidden="1"/>
    <cellStyle name="Besuchter Link" xfId="108" builtinId="9" hidden="1"/>
    <cellStyle name="Besuchter Link" xfId="110" builtinId="9" hidden="1"/>
    <cellStyle name="Besuchter Link" xfId="112" builtinId="9" hidden="1"/>
    <cellStyle name="Besuchter Link" xfId="114" builtinId="9" hidden="1"/>
    <cellStyle name="Besuchter Link" xfId="116" builtinId="9" hidden="1"/>
    <cellStyle name="Besuchter Link" xfId="118" builtinId="9" hidden="1"/>
    <cellStyle name="Besuchter Link" xfId="120" builtinId="9" hidden="1"/>
    <cellStyle name="Besuchter Link" xfId="122" builtinId="9" hidden="1"/>
    <cellStyle name="Besuchter Link" xfId="124" builtinId="9" hidden="1"/>
    <cellStyle name="Besuchter Link" xfId="126" builtinId="9" hidden="1"/>
    <cellStyle name="Besuchter Link" xfId="128" builtinId="9" hidden="1"/>
    <cellStyle name="Besuchter Link" xfId="130" builtinId="9" hidden="1"/>
    <cellStyle name="Besuchter Link" xfId="132" builtinId="9" hidden="1"/>
    <cellStyle name="Besuchter Link" xfId="134" builtinId="9" hidden="1"/>
    <cellStyle name="Besuchter Link" xfId="136" builtinId="9" hidden="1"/>
    <cellStyle name="Besuchter Link" xfId="138" builtinId="9" hidden="1"/>
    <cellStyle name="Besuchter Link" xfId="140" builtinId="9" hidden="1"/>
    <cellStyle name="Besuchter Link" xfId="142" builtinId="9" hidden="1"/>
    <cellStyle name="Besuchter Link" xfId="144" builtinId="9" hidden="1"/>
    <cellStyle name="Besuchter Link" xfId="146" builtinId="9" hidden="1"/>
    <cellStyle name="Besuchter Link" xfId="148" builtinId="9" hidden="1"/>
    <cellStyle name="Besuchter Link" xfId="150" builtinId="9" hidden="1"/>
    <cellStyle name="Besuchter Link" xfId="152" builtinId="9" hidden="1"/>
    <cellStyle name="Besuchter Link" xfId="154" builtinId="9" hidden="1"/>
    <cellStyle name="Besuchter Link" xfId="156" builtinId="9" hidden="1"/>
    <cellStyle name="Besuchter Link" xfId="158" builtinId="9" hidden="1"/>
    <cellStyle name="Besuchter Link" xfId="160" builtinId="9" hidden="1"/>
    <cellStyle name="Besuchter Link" xfId="162" builtinId="9" hidden="1"/>
    <cellStyle name="Besuchter Link" xfId="164" builtinId="9" hidden="1"/>
    <cellStyle name="Besuchter Link" xfId="166" builtinId="9" hidden="1"/>
    <cellStyle name="Besuchter Link" xfId="168" builtinId="9" hidden="1"/>
    <cellStyle name="Besuchter Link" xfId="170" builtinId="9" hidden="1"/>
    <cellStyle name="Besuchter Link" xfId="172" builtinId="9" hidden="1"/>
    <cellStyle name="Besuchter Link" xfId="174" builtinId="9" hidden="1"/>
    <cellStyle name="Besuchter Link" xfId="176" builtinId="9" hidden="1"/>
    <cellStyle name="Besuchter Link" xfId="178" builtinId="9" hidden="1"/>
    <cellStyle name="Besuchter Link" xfId="180" builtinId="9" hidden="1"/>
    <cellStyle name="Besuchter Link" xfId="182" builtinId="9" hidden="1"/>
    <cellStyle name="Besuchter Link" xfId="184" builtinId="9" hidden="1"/>
    <cellStyle name="Besuchter Link" xfId="186" builtinId="9" hidden="1"/>
    <cellStyle name="Besuchter Link" xfId="188" builtinId="9" hidden="1"/>
    <cellStyle name="Besuchter Link" xfId="190" builtinId="9" hidden="1"/>
    <cellStyle name="Besuchter Link" xfId="192" builtinId="9" hidden="1"/>
    <cellStyle name="Besuchter Link" xfId="194" builtinId="9" hidden="1"/>
    <cellStyle name="Besuchter Link" xfId="196" builtinId="9" hidden="1"/>
    <cellStyle name="Besuchter Link" xfId="198" builtinId="9" hidden="1"/>
    <cellStyle name="Besuchter Link" xfId="200" builtinId="9" hidden="1"/>
    <cellStyle name="Besuchter Link" xfId="202" builtinId="9" hidden="1"/>
    <cellStyle name="Besuchter Link" xfId="204" builtinId="9" hidden="1"/>
    <cellStyle name="Besuchter Link" xfId="206" builtinId="9" hidden="1"/>
    <cellStyle name="Besuchter Link" xfId="208" builtinId="9" hidden="1"/>
    <cellStyle name="Besuchter Link" xfId="210" builtinId="9" hidden="1"/>
    <cellStyle name="Besuchter Link" xfId="212" builtinId="9" hidden="1"/>
    <cellStyle name="Besuchter Link" xfId="214" builtinId="9" hidden="1"/>
    <cellStyle name="Besuchter Link" xfId="216" builtinId="9" hidden="1"/>
    <cellStyle name="Besuchter Link" xfId="218" builtinId="9" hidden="1"/>
    <cellStyle name="Besuchter Link" xfId="220" builtinId="9" hidden="1"/>
    <cellStyle name="Besuchter Link" xfId="222" builtinId="9" hidden="1"/>
    <cellStyle name="Besuchter Link" xfId="224" builtinId="9" hidden="1"/>
    <cellStyle name="Besuchter Link" xfId="226" builtinId="9" hidden="1"/>
    <cellStyle name="Besuchter Link" xfId="228" builtinId="9" hidden="1"/>
    <cellStyle name="Besuchter Link" xfId="230" builtinId="9" hidden="1"/>
    <cellStyle name="Besuchter Link" xfId="232" builtinId="9" hidden="1"/>
    <cellStyle name="Besuchter Link" xfId="234" builtinId="9" hidden="1"/>
    <cellStyle name="Besuchter Link" xfId="236" builtinId="9" hidden="1"/>
    <cellStyle name="Besuchter Link" xfId="238" builtinId="9" hidden="1"/>
    <cellStyle name="Besuchter Link" xfId="240" builtinId="9" hidden="1"/>
    <cellStyle name="Besuchter Link" xfId="242" builtinId="9" hidden="1"/>
    <cellStyle name="Besuchter Link" xfId="244" builtinId="9" hidden="1"/>
    <cellStyle name="Besuchter Link" xfId="246" builtinId="9" hidden="1"/>
    <cellStyle name="Besuchter Link" xfId="248" builtinId="9" hidden="1"/>
    <cellStyle name="Besuchter Link" xfId="250" builtinId="9" hidden="1"/>
    <cellStyle name="Besuchter Link" xfId="252" builtinId="9" hidden="1"/>
    <cellStyle name="Besuchter Link" xfId="254" builtinId="9" hidden="1"/>
    <cellStyle name="Besuchter Link" xfId="256" builtinId="9" hidden="1"/>
    <cellStyle name="Besuchter Link" xfId="258" builtinId="9" hidden="1"/>
    <cellStyle name="Besuchter Link" xfId="260" builtinId="9" hidden="1"/>
    <cellStyle name="Besuchter Link" xfId="262" builtinId="9" hidden="1"/>
    <cellStyle name="Besuchter Link" xfId="264" builtinId="9" hidden="1"/>
    <cellStyle name="Besuchter Link" xfId="266" builtinId="9" hidden="1"/>
    <cellStyle name="Besuchter Link" xfId="268" builtinId="9" hidden="1"/>
    <cellStyle name="Besuchter Link" xfId="270" builtinId="9" hidden="1"/>
    <cellStyle name="Besuchter Link" xfId="272" builtinId="9" hidden="1"/>
    <cellStyle name="Besuchter Link" xfId="274" builtinId="9" hidden="1"/>
    <cellStyle name="Besuchter Link" xfId="276" builtinId="9" hidden="1"/>
    <cellStyle name="Besuchter Link" xfId="278" builtinId="9" hidden="1"/>
    <cellStyle name="Besuchter Link" xfId="280" builtinId="9" hidden="1"/>
    <cellStyle name="Besuchter Link" xfId="282" builtinId="9" hidden="1"/>
    <cellStyle name="Besuchter Link" xfId="284" builtinId="9" hidden="1"/>
    <cellStyle name="Besuchter Link" xfId="286" builtinId="9" hidden="1"/>
    <cellStyle name="Besuchter Link" xfId="288" builtinId="9" hidden="1"/>
    <cellStyle name="Besuchter Link" xfId="290" builtinId="9" hidden="1"/>
    <cellStyle name="Besuchter Link" xfId="292" builtinId="9" hidden="1"/>
    <cellStyle name="Besuchter Link" xfId="294" builtinId="9" hidden="1"/>
    <cellStyle name="Besuchter Link" xfId="296" builtinId="9" hidden="1"/>
    <cellStyle name="Besuchter Link" xfId="298" builtinId="9" hidden="1"/>
    <cellStyle name="Besuchter Link" xfId="300" builtinId="9" hidden="1"/>
    <cellStyle name="Besuchter Link" xfId="302" builtinId="9" hidden="1"/>
    <cellStyle name="Besuchter Link" xfId="304" builtinId="9" hidden="1"/>
    <cellStyle name="Besuchter Link" xfId="306" builtinId="9" hidden="1"/>
    <cellStyle name="Besuchter Link" xfId="308" builtinId="9" hidden="1"/>
    <cellStyle name="Besuchter Link" xfId="310" builtinId="9" hidden="1"/>
    <cellStyle name="Besuchter Link" xfId="312" builtinId="9" hidden="1"/>
    <cellStyle name="Besuchter Link" xfId="314" builtinId="9" hidden="1"/>
    <cellStyle name="Besuchter Link" xfId="316" builtinId="9" hidden="1"/>
    <cellStyle name="Besuchter Link" xfId="318" builtinId="9" hidden="1"/>
    <cellStyle name="Besuchter Link" xfId="320" builtinId="9" hidden="1"/>
    <cellStyle name="Besuchter Link" xfId="322" builtinId="9" hidden="1"/>
    <cellStyle name="Besuchter Link" xfId="324" builtinId="9" hidden="1"/>
    <cellStyle name="Besuchter Link" xfId="326" builtinId="9" hidden="1"/>
    <cellStyle name="Besuchter Link" xfId="328" builtinId="9" hidden="1"/>
    <cellStyle name="Besuchter Link" xfId="330" builtinId="9" hidden="1"/>
    <cellStyle name="Besuchter Link" xfId="332" builtinId="9" hidden="1"/>
    <cellStyle name="Besuchter Link" xfId="334" builtinId="9" hidden="1"/>
    <cellStyle name="Besuchter Link" xfId="336" builtinId="9" hidden="1"/>
    <cellStyle name="Besuchter Link" xfId="338" builtinId="9" hidden="1"/>
    <cellStyle name="Besuchter Link" xfId="340" builtinId="9" hidden="1"/>
    <cellStyle name="Besuchter Link" xfId="342" builtinId="9" hidden="1"/>
    <cellStyle name="Besuchter Link" xfId="344" builtinId="9" hidden="1"/>
    <cellStyle name="Besuchter Link" xfId="346" builtinId="9" hidden="1"/>
    <cellStyle name="Besuchter Link" xfId="348" builtinId="9" hidden="1"/>
    <cellStyle name="Besuchter Link" xfId="350" builtinId="9" hidden="1"/>
    <cellStyle name="Besuchter Link" xfId="352" builtinId="9" hidden="1"/>
    <cellStyle name="Besuchter Link" xfId="354" builtinId="9" hidden="1"/>
    <cellStyle name="Besuchter Link" xfId="356" builtinId="9" hidden="1"/>
    <cellStyle name="Besuchter Link" xfId="358" builtinId="9" hidden="1"/>
    <cellStyle name="Besuchter Link" xfId="360" builtinId="9" hidden="1"/>
    <cellStyle name="Besuchter Link" xfId="362" builtinId="9" hidden="1"/>
    <cellStyle name="Besuchter Link" xfId="364" builtinId="9" hidden="1"/>
    <cellStyle name="Besuchter Link" xfId="366" builtinId="9" hidden="1"/>
    <cellStyle name="Besuchter Link" xfId="368" builtinId="9" hidden="1"/>
    <cellStyle name="Besuchter Link" xfId="370" builtinId="9" hidden="1"/>
    <cellStyle name="Besuchter Link" xfId="372" builtinId="9" hidden="1"/>
    <cellStyle name="Besuchter Link" xfId="374" builtinId="9" hidden="1"/>
    <cellStyle name="Besuchter Link" xfId="376" builtinId="9" hidden="1"/>
    <cellStyle name="Besuchter Link" xfId="378" builtinId="9" hidden="1"/>
    <cellStyle name="Besuchter Link" xfId="380" builtinId="9" hidden="1"/>
    <cellStyle name="Besuchter Link" xfId="382" builtinId="9" hidden="1"/>
    <cellStyle name="Besuchter Link" xfId="384" builtinId="9" hidden="1"/>
    <cellStyle name="Besuchter Link" xfId="386" builtinId="9" hidden="1"/>
    <cellStyle name="Besuchter Link" xfId="388" builtinId="9" hidden="1"/>
    <cellStyle name="Besuchter Link" xfId="390" builtinId="9" hidden="1"/>
    <cellStyle name="Besuchter Link" xfId="392" builtinId="9" hidden="1"/>
    <cellStyle name="Besuchter Link" xfId="394" builtinId="9" hidden="1"/>
    <cellStyle name="Besuchter Link" xfId="396" builtinId="9" hidden="1"/>
    <cellStyle name="Besuchter Link" xfId="398" builtinId="9" hidden="1"/>
    <cellStyle name="Besuchter Link" xfId="399" builtinId="9" hidden="1"/>
    <cellStyle name="Besuchter Link" xfId="400" builtinId="9" hidden="1"/>
    <cellStyle name="Besuchter Link" xfId="401" builtinId="9" hidden="1"/>
    <cellStyle name="Besuchter Link" xfId="402" builtinId="9" hidden="1"/>
    <cellStyle name="Besuchter Link" xfId="403" builtinId="9" hidden="1"/>
    <cellStyle name="Besuchter Link" xfId="404" builtinId="9" hidden="1"/>
    <cellStyle name="Besuchter Link" xfId="405" builtinId="9" hidden="1"/>
    <cellStyle name="Besuchter Link" xfId="406" builtinId="9" hidden="1"/>
    <cellStyle name="Besuchter Link" xfId="407" builtinId="9" hidden="1"/>
    <cellStyle name="Besuchter Link" xfId="408" builtinId="9" hidden="1"/>
    <cellStyle name="Besuchter Link" xfId="409" builtinId="9" hidden="1"/>
    <cellStyle name="Besuchter Link" xfId="410" builtinId="9" hidden="1"/>
    <cellStyle name="Besuchter Link" xfId="411" builtinId="9" hidden="1"/>
    <cellStyle name="Besuchter Link" xfId="412" builtinId="9" hidden="1"/>
    <cellStyle name="Besuchter Link" xfId="413" builtinId="9" hidden="1"/>
    <cellStyle name="Besuchter Link" xfId="414" builtinId="9" hidden="1"/>
    <cellStyle name="Besuchter Link" xfId="415" builtinId="9" hidden="1"/>
    <cellStyle name="Besuchter Link" xfId="416" builtinId="9" hidden="1"/>
    <cellStyle name="Besuchter Link" xfId="417" builtinId="9" hidden="1"/>
    <cellStyle name="Besuchter Link" xfId="418" builtinId="9" hidden="1"/>
    <cellStyle name="Besuchter Link" xfId="419" builtinId="9" hidden="1"/>
    <cellStyle name="Besuchter Link" xfId="420" builtinId="9" hidden="1"/>
    <cellStyle name="Besuchter Link" xfId="421" builtinId="9" hidden="1"/>
    <cellStyle name="Besuchter Link" xfId="422" builtinId="9" hidden="1"/>
    <cellStyle name="Besuchter Link" xfId="423" builtinId="9" hidden="1"/>
    <cellStyle name="Besuchter Link" xfId="424" builtinId="9" hidden="1"/>
    <cellStyle name="Besuchter Link" xfId="425" builtinId="9" hidden="1"/>
    <cellStyle name="Besuchter Link" xfId="426" builtinId="9" hidden="1"/>
    <cellStyle name="Besuchter Link" xfId="427" builtinId="9" hidden="1"/>
    <cellStyle name="Besuchter Link" xfId="428" builtinId="9" hidden="1"/>
    <cellStyle name="Besuchter Link" xfId="429" builtinId="9" hidden="1"/>
    <cellStyle name="Besuchter Link" xfId="430" builtinId="9" hidden="1"/>
    <cellStyle name="Besuchter Link" xfId="431" builtinId="9" hidden="1"/>
    <cellStyle name="Besuchter Link" xfId="432" builtinId="9" hidden="1"/>
    <cellStyle name="Besuchter Link" xfId="433" builtinId="9" hidden="1"/>
    <cellStyle name="Besuchter Link" xfId="434" builtinId="9" hidden="1"/>
    <cellStyle name="Besuchter Link" xfId="435" builtinId="9" hidden="1"/>
    <cellStyle name="Besuchter Link" xfId="436" builtinId="9" hidden="1"/>
    <cellStyle name="Besuchter Link" xfId="437" builtinId="9" hidden="1"/>
    <cellStyle name="Besuchter Link" xfId="438" builtinId="9" hidden="1"/>
    <cellStyle name="Besuchter Link" xfId="439" builtinId="9" hidden="1"/>
    <cellStyle name="Besuchter Link" xfId="440" builtinId="9" hidden="1"/>
    <cellStyle name="Besuchter Link" xfId="441" builtinId="9" hidden="1"/>
    <cellStyle name="Besuchter Link" xfId="442" builtinId="9" hidden="1"/>
    <cellStyle name="Besuchter Link" xfId="443" builtinId="9" hidden="1"/>
    <cellStyle name="Besuchter Link" xfId="444" builtinId="9" hidden="1"/>
    <cellStyle name="Besuchter Link" xfId="445" builtinId="9" hidden="1"/>
    <cellStyle name="Besuchter Link" xfId="446" builtinId="9" hidden="1"/>
    <cellStyle name="Besuchter Link" xfId="447" builtinId="9" hidden="1"/>
    <cellStyle name="Besuchter Link" xfId="448" builtinId="9" hidden="1"/>
    <cellStyle name="Besuchter Link" xfId="449" builtinId="9" hidden="1"/>
    <cellStyle name="Besuchter Link" xfId="450" builtinId="9" hidden="1"/>
    <cellStyle name="Besuchter Link" xfId="451" builtinId="9" hidden="1"/>
    <cellStyle name="Besuchter Link" xfId="452" builtinId="9" hidden="1"/>
    <cellStyle name="Besuchter Link" xfId="453" builtinId="9" hidden="1"/>
    <cellStyle name="Besuchter Link" xfId="454" builtinId="9" hidden="1"/>
    <cellStyle name="Besuchter Link" xfId="455" builtinId="9" hidden="1"/>
    <cellStyle name="Besuchter Link" xfId="456" builtinId="9" hidden="1"/>
    <cellStyle name="Besuchter Link" xfId="457" builtinId="9" hidden="1"/>
    <cellStyle name="Besuchter Link" xfId="458" builtinId="9" hidden="1"/>
    <cellStyle name="Besuchter Link" xfId="459" builtinId="9" hidden="1"/>
    <cellStyle name="Besuchter Link" xfId="460" builtinId="9" hidden="1"/>
    <cellStyle name="Besuchter Link" xfId="461" builtinId="9" hidden="1"/>
    <cellStyle name="Besuchter Link" xfId="462" builtinId="9" hidden="1"/>
    <cellStyle name="Besuchter Link" xfId="463" builtinId="9" hidden="1"/>
    <cellStyle name="Besuchter Link" xfId="464" builtinId="9" hidden="1"/>
    <cellStyle name="Besuchter Link" xfId="465" builtinId="9" hidden="1"/>
    <cellStyle name="Besuchter Link" xfId="466" builtinId="9" hidden="1"/>
    <cellStyle name="Besuchter Link" xfId="467" builtinId="9" hidden="1"/>
    <cellStyle name="Besuchter Link" xfId="468" builtinId="9" hidden="1"/>
    <cellStyle name="Besuchter Link" xfId="469" builtinId="9" hidden="1"/>
    <cellStyle name="Besuchter Link" xfId="470" builtinId="9" hidden="1"/>
    <cellStyle name="Besuchter Link" xfId="471" builtinId="9" hidden="1"/>
    <cellStyle name="Besuchter Link" xfId="472" builtinId="9" hidden="1"/>
    <cellStyle name="Besuchter Link" xfId="473" builtinId="9" hidden="1"/>
    <cellStyle name="Besuchter Link" xfId="474" builtinId="9" hidden="1"/>
    <cellStyle name="Besuchter Link" xfId="475" builtinId="9" hidden="1"/>
    <cellStyle name="Besuchter Link" xfId="476" builtinId="9" hidden="1"/>
    <cellStyle name="Besuchter Link" xfId="477" builtinId="9" hidden="1"/>
    <cellStyle name="Besuchter Link" xfId="478" builtinId="9" hidden="1"/>
    <cellStyle name="Besuchter Link" xfId="479" builtinId="9" hidden="1"/>
    <cellStyle name="Besuchter Link" xfId="480" builtinId="9" hidden="1"/>
    <cellStyle name="Besuchter Link" xfId="481" builtinId="9" hidden="1"/>
    <cellStyle name="Besuchter Link" xfId="482" builtinId="9" hidden="1"/>
    <cellStyle name="Besuchter Link" xfId="483" builtinId="9" hidden="1"/>
    <cellStyle name="Besuchter Link" xfId="484" builtinId="9" hidden="1"/>
    <cellStyle name="Besuchter Link" xfId="485" builtinId="9" hidden="1"/>
    <cellStyle name="Besuchter Link" xfId="486" builtinId="9" hidden="1"/>
    <cellStyle name="Besuchter Link" xfId="487" builtinId="9" hidden="1"/>
    <cellStyle name="Besuchter Link" xfId="488" builtinId="9" hidden="1"/>
    <cellStyle name="Besuchter Link" xfId="489" builtinId="9" hidden="1"/>
    <cellStyle name="Besuchter Link" xfId="490" builtinId="9" hidden="1"/>
    <cellStyle name="Besuchter Link" xfId="491" builtinId="9" hidden="1"/>
    <cellStyle name="Besuchter Link" xfId="492" builtinId="9" hidden="1"/>
    <cellStyle name="Besuchter Link" xfId="493" builtinId="9" hidden="1"/>
    <cellStyle name="Besuchter Link" xfId="494" builtinId="9" hidden="1"/>
    <cellStyle name="Besuchter Link" xfId="495" builtinId="9" hidden="1"/>
    <cellStyle name="Besuchter Link" xfId="496" builtinId="9" hidden="1"/>
    <cellStyle name="Besuchter Link" xfId="497" builtinId="9" hidden="1"/>
    <cellStyle name="Besuchter Link" xfId="498" builtinId="9" hidden="1"/>
    <cellStyle name="Besuchter Link" xfId="499" builtinId="9" hidden="1"/>
    <cellStyle name="Besuchter Link" xfId="500" builtinId="9" hidden="1"/>
    <cellStyle name="Besuchter Link" xfId="501" builtinId="9" hidden="1"/>
    <cellStyle name="Besuchter Link" xfId="502" builtinId="9" hidden="1"/>
    <cellStyle name="Besuchter Link" xfId="503" builtinId="9" hidden="1"/>
    <cellStyle name="Besuchter Link" xfId="504" builtinId="9" hidden="1"/>
    <cellStyle name="Besuchter Link" xfId="505" builtinId="9" hidden="1"/>
    <cellStyle name="Besuchter Link" xfId="506" builtinId="9" hidden="1"/>
    <cellStyle name="Besuchter Link" xfId="507" builtinId="9" hidden="1"/>
    <cellStyle name="Besuchter Link" xfId="508" builtinId="9" hidden="1"/>
    <cellStyle name="Besuchter Link" xfId="509" builtinId="9" hidden="1"/>
    <cellStyle name="Besuchter Link" xfId="510" builtinId="9" hidden="1"/>
    <cellStyle name="Besuchter Link" xfId="511" builtinId="9" hidden="1"/>
    <cellStyle name="Besuchter Link" xfId="512" builtinId="9" hidden="1"/>
    <cellStyle name="Besuchter Link" xfId="513" builtinId="9" hidden="1"/>
    <cellStyle name="Besuchter Link" xfId="514" builtinId="9" hidden="1"/>
    <cellStyle name="Besuchter Link" xfId="515" builtinId="9" hidden="1"/>
    <cellStyle name="Besuchter Link" xfId="516" builtinId="9" hidden="1"/>
    <cellStyle name="Besuchter Link" xfId="517" builtinId="9" hidden="1"/>
    <cellStyle name="Besuchter Link" xfId="518" builtinId="9" hidden="1"/>
    <cellStyle name="Besuchter Link" xfId="519" builtinId="9" hidden="1"/>
    <cellStyle name="Besuchter Link" xfId="520" builtinId="9" hidden="1"/>
    <cellStyle name="Besuchter Link" xfId="521" builtinId="9" hidden="1"/>
    <cellStyle name="Besuchter Link" xfId="522" builtinId="9" hidden="1"/>
    <cellStyle name="Besuchter Link" xfId="523" builtinId="9" hidden="1"/>
    <cellStyle name="Besuchter Link" xfId="524" builtinId="9" hidden="1"/>
    <cellStyle name="Besuchter Link" xfId="525" builtinId="9" hidden="1"/>
    <cellStyle name="Besuchter Link" xfId="526" builtinId="9" hidden="1"/>
    <cellStyle name="Besuchter Link" xfId="527" builtinId="9" hidden="1"/>
    <cellStyle name="Besuchter Link" xfId="528" builtinId="9" hidden="1"/>
    <cellStyle name="Besuchter Link" xfId="529" builtinId="9" hidden="1"/>
    <cellStyle name="Besuchter Link" xfId="530" builtinId="9" hidden="1"/>
    <cellStyle name="Besuchter Link" xfId="531" builtinId="9" hidden="1"/>
    <cellStyle name="Besuchter Link" xfId="532" builtinId="9" hidden="1"/>
    <cellStyle name="Besuchter Link" xfId="533" builtinId="9" hidden="1"/>
    <cellStyle name="Besuchter Link" xfId="534" builtinId="9" hidden="1"/>
    <cellStyle name="Besuchter Link" xfId="535" builtinId="9" hidden="1"/>
    <cellStyle name="Besuchter Link" xfId="536" builtinId="9" hidden="1"/>
    <cellStyle name="Besuchter Link" xfId="537" builtinId="9" hidden="1"/>
    <cellStyle name="Besuchter Link" xfId="538" builtinId="9" hidden="1"/>
    <cellStyle name="Besuchter Link" xfId="539" builtinId="9" hidden="1"/>
    <cellStyle name="Besuchter Link" xfId="540" builtinId="9" hidden="1"/>
    <cellStyle name="Besuchter Link" xfId="541" builtinId="9" hidden="1"/>
    <cellStyle name="Besuchter Link" xfId="542" builtinId="9" hidden="1"/>
    <cellStyle name="Besuchter Link" xfId="543" builtinId="9" hidden="1"/>
    <cellStyle name="Besuchter Link" xfId="544" builtinId="9" hidden="1"/>
    <cellStyle name="Besuchter Link" xfId="545" builtinId="9" hidden="1"/>
    <cellStyle name="Besuchter Link" xfId="546" builtinId="9" hidden="1"/>
    <cellStyle name="Besuchter Link" xfId="547" builtinId="9" hidden="1"/>
    <cellStyle name="Besuchter Link" xfId="548" builtinId="9" hidden="1"/>
    <cellStyle name="Besuchter Link" xfId="549" builtinId="9" hidden="1"/>
    <cellStyle name="Besuchter Link" xfId="550" builtinId="9" hidden="1"/>
    <cellStyle name="Besuchter Link" xfId="551" builtinId="9" hidden="1"/>
    <cellStyle name="Besuchter Link" xfId="552" builtinId="9" hidden="1"/>
    <cellStyle name="Besuchter Link" xfId="553" builtinId="9" hidden="1"/>
    <cellStyle name="Besuchter Link" xfId="554" builtinId="9" hidden="1"/>
    <cellStyle name="Besuchter Link" xfId="555" builtinId="9" hidden="1"/>
    <cellStyle name="Besuchter Link" xfId="556" builtinId="9" hidden="1"/>
    <cellStyle name="Besuchter Link" xfId="557" builtinId="9" hidden="1"/>
    <cellStyle name="Besuchter Link" xfId="558" builtinId="9" hidden="1"/>
    <cellStyle name="Besuchter Link" xfId="559" builtinId="9" hidden="1"/>
    <cellStyle name="Besuchter Link" xfId="560" builtinId="9" hidden="1"/>
    <cellStyle name="Besuchter Link" xfId="561" builtinId="9" hidden="1"/>
    <cellStyle name="Besuchter Link" xfId="562" builtinId="9" hidden="1"/>
    <cellStyle name="Besuchter Link" xfId="563" builtinId="9" hidden="1"/>
    <cellStyle name="Besuchter Link" xfId="564" builtinId="9" hidden="1"/>
    <cellStyle name="Besuchter Link" xfId="565" builtinId="9" hidden="1"/>
    <cellStyle name="Besuchter Link" xfId="566" builtinId="9" hidden="1"/>
    <cellStyle name="Besuchter Link" xfId="567" builtinId="9" hidden="1"/>
    <cellStyle name="Besuchter Link" xfId="568" builtinId="9" hidden="1"/>
    <cellStyle name="Besuchter Link" xfId="569" builtinId="9" hidden="1"/>
    <cellStyle name="Besuchter Link" xfId="570" builtinId="9" hidden="1"/>
    <cellStyle name="Besuchter Link" xfId="571" builtinId="9" hidden="1"/>
    <cellStyle name="Besuchter Link" xfId="572" builtinId="9" hidden="1"/>
    <cellStyle name="Besuchter Link" xfId="573" builtinId="9" hidden="1"/>
    <cellStyle name="Besuchter Link" xfId="574" builtinId="9" hidden="1"/>
    <cellStyle name="Besuchter Link" xfId="575" builtinId="9" hidden="1"/>
    <cellStyle name="Besuchter Link" xfId="576" builtinId="9" hidden="1"/>
    <cellStyle name="Besuchter Link" xfId="577" builtinId="9" hidden="1"/>
    <cellStyle name="Besuchter Link" xfId="578" builtinId="9" hidden="1"/>
    <cellStyle name="Besuchter Link" xfId="579" builtinId="9" hidden="1"/>
    <cellStyle name="Besuchter Link" xfId="580" builtinId="9" hidden="1"/>
    <cellStyle name="Besuchter Link" xfId="581" builtinId="9" hidden="1"/>
    <cellStyle name="Besuchter Link" xfId="582" builtinId="9" hidden="1"/>
    <cellStyle name="Besuchter Link" xfId="583" builtinId="9" hidden="1"/>
    <cellStyle name="Besuchter Link" xfId="584" builtinId="9" hidden="1"/>
    <cellStyle name="Besuchter Link" xfId="585" builtinId="9" hidden="1"/>
    <cellStyle name="Besuchter Link" xfId="586" builtinId="9" hidden="1"/>
    <cellStyle name="Besuchter Link" xfId="587" builtinId="9" hidden="1"/>
    <cellStyle name="Besuchter Link" xfId="588" builtinId="9" hidden="1"/>
    <cellStyle name="Besuchter Link" xfId="589" builtinId="9" hidden="1"/>
    <cellStyle name="Besuchter Link" xfId="590" builtinId="9" hidden="1"/>
    <cellStyle name="Besuchter Link" xfId="591" builtinId="9" hidden="1"/>
    <cellStyle name="Besuchter Link" xfId="592" builtinId="9" hidden="1"/>
    <cellStyle name="Besuchter Link" xfId="593" builtinId="9" hidden="1"/>
    <cellStyle name="Besuchter Link" xfId="594" builtinId="9" hidden="1"/>
    <cellStyle name="Besuchter Link" xfId="595" builtinId="9" hidden="1"/>
    <cellStyle name="Besuchter Link" xfId="596" builtinId="9" hidden="1"/>
    <cellStyle name="Besuchter Link" xfId="597" builtinId="9" hidden="1"/>
    <cellStyle name="Besuchter Link" xfId="598" builtinId="9" hidden="1"/>
    <cellStyle name="Besuchter Link" xfId="599" builtinId="9" hidden="1"/>
    <cellStyle name="Besuchter Link" xfId="600" builtinId="9" hidden="1"/>
    <cellStyle name="Besuchter Link" xfId="601" builtinId="9" hidden="1"/>
    <cellStyle name="Besuchter Link" xfId="602" builtinId="9" hidden="1"/>
    <cellStyle name="Besuchter Link" xfId="603" builtinId="9" hidden="1"/>
    <cellStyle name="Besuchter Link" xfId="604" builtinId="9" hidden="1"/>
    <cellStyle name="Besuchter Link" xfId="605" builtinId="9" hidden="1"/>
    <cellStyle name="Besuchter Link" xfId="606" builtinId="9" hidden="1"/>
    <cellStyle name="Besuchter Link" xfId="607" builtinId="9" hidden="1"/>
    <cellStyle name="Besuchter Link" xfId="608" builtinId="9" hidden="1"/>
    <cellStyle name="Besuchter Link" xfId="609" builtinId="9" hidden="1"/>
    <cellStyle name="Besuchter Link" xfId="610" builtinId="9" hidden="1"/>
    <cellStyle name="Besuchter Link" xfId="611" builtinId="9" hidden="1"/>
    <cellStyle name="Besuchter Link" xfId="612" builtinId="9" hidden="1"/>
    <cellStyle name="Besuchter Link" xfId="613" builtinId="9" hidden="1"/>
    <cellStyle name="Besuchter Link" xfId="614" builtinId="9" hidden="1"/>
    <cellStyle name="Besuchter Link" xfId="615" builtinId="9" hidden="1"/>
    <cellStyle name="Besuchter Link" xfId="616" builtinId="9" hidden="1"/>
    <cellStyle name="Besuchter Link" xfId="617" builtinId="9" hidden="1"/>
    <cellStyle name="Besuchter Link" xfId="618" builtinId="9" hidden="1"/>
    <cellStyle name="Besuchter Link" xfId="619" builtinId="9" hidden="1"/>
    <cellStyle name="Besuchter Link" xfId="620" builtinId="9" hidden="1"/>
    <cellStyle name="Besuchter Link" xfId="621" builtinId="9" hidden="1"/>
    <cellStyle name="Besuchter Link" xfId="622" builtinId="9" hidden="1"/>
    <cellStyle name="Besuchter Link" xfId="623" builtinId="9" hidden="1"/>
    <cellStyle name="Besuchter Link" xfId="624" builtinId="9" hidden="1"/>
    <cellStyle name="Besuchter Link" xfId="625" builtinId="9" hidden="1"/>
    <cellStyle name="Besuchter Link" xfId="626" builtinId="9" hidden="1"/>
    <cellStyle name="Besuchter Link" xfId="627" builtinId="9" hidden="1"/>
    <cellStyle name="Besuchter Link" xfId="628" builtinId="9" hidden="1"/>
    <cellStyle name="Besuchter Link" xfId="629" builtinId="9" hidden="1"/>
    <cellStyle name="Besuchter Link" xfId="630" builtinId="9" hidden="1"/>
    <cellStyle name="Besuchter Link" xfId="631" builtinId="9" hidden="1"/>
    <cellStyle name="Besuchter Link" xfId="632" builtinId="9" hidden="1"/>
    <cellStyle name="Besuchter Link" xfId="633" builtinId="9" hidden="1"/>
    <cellStyle name="Besuchter Link" xfId="634" builtinId="9" hidden="1"/>
    <cellStyle name="Besuchter Link" xfId="635" builtinId="9" hidden="1"/>
    <cellStyle name="Besuchter Link" xfId="636" builtinId="9" hidden="1"/>
    <cellStyle name="Besuchter Link" xfId="637" builtinId="9" hidden="1"/>
    <cellStyle name="Besuchter Link" xfId="638" builtinId="9" hidden="1"/>
    <cellStyle name="Besuchter Link" xfId="639" builtinId="9" hidden="1"/>
    <cellStyle name="Besuchter Link" xfId="640" builtinId="9" hidden="1"/>
    <cellStyle name="Besuchter Link" xfId="641" builtinId="9" hidden="1"/>
    <cellStyle name="Besuchter Link" xfId="642" builtinId="9" hidden="1"/>
    <cellStyle name="Besuchter Link" xfId="643" builtinId="9" hidden="1"/>
    <cellStyle name="Besuchter Link" xfId="644" builtinId="9" hidden="1"/>
    <cellStyle name="Besuchter Link" xfId="645" builtinId="9" hidden="1"/>
    <cellStyle name="Besuchter Link" xfId="646" builtinId="9" hidden="1"/>
    <cellStyle name="Besuchter Link" xfId="647" builtinId="9" hidden="1"/>
    <cellStyle name="Besuchter Link" xfId="648" builtinId="9" hidden="1"/>
    <cellStyle name="Besuchter Link" xfId="649" builtinId="9" hidden="1"/>
    <cellStyle name="Besuchter Link" xfId="650" builtinId="9" hidden="1"/>
    <cellStyle name="Besuchter Link" xfId="651" builtinId="9" hidden="1"/>
    <cellStyle name="Besuchter Link" xfId="652" builtinId="9" hidden="1"/>
    <cellStyle name="Besuchter Link" xfId="653" builtinId="9" hidden="1"/>
    <cellStyle name="Besuchter Link" xfId="654" builtinId="9" hidden="1"/>
    <cellStyle name="Besuchter Link" xfId="655" builtinId="9" hidden="1"/>
    <cellStyle name="Besuchter Link" xfId="656" builtinId="9" hidden="1"/>
    <cellStyle name="Besuchter Link" xfId="657" builtinId="9" hidden="1"/>
    <cellStyle name="Besuchter Link" xfId="658" builtinId="9" hidden="1"/>
    <cellStyle name="Besuchter Link" xfId="659" builtinId="9" hidden="1"/>
    <cellStyle name="Besuchter Link" xfId="660" builtinId="9" hidden="1"/>
    <cellStyle name="Besuchter Link" xfId="661" builtinId="9" hidden="1"/>
    <cellStyle name="Besuchter Link" xfId="662" builtinId="9" hidden="1"/>
    <cellStyle name="Besuchter Link" xfId="663" builtinId="9" hidden="1"/>
    <cellStyle name="Besuchter Link" xfId="664" builtinId="9" hidden="1"/>
    <cellStyle name="Besuchter Link" xfId="665" builtinId="9" hidden="1"/>
    <cellStyle name="Besuchter Link" xfId="666" builtinId="9" hidden="1"/>
    <cellStyle name="Besuchter Link" xfId="667" builtinId="9" hidden="1"/>
    <cellStyle name="Besuchter Link" xfId="668" builtinId="9" hidden="1"/>
    <cellStyle name="Besuchter Link" xfId="669" builtinId="9" hidden="1"/>
    <cellStyle name="Besuchter Link" xfId="670" builtinId="9" hidden="1"/>
    <cellStyle name="Besuchter Link" xfId="671" builtinId="9" hidden="1"/>
    <cellStyle name="Besuchter Link" xfId="672" builtinId="9" hidden="1"/>
    <cellStyle name="Besuchter Link" xfId="673" builtinId="9" hidden="1"/>
    <cellStyle name="Besuchter Link" xfId="674" builtinId="9" hidden="1"/>
    <cellStyle name="Besuchter Link" xfId="675" builtinId="9" hidden="1"/>
    <cellStyle name="Besuchter Link" xfId="676" builtinId="9" hidden="1"/>
    <cellStyle name="Besuchter Link" xfId="677" builtinId="9" hidden="1"/>
    <cellStyle name="Besuchter Link" xfId="678" builtinId="9" hidden="1"/>
    <cellStyle name="Besuchter Link" xfId="679" builtinId="9" hidden="1"/>
    <cellStyle name="Besuchter Link" xfId="680" builtinId="9" hidden="1"/>
    <cellStyle name="Besuchter Link" xfId="681" builtinId="9" hidden="1"/>
    <cellStyle name="Besuchter Link" xfId="682" builtinId="9" hidden="1"/>
    <cellStyle name="Besuchter Link" xfId="683" builtinId="9" hidden="1"/>
    <cellStyle name="Besuchter Link" xfId="684" builtinId="9" hidden="1"/>
    <cellStyle name="Besuchter Link" xfId="685" builtinId="9" hidden="1"/>
    <cellStyle name="Besuchter Link" xfId="686" builtinId="9" hidden="1"/>
    <cellStyle name="Besuchter Link" xfId="687" builtinId="9" hidden="1"/>
    <cellStyle name="Besuchter Link" xfId="688" builtinId="9" hidden="1"/>
    <cellStyle name="Besuchter Link" xfId="689" builtinId="9" hidden="1"/>
    <cellStyle name="Besuchter Link" xfId="690" builtinId="9" hidden="1"/>
    <cellStyle name="Besuchter Link" xfId="691" builtinId="9" hidden="1"/>
    <cellStyle name="Besuchter Link" xfId="692" builtinId="9" hidden="1"/>
    <cellStyle name="Besuchter Link" xfId="693" builtinId="9" hidden="1"/>
    <cellStyle name="Besuchter Link" xfId="694" builtinId="9" hidden="1"/>
    <cellStyle name="Besuchter Link" xfId="695" builtinId="9" hidden="1"/>
    <cellStyle name="Besuchter Link" xfId="696" builtinId="9" hidden="1"/>
    <cellStyle name="Besuchter Link" xfId="697" builtinId="9" hidden="1"/>
    <cellStyle name="Besuchter Link" xfId="698" builtinId="9" hidden="1"/>
    <cellStyle name="Besuchter Link" xfId="699" builtinId="9" hidden="1"/>
    <cellStyle name="Besuchter Link" xfId="700" builtinId="9" hidden="1"/>
    <cellStyle name="Besuchter Link" xfId="701" builtinId="9" hidden="1"/>
    <cellStyle name="Besuchter Link" xfId="702" builtinId="9" hidden="1"/>
    <cellStyle name="Besuchter Link" xfId="703" builtinId="9" hidden="1"/>
    <cellStyle name="Besuchter Link" xfId="704" builtinId="9" hidden="1"/>
    <cellStyle name="Besuchter Link" xfId="705" builtinId="9" hidden="1"/>
    <cellStyle name="Besuchter Link" xfId="706" builtinId="9" hidden="1"/>
    <cellStyle name="Besuchter Link" xfId="707" builtinId="9" hidden="1"/>
    <cellStyle name="Besuchter Link" xfId="708" builtinId="9" hidden="1"/>
    <cellStyle name="Besuchter Link" xfId="709" builtinId="9" hidden="1"/>
    <cellStyle name="Besuchter Link" xfId="710" builtinId="9" hidden="1"/>
    <cellStyle name="Besuchter Link" xfId="711" builtinId="9" hidden="1"/>
    <cellStyle name="Besuchter Link" xfId="712" builtinId="9" hidden="1"/>
    <cellStyle name="Besuchter Link" xfId="713" builtinId="9" hidden="1"/>
    <cellStyle name="Besuchter Link" xfId="714" builtinId="9" hidden="1"/>
    <cellStyle name="Besuchter Link" xfId="715" builtinId="9" hidden="1"/>
    <cellStyle name="Besuchter Link" xfId="716" builtinId="9" hidden="1"/>
    <cellStyle name="Besuchter Link" xfId="717" builtinId="9" hidden="1"/>
    <cellStyle name="Besuchter Link" xfId="718" builtinId="9" hidden="1"/>
    <cellStyle name="Besuchter Link" xfId="719" builtinId="9" hidden="1"/>
    <cellStyle name="Besuchter Link" xfId="720" builtinId="9" hidden="1"/>
    <cellStyle name="Besuchter Link" xfId="721" builtinId="9" hidden="1"/>
    <cellStyle name="Besuchter Link" xfId="722" builtinId="9" hidden="1"/>
    <cellStyle name="Besuchter Link" xfId="723" builtinId="9" hidden="1"/>
    <cellStyle name="Besuchter Link" xfId="724" builtinId="9" hidden="1"/>
    <cellStyle name="Besuchter Link" xfId="725" builtinId="9" hidden="1"/>
    <cellStyle name="Besuchter Link" xfId="726" builtinId="9" hidden="1"/>
    <cellStyle name="Besuchter Link" xfId="727" builtinId="9" hidden="1"/>
    <cellStyle name="Besuchter Link" xfId="728" builtinId="9" hidden="1"/>
    <cellStyle name="Besuchter Link" xfId="729" builtinId="9" hidden="1"/>
    <cellStyle name="Besuchter Link" xfId="730" builtinId="9" hidden="1"/>
    <cellStyle name="Besuchter Link" xfId="731" builtinId="9" hidden="1"/>
    <cellStyle name="Besuchter Link" xfId="732" builtinId="9" hidden="1"/>
    <cellStyle name="Besuchter Link" xfId="733" builtinId="9" hidden="1"/>
    <cellStyle name="Besuchter Link" xfId="734" builtinId="9" hidden="1"/>
    <cellStyle name="Besuchter Link" xfId="735" builtinId="9" hidden="1"/>
    <cellStyle name="Besuchter Link" xfId="736" builtinId="9" hidden="1"/>
    <cellStyle name="Besuchter Link" xfId="737" builtinId="9" hidden="1"/>
    <cellStyle name="Besuchter Link" xfId="738" builtinId="9" hidden="1"/>
    <cellStyle name="Besuchter Link" xfId="739" builtinId="9" hidden="1"/>
    <cellStyle name="Besuchter Link" xfId="740" builtinId="9" hidden="1"/>
    <cellStyle name="Besuchter Link" xfId="741" builtinId="9" hidden="1"/>
    <cellStyle name="Besuchter Link" xfId="742" builtinId="9" hidden="1"/>
    <cellStyle name="Besuchter Link" xfId="743" builtinId="9" hidden="1"/>
    <cellStyle name="Besuchter Link" xfId="744" builtinId="9" hidden="1"/>
    <cellStyle name="Besuchter Link" xfId="745" builtinId="9" hidden="1"/>
    <cellStyle name="Besuchter Link" xfId="746" builtinId="9" hidden="1"/>
    <cellStyle name="Besuchter Link" xfId="747" builtinId="9" hidden="1"/>
    <cellStyle name="Besuchter Link" xfId="748" builtinId="9" hidden="1"/>
    <cellStyle name="Besuchter Link" xfId="749" builtinId="9" hidden="1"/>
    <cellStyle name="Besuchter Link" xfId="750" builtinId="9" hidden="1"/>
    <cellStyle name="Besuchter Link" xfId="751" builtinId="9" hidden="1"/>
    <cellStyle name="Besuchter Link" xfId="752" builtinId="9" hidden="1"/>
    <cellStyle name="Besuchter Link" xfId="753" builtinId="9" hidden="1"/>
    <cellStyle name="Besuchter Link" xfId="754" builtinId="9" hidden="1"/>
    <cellStyle name="Besuchter Link" xfId="755" builtinId="9" hidden="1"/>
    <cellStyle name="Besuchter Link" xfId="756" builtinId="9" hidden="1"/>
    <cellStyle name="Besuchter Link" xfId="757" builtinId="9" hidden="1"/>
    <cellStyle name="Besuchter Link" xfId="758" builtinId="9" hidden="1"/>
    <cellStyle name="Besuchter Link" xfId="759" builtinId="9" hidden="1"/>
    <cellStyle name="Besuchter Link" xfId="760" builtinId="9" hidden="1"/>
    <cellStyle name="Besuchter Link" xfId="761" builtinId="9" hidden="1"/>
    <cellStyle name="Besuchter Link" xfId="762" builtinId="9" hidden="1"/>
    <cellStyle name="Besuchter Link" xfId="763" builtinId="9" hidden="1"/>
    <cellStyle name="Besuchter Link" xfId="764" builtinId="9" hidden="1"/>
    <cellStyle name="Besuchter Link" xfId="765" builtinId="9" hidden="1"/>
    <cellStyle name="Besuchter Link" xfId="766" builtinId="9" hidden="1"/>
    <cellStyle name="Besuchter Link" xfId="767" builtinId="9" hidden="1"/>
    <cellStyle name="Besuchter Link" xfId="768" builtinId="9" hidden="1"/>
    <cellStyle name="Besuchter Link" xfId="769" builtinId="9" hidden="1"/>
    <cellStyle name="Besuchter Link" xfId="770" builtinId="9" hidden="1"/>
    <cellStyle name="Besuchter Link" xfId="771" builtinId="9" hidden="1"/>
    <cellStyle name="Besuchter Link" xfId="772" builtinId="9" hidden="1"/>
    <cellStyle name="Besuchter Link" xfId="773" builtinId="9" hidden="1"/>
    <cellStyle name="Besuchter Link" xfId="774" builtinId="9" hidden="1"/>
    <cellStyle name="Besuchter Link" xfId="775" builtinId="9" hidden="1"/>
    <cellStyle name="Besuchter Link" xfId="776" builtinId="9" hidden="1"/>
    <cellStyle name="Besuchter Link" xfId="777" builtinId="9" hidden="1"/>
    <cellStyle name="Besuchter Link" xfId="778" builtinId="9" hidden="1"/>
    <cellStyle name="Besuchter Link" xfId="779" builtinId="9" hidden="1"/>
    <cellStyle name="Besuchter Link" xfId="780" builtinId="9" hidden="1"/>
    <cellStyle name="Besuchter Link" xfId="781" builtinId="9" hidden="1"/>
    <cellStyle name="Besuchter Link" xfId="782" builtinId="9" hidden="1"/>
    <cellStyle name="Besuchter Link" xfId="783" builtinId="9" hidden="1"/>
    <cellStyle name="Besuchter Link" xfId="784" builtinId="9" hidden="1"/>
    <cellStyle name="Besuchter Link" xfId="785" builtinId="9" hidden="1"/>
    <cellStyle name="Besuchter Link" xfId="786" builtinId="9" hidden="1"/>
    <cellStyle name="Besuchter Link" xfId="787" builtinId="9" hidden="1"/>
    <cellStyle name="Besuchter Link" xfId="788" builtinId="9" hidden="1"/>
    <cellStyle name="Besuchter Link" xfId="789" builtinId="9" hidden="1"/>
    <cellStyle name="Besuchter Link" xfId="790" builtinId="9" hidden="1"/>
    <cellStyle name="Besuchter Link" xfId="791" builtinId="9" hidden="1"/>
    <cellStyle name="Besuchter Link" xfId="792" builtinId="9" hidden="1"/>
    <cellStyle name="Besuchter Link" xfId="793" builtinId="9" hidden="1"/>
    <cellStyle name="Besuchter Link" xfId="794" builtinId="9" hidden="1"/>
    <cellStyle name="Besuchter Link" xfId="795" builtinId="9" hidden="1"/>
    <cellStyle name="Besuchter Link" xfId="796" builtinId="9" hidden="1"/>
    <cellStyle name="Besuchter Link" xfId="797" builtinId="9" hidden="1"/>
    <cellStyle name="Besuchter Link" xfId="798" builtinId="9" hidden="1"/>
    <cellStyle name="Besuchter Link" xfId="799" builtinId="9" hidden="1"/>
    <cellStyle name="Besuchter Link" xfId="800" builtinId="9" hidden="1"/>
    <cellStyle name="Besuchter Link" xfId="801" builtinId="9" hidden="1"/>
    <cellStyle name="Besuchter Link" xfId="802" builtinId="9" hidden="1"/>
    <cellStyle name="Besuchter Link" xfId="803" builtinId="9" hidden="1"/>
    <cellStyle name="Besuchter Link" xfId="804" builtinId="9" hidden="1"/>
    <cellStyle name="Besuchter Link" xfId="805" builtinId="9" hidden="1"/>
    <cellStyle name="Besuchter Link" xfId="806" builtinId="9" hidden="1"/>
    <cellStyle name="Besuchter Link" xfId="807" builtinId="9" hidden="1"/>
    <cellStyle name="Besuchter Link" xfId="808" builtinId="9" hidden="1"/>
    <cellStyle name="Besuchter Link" xfId="809" builtinId="9" hidden="1"/>
    <cellStyle name="Besuchter Link" xfId="810" builtinId="9" hidden="1"/>
    <cellStyle name="Besuchter Link" xfId="811" builtinId="9" hidden="1"/>
    <cellStyle name="Besuchter Link" xfId="812" builtinId="9" hidden="1"/>
    <cellStyle name="Besuchter Link" xfId="813" builtinId="9" hidden="1"/>
    <cellStyle name="Besuchter Link" xfId="814" builtinId="9" hidden="1"/>
    <cellStyle name="Besuchter Link" xfId="815" builtinId="9" hidden="1"/>
    <cellStyle name="Besuchter Link" xfId="816" builtinId="9" hidden="1"/>
    <cellStyle name="Besuchter Link" xfId="817" builtinId="9" hidden="1"/>
    <cellStyle name="Besuchter Link" xfId="818" builtinId="9" hidden="1"/>
    <cellStyle name="Besuchter Link" xfId="819" builtinId="9" hidden="1"/>
    <cellStyle name="Besuchter Link" xfId="820" builtinId="9" hidden="1"/>
    <cellStyle name="Besuchter Link" xfId="821" builtinId="9" hidden="1"/>
    <cellStyle name="Besuchter Link" xfId="822" builtinId="9" hidden="1"/>
    <cellStyle name="Besuchter Link" xfId="823" builtinId="9" hidden="1"/>
    <cellStyle name="Besuchter Link" xfId="824" builtinId="9" hidden="1"/>
    <cellStyle name="Besuchter Link" xfId="825" builtinId="9" hidden="1"/>
    <cellStyle name="Besuchter Link" xfId="826" builtinId="9" hidden="1"/>
    <cellStyle name="Besuchter Link" xfId="827" builtinId="9" hidden="1"/>
    <cellStyle name="Besuchter Link" xfId="828" builtinId="9" hidden="1"/>
    <cellStyle name="Besuchter Link" xfId="829" builtinId="9" hidden="1"/>
    <cellStyle name="Besuchter Link" xfId="830" builtinId="9" hidden="1"/>
    <cellStyle name="Besuchter Link" xfId="831" builtinId="9" hidden="1"/>
    <cellStyle name="Besuchter Link" xfId="832" builtinId="9" hidden="1"/>
    <cellStyle name="Besuchter Link" xfId="833" builtinId="9" hidden="1"/>
    <cellStyle name="Besuchter Link" xfId="834" builtinId="9" hidden="1"/>
    <cellStyle name="Besuchter Link" xfId="835" builtinId="9" hidden="1"/>
    <cellStyle name="Besuchter Link" xfId="836" builtinId="9" hidden="1"/>
    <cellStyle name="Besuchter Link" xfId="837" builtinId="9" hidden="1"/>
    <cellStyle name="Besuchter Link" xfId="838" builtinId="9" hidden="1"/>
    <cellStyle name="Besuchter Link" xfId="839" builtinId="9" hidden="1"/>
    <cellStyle name="Besuchter Link" xfId="840" builtinId="9" hidden="1"/>
    <cellStyle name="Besuchter Link" xfId="841" builtinId="9" hidden="1"/>
    <cellStyle name="Besuchter Link" xfId="842" builtinId="9" hidden="1"/>
    <cellStyle name="Besuchter Link" xfId="843" builtinId="9" hidden="1"/>
    <cellStyle name="Besuchter Link" xfId="844" builtinId="9" hidden="1"/>
    <cellStyle name="Besuchter Link" xfId="845" builtinId="9" hidden="1"/>
    <cellStyle name="Besuchter Link" xfId="846" builtinId="9" hidden="1"/>
    <cellStyle name="Besuchter Link" xfId="847" builtinId="9" hidden="1"/>
    <cellStyle name="Besuchter Link" xfId="848" builtinId="9" hidden="1"/>
    <cellStyle name="Besuchter Link" xfId="849" builtinId="9" hidden="1"/>
    <cellStyle name="Besuchter Link" xfId="850" builtinId="9" hidden="1"/>
    <cellStyle name="Besuchter Link" xfId="851" builtinId="9" hidden="1"/>
    <cellStyle name="Besuchter Link" xfId="852" builtinId="9" hidden="1"/>
    <cellStyle name="Besuchter Link" xfId="853" builtinId="9" hidden="1"/>
    <cellStyle name="Besuchter Link" xfId="854" builtinId="9" hidden="1"/>
    <cellStyle name="Besuchter Link" xfId="855" builtinId="9" hidden="1"/>
    <cellStyle name="Besuchter Link" xfId="856" builtinId="9" hidden="1"/>
    <cellStyle name="Besuchter Link" xfId="857" builtinId="9" hidden="1"/>
    <cellStyle name="Besuchter Link" xfId="858" builtinId="9" hidden="1"/>
    <cellStyle name="Besuchter Link" xfId="859" builtinId="9" hidden="1"/>
    <cellStyle name="Besuchter Link" xfId="860" builtinId="9" hidden="1"/>
    <cellStyle name="Besuchter Link" xfId="861" builtinId="9" hidden="1"/>
    <cellStyle name="Besuchter Link" xfId="862" builtinId="9" hidden="1"/>
    <cellStyle name="Besuchter Link" xfId="863" builtinId="9" hidden="1"/>
    <cellStyle name="Besuchter Link" xfId="864" builtinId="9" hidden="1"/>
    <cellStyle name="Besuchter Link" xfId="865" builtinId="9" hidden="1"/>
    <cellStyle name="Besuchter Link" xfId="866" builtinId="9" hidden="1"/>
    <cellStyle name="Besuchter Link" xfId="867" builtinId="9" hidden="1"/>
    <cellStyle name="Besuchter Link" xfId="868" builtinId="9" hidden="1"/>
    <cellStyle name="Besuchter Link" xfId="869" builtinId="9" hidden="1"/>
    <cellStyle name="Besuchter Link" xfId="870" builtinId="9" hidden="1"/>
    <cellStyle name="Besuchter Link" xfId="871" builtinId="9" hidden="1"/>
    <cellStyle name="Besuchter Link" xfId="872" builtinId="9" hidden="1"/>
    <cellStyle name="Besuchter Link" xfId="873" builtinId="9" hidden="1"/>
    <cellStyle name="Besuchter Link" xfId="874" builtinId="9" hidden="1"/>
    <cellStyle name="Besuchter Link" xfId="875" builtinId="9" hidden="1"/>
    <cellStyle name="Besuchter Link" xfId="876" builtinId="9" hidden="1"/>
    <cellStyle name="Besuchter Link" xfId="877" builtinId="9" hidden="1"/>
    <cellStyle name="Besuchter Link" xfId="878" builtinId="9" hidden="1"/>
    <cellStyle name="Besuchter Link" xfId="879" builtinId="9" hidden="1"/>
    <cellStyle name="Besuchter Link" xfId="880" builtinId="9" hidden="1"/>
    <cellStyle name="Besuchter Link" xfId="881" builtinId="9" hidden="1"/>
    <cellStyle name="Besuchter Link" xfId="882" builtinId="9" hidden="1"/>
    <cellStyle name="Besuchter Link" xfId="883" builtinId="9" hidden="1"/>
    <cellStyle name="Besuchter Link" xfId="884" builtinId="9" hidden="1"/>
    <cellStyle name="Besuchter Link" xfId="885" builtinId="9" hidden="1"/>
    <cellStyle name="Besuchter Link" xfId="886" builtinId="9" hidden="1"/>
    <cellStyle name="Besuchter Link" xfId="887" builtinId="9" hidden="1"/>
    <cellStyle name="Besuchter Link" xfId="888" builtinId="9" hidden="1"/>
    <cellStyle name="Besuchter Link" xfId="889" builtinId="9" hidden="1"/>
    <cellStyle name="Besuchter Link" xfId="890" builtinId="9" hidden="1"/>
    <cellStyle name="Besuchter Link" xfId="891" builtinId="9" hidden="1"/>
    <cellStyle name="Besuchter Link" xfId="892" builtinId="9" hidden="1"/>
    <cellStyle name="Besuchter Link" xfId="893" builtinId="9" hidden="1"/>
    <cellStyle name="Besuchter Link" xfId="894" builtinId="9" hidden="1"/>
    <cellStyle name="Besuchter Link" xfId="895" builtinId="9" hidden="1"/>
    <cellStyle name="Besuchter Link" xfId="896" builtinId="9" hidden="1"/>
    <cellStyle name="Besuchter Link" xfId="897" builtinId="9" hidden="1"/>
    <cellStyle name="Besuchter Link" xfId="898" builtinId="9" hidden="1"/>
    <cellStyle name="Besuchter Link" xfId="899" builtinId="9" hidden="1"/>
    <cellStyle name="Besuchter Link" xfId="900" builtinId="9" hidden="1"/>
    <cellStyle name="Besuchter Link" xfId="901" builtinId="9" hidden="1"/>
    <cellStyle name="Besuchter Link" xfId="902" builtinId="9" hidden="1"/>
    <cellStyle name="Besuchter Link" xfId="903" builtinId="9" hidden="1"/>
    <cellStyle name="Besuchter Link" xfId="904" builtinId="9" hidden="1"/>
    <cellStyle name="Besuchter Link" xfId="905" builtinId="9" hidden="1"/>
    <cellStyle name="Besuchter Link" xfId="906" builtinId="9" hidden="1"/>
    <cellStyle name="Besuchter Link" xfId="907" builtinId="9" hidden="1"/>
    <cellStyle name="Besuchter Link" xfId="908" builtinId="9" hidden="1"/>
    <cellStyle name="Besuchter Link" xfId="909" builtinId="9" hidden="1"/>
    <cellStyle name="Besuchter Link" xfId="910" builtinId="9" hidden="1"/>
    <cellStyle name="Besuchter Link" xfId="911" builtinId="9" hidden="1"/>
    <cellStyle name="Besuchter Link" xfId="912" builtinId="9" hidden="1"/>
    <cellStyle name="Besuchter Link" xfId="913" builtinId="9" hidden="1"/>
    <cellStyle name="Besuchter Link" xfId="914" builtinId="9" hidden="1"/>
    <cellStyle name="Besuchter Link" xfId="915" builtinId="9" hidden="1"/>
    <cellStyle name="Besuchter Link" xfId="916" builtinId="9" hidden="1"/>
    <cellStyle name="Besuchter Link" xfId="917" builtinId="9" hidden="1"/>
    <cellStyle name="Besuchter Link" xfId="918" builtinId="9" hidden="1"/>
    <cellStyle name="Besuchter Link" xfId="919" builtinId="9" hidden="1"/>
    <cellStyle name="Besuchter Link" xfId="920" builtinId="9" hidden="1"/>
    <cellStyle name="Besuchter Link" xfId="921" builtinId="9" hidden="1"/>
    <cellStyle name="Eingabe" xfId="1" builtinId="20"/>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Link" xfId="59" builtinId="8" hidden="1"/>
    <cellStyle name="Link" xfId="61" builtinId="8" hidden="1"/>
    <cellStyle name="Link" xfId="63" builtinId="8" hidden="1"/>
    <cellStyle name="Link" xfId="65" builtinId="8" hidden="1"/>
    <cellStyle name="Link" xfId="67" builtinId="8" hidden="1"/>
    <cellStyle name="Link" xfId="69" builtinId="8" hidden="1"/>
    <cellStyle name="Link" xfId="71" builtinId="8" hidden="1"/>
    <cellStyle name="Link" xfId="73" builtinId="8" hidden="1"/>
    <cellStyle name="Link" xfId="75" builtinId="8" hidden="1"/>
    <cellStyle name="Link" xfId="77" builtinId="8" hidden="1"/>
    <cellStyle name="Link" xfId="79" builtinId="8" hidden="1"/>
    <cellStyle name="Link" xfId="81" builtinId="8" hidden="1"/>
    <cellStyle name="Link" xfId="83" builtinId="8" hidden="1"/>
    <cellStyle name="Link" xfId="85" builtinId="8" hidden="1"/>
    <cellStyle name="Link" xfId="87" builtinId="8" hidden="1"/>
    <cellStyle name="Link" xfId="89" builtinId="8" hidden="1"/>
    <cellStyle name="Link" xfId="91" builtinId="8" hidden="1"/>
    <cellStyle name="Link" xfId="93" builtinId="8" hidden="1"/>
    <cellStyle name="Link" xfId="95" builtinId="8" hidden="1"/>
    <cellStyle name="Link" xfId="97" builtinId="8" hidden="1"/>
    <cellStyle name="Link" xfId="99" builtinId="8" hidden="1"/>
    <cellStyle name="Link" xfId="101" builtinId="8" hidden="1"/>
    <cellStyle name="Link" xfId="103" builtinId="8" hidden="1"/>
    <cellStyle name="Link" xfId="105" builtinId="8" hidden="1"/>
    <cellStyle name="Link" xfId="107" builtinId="8" hidden="1"/>
    <cellStyle name="Link" xfId="109" builtinId="8" hidden="1"/>
    <cellStyle name="Link" xfId="111" builtinId="8" hidden="1"/>
    <cellStyle name="Link" xfId="113" builtinId="8" hidden="1"/>
    <cellStyle name="Link" xfId="115" builtinId="8" hidden="1"/>
    <cellStyle name="Link" xfId="117" builtinId="8" hidden="1"/>
    <cellStyle name="Link" xfId="119" builtinId="8" hidden="1"/>
    <cellStyle name="Link" xfId="121" builtinId="8" hidden="1"/>
    <cellStyle name="Link" xfId="123" builtinId="8" hidden="1"/>
    <cellStyle name="Link" xfId="125" builtinId="8" hidden="1"/>
    <cellStyle name="Link" xfId="127" builtinId="8" hidden="1"/>
    <cellStyle name="Link" xfId="129" builtinId="8" hidden="1"/>
    <cellStyle name="Link" xfId="131" builtinId="8" hidden="1"/>
    <cellStyle name="Link" xfId="133" builtinId="8" hidden="1"/>
    <cellStyle name="Link" xfId="135" builtinId="8" hidden="1"/>
    <cellStyle name="Link" xfId="137" builtinId="8" hidden="1"/>
    <cellStyle name="Link" xfId="139" builtinId="8" hidden="1"/>
    <cellStyle name="Link" xfId="141" builtinId="8" hidden="1"/>
    <cellStyle name="Link" xfId="143" builtinId="8" hidden="1"/>
    <cellStyle name="Link" xfId="145" builtinId="8" hidden="1"/>
    <cellStyle name="Link" xfId="147" builtinId="8" hidden="1"/>
    <cellStyle name="Link" xfId="149" builtinId="8" hidden="1"/>
    <cellStyle name="Link" xfId="151" builtinId="8" hidden="1"/>
    <cellStyle name="Link" xfId="153" builtinId="8" hidden="1"/>
    <cellStyle name="Link" xfId="155" builtinId="8" hidden="1"/>
    <cellStyle name="Link" xfId="157" builtinId="8" hidden="1"/>
    <cellStyle name="Link" xfId="159" builtinId="8" hidden="1"/>
    <cellStyle name="Link" xfId="161" builtinId="8" hidden="1"/>
    <cellStyle name="Link" xfId="163" builtinId="8" hidden="1"/>
    <cellStyle name="Link" xfId="165" builtinId="8" hidden="1"/>
    <cellStyle name="Link" xfId="167" builtinId="8" hidden="1"/>
    <cellStyle name="Link" xfId="169" builtinId="8" hidden="1"/>
    <cellStyle name="Link" xfId="171" builtinId="8" hidden="1"/>
    <cellStyle name="Link" xfId="173" builtinId="8" hidden="1"/>
    <cellStyle name="Link" xfId="175" builtinId="8" hidden="1"/>
    <cellStyle name="Link" xfId="177" builtinId="8" hidden="1"/>
    <cellStyle name="Link" xfId="179" builtinId="8" hidden="1"/>
    <cellStyle name="Link" xfId="181" builtinId="8" hidden="1"/>
    <cellStyle name="Link" xfId="183" builtinId="8" hidden="1"/>
    <cellStyle name="Link" xfId="185" builtinId="8" hidden="1"/>
    <cellStyle name="Link" xfId="187" builtinId="8" hidden="1"/>
    <cellStyle name="Link" xfId="189" builtinId="8" hidden="1"/>
    <cellStyle name="Link" xfId="191" builtinId="8" hidden="1"/>
    <cellStyle name="Link" xfId="193" builtinId="8" hidden="1"/>
    <cellStyle name="Link" xfId="195" builtinId="8" hidden="1"/>
    <cellStyle name="Link" xfId="197" builtinId="8" hidden="1"/>
    <cellStyle name="Link" xfId="199" builtinId="8" hidden="1"/>
    <cellStyle name="Link" xfId="201" builtinId="8" hidden="1"/>
    <cellStyle name="Link" xfId="203" builtinId="8" hidden="1"/>
    <cellStyle name="Link" xfId="205" builtinId="8" hidden="1"/>
    <cellStyle name="Link" xfId="207" builtinId="8" hidden="1"/>
    <cellStyle name="Link" xfId="209" builtinId="8" hidden="1"/>
    <cellStyle name="Link" xfId="211" builtinId="8" hidden="1"/>
    <cellStyle name="Link" xfId="213" builtinId="8" hidden="1"/>
    <cellStyle name="Link" xfId="215" builtinId="8" hidden="1"/>
    <cellStyle name="Link" xfId="217" builtinId="8" hidden="1"/>
    <cellStyle name="Link" xfId="219" builtinId="8" hidden="1"/>
    <cellStyle name="Link" xfId="221" builtinId="8" hidden="1"/>
    <cellStyle name="Link" xfId="223" builtinId="8" hidden="1"/>
    <cellStyle name="Link" xfId="225" builtinId="8" hidden="1"/>
    <cellStyle name="Link" xfId="227" builtinId="8" hidden="1"/>
    <cellStyle name="Link" xfId="229" builtinId="8" hidden="1"/>
    <cellStyle name="Link" xfId="231" builtinId="8" hidden="1"/>
    <cellStyle name="Link" xfId="233" builtinId="8" hidden="1"/>
    <cellStyle name="Link" xfId="235" builtinId="8" hidden="1"/>
    <cellStyle name="Link" xfId="237" builtinId="8" hidden="1"/>
    <cellStyle name="Link" xfId="239" builtinId="8" hidden="1"/>
    <cellStyle name="Link" xfId="241" builtinId="8" hidden="1"/>
    <cellStyle name="Link" xfId="243" builtinId="8" hidden="1"/>
    <cellStyle name="Link" xfId="245" builtinId="8" hidden="1"/>
    <cellStyle name="Link" xfId="247" builtinId="8" hidden="1"/>
    <cellStyle name="Link" xfId="249" builtinId="8" hidden="1"/>
    <cellStyle name="Link" xfId="251" builtinId="8" hidden="1"/>
    <cellStyle name="Link" xfId="253" builtinId="8" hidden="1"/>
    <cellStyle name="Link" xfId="255" builtinId="8" hidden="1"/>
    <cellStyle name="Link" xfId="257" builtinId="8" hidden="1"/>
    <cellStyle name="Link" xfId="259" builtinId="8" hidden="1"/>
    <cellStyle name="Link" xfId="261" builtinId="8" hidden="1"/>
    <cellStyle name="Link" xfId="263" builtinId="8" hidden="1"/>
    <cellStyle name="Link" xfId="265" builtinId="8" hidden="1"/>
    <cellStyle name="Link" xfId="267" builtinId="8" hidden="1"/>
    <cellStyle name="Link" xfId="269" builtinId="8" hidden="1"/>
    <cellStyle name="Link" xfId="271" builtinId="8" hidden="1"/>
    <cellStyle name="Link" xfId="273" builtinId="8" hidden="1"/>
    <cellStyle name="Link" xfId="275" builtinId="8" hidden="1"/>
    <cellStyle name="Link" xfId="277" builtinId="8" hidden="1"/>
    <cellStyle name="Link" xfId="279" builtinId="8" hidden="1"/>
    <cellStyle name="Link" xfId="281" builtinId="8" hidden="1"/>
    <cellStyle name="Link" xfId="283" builtinId="8" hidden="1"/>
    <cellStyle name="Link" xfId="285" builtinId="8" hidden="1"/>
    <cellStyle name="Link" xfId="287" builtinId="8" hidden="1"/>
    <cellStyle name="Link" xfId="289" builtinId="8" hidden="1"/>
    <cellStyle name="Link" xfId="291" builtinId="8" hidden="1"/>
    <cellStyle name="Link" xfId="293" builtinId="8" hidden="1"/>
    <cellStyle name="Link" xfId="295" builtinId="8" hidden="1"/>
    <cellStyle name="Link" xfId="297" builtinId="8" hidden="1"/>
    <cellStyle name="Link" xfId="299" builtinId="8" hidden="1"/>
    <cellStyle name="Link" xfId="301" builtinId="8" hidden="1"/>
    <cellStyle name="Link" xfId="303" builtinId="8" hidden="1"/>
    <cellStyle name="Link" xfId="305" builtinId="8" hidden="1"/>
    <cellStyle name="Link" xfId="307" builtinId="8" hidden="1"/>
    <cellStyle name="Link" xfId="309" builtinId="8" hidden="1"/>
    <cellStyle name="Link" xfId="311" builtinId="8" hidden="1"/>
    <cellStyle name="Link" xfId="313" builtinId="8" hidden="1"/>
    <cellStyle name="Link" xfId="315" builtinId="8" hidden="1"/>
    <cellStyle name="Link" xfId="317" builtinId="8" hidden="1"/>
    <cellStyle name="Link" xfId="319" builtinId="8" hidden="1"/>
    <cellStyle name="Link" xfId="321" builtinId="8" hidden="1"/>
    <cellStyle name="Link" xfId="323" builtinId="8" hidden="1"/>
    <cellStyle name="Link" xfId="325" builtinId="8" hidden="1"/>
    <cellStyle name="Link" xfId="327" builtinId="8" hidden="1"/>
    <cellStyle name="Link" xfId="329" builtinId="8" hidden="1"/>
    <cellStyle name="Link" xfId="331" builtinId="8" hidden="1"/>
    <cellStyle name="Link" xfId="333" builtinId="8" hidden="1"/>
    <cellStyle name="Link" xfId="335" builtinId="8" hidden="1"/>
    <cellStyle name="Link" xfId="337" builtinId="8" hidden="1"/>
    <cellStyle name="Link" xfId="339" builtinId="8" hidden="1"/>
    <cellStyle name="Link" xfId="341" builtinId="8" hidden="1"/>
    <cellStyle name="Link" xfId="343" builtinId="8" hidden="1"/>
    <cellStyle name="Link" xfId="345" builtinId="8" hidden="1"/>
    <cellStyle name="Link" xfId="347" builtinId="8" hidden="1"/>
    <cellStyle name="Link" xfId="349" builtinId="8" hidden="1"/>
    <cellStyle name="Link" xfId="351" builtinId="8" hidden="1"/>
    <cellStyle name="Link" xfId="353" builtinId="8" hidden="1"/>
    <cellStyle name="Link" xfId="355" builtinId="8" hidden="1"/>
    <cellStyle name="Link" xfId="357" builtinId="8" hidden="1"/>
    <cellStyle name="Link" xfId="359" builtinId="8" hidden="1"/>
    <cellStyle name="Link" xfId="361" builtinId="8" hidden="1"/>
    <cellStyle name="Link" xfId="363" builtinId="8" hidden="1"/>
    <cellStyle name="Link" xfId="365" builtinId="8" hidden="1"/>
    <cellStyle name="Link" xfId="367" builtinId="8" hidden="1"/>
    <cellStyle name="Link" xfId="369" builtinId="8" hidden="1"/>
    <cellStyle name="Link" xfId="371" builtinId="8" hidden="1"/>
    <cellStyle name="Link" xfId="373" builtinId="8" hidden="1"/>
    <cellStyle name="Link" xfId="375" builtinId="8" hidden="1"/>
    <cellStyle name="Link" xfId="377" builtinId="8" hidden="1"/>
    <cellStyle name="Link" xfId="379" builtinId="8" hidden="1"/>
    <cellStyle name="Link" xfId="381" builtinId="8" hidden="1"/>
    <cellStyle name="Link" xfId="383" builtinId="8" hidden="1"/>
    <cellStyle name="Link" xfId="385" builtinId="8" hidden="1"/>
    <cellStyle name="Link" xfId="387" builtinId="8" hidden="1"/>
    <cellStyle name="Link" xfId="389" builtinId="8" hidden="1"/>
    <cellStyle name="Link" xfId="391" builtinId="8" hidden="1"/>
    <cellStyle name="Link" xfId="393" builtinId="8" hidden="1"/>
    <cellStyle name="Link" xfId="395" builtinId="8" hidden="1"/>
    <cellStyle name="Link" xfId="397" builtinId="8"/>
    <cellStyle name="Standard" xfId="0" builtinId="0"/>
    <cellStyle name="Standard 2" xfId="2"/>
    <cellStyle name="Standard 3" xfId="3"/>
    <cellStyle name="Standard 4" xfId="4"/>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Revenues</a:t>
            </a:r>
            <a:r>
              <a:rPr lang="de-DE" sz="1200" baseline="0"/>
              <a:t>, Costs &amp; Pro-forma EBIT</a:t>
            </a:r>
            <a:endParaRPr lang="de-DE" sz="1200"/>
          </a:p>
        </c:rich>
      </c:tx>
      <c:layout>
        <c:manualLayout>
          <c:xMode val="edge"/>
          <c:yMode val="edge"/>
          <c:x val="0.280158636101595"/>
          <c:y val="0.0402315886984715"/>
        </c:manualLayout>
      </c:layout>
      <c:overlay val="0"/>
    </c:title>
    <c:autoTitleDeleted val="0"/>
    <c:plotArea>
      <c:layout>
        <c:manualLayout>
          <c:layoutTarget val="inner"/>
          <c:xMode val="edge"/>
          <c:yMode val="edge"/>
          <c:x val="0.157822253674335"/>
          <c:y val="0.166249654648432"/>
          <c:w val="0.78411491489388"/>
          <c:h val="0.551686986707307"/>
        </c:manualLayout>
      </c:layout>
      <c:areaChart>
        <c:grouping val="stacked"/>
        <c:varyColors val="0"/>
        <c:ser>
          <c:idx val="0"/>
          <c:order val="1"/>
          <c:tx>
            <c:v>Revenues</c:v>
          </c:tx>
          <c:spPr>
            <a:solidFill>
              <a:schemeClr val="accent4">
                <a:lumMod val="60000"/>
                <a:lumOff val="40000"/>
              </a:schemeClr>
            </a:solidFill>
            <a:ln w="76200" cmpd="sng">
              <a:noFill/>
            </a:ln>
          </c:spPr>
          <c:cat>
            <c:numRef>
              <c:f>(Summary!$D$2:$O$2,Summary!$Q$2:$AB$2)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(Summary!$D$6:$O$6,Summary!$Q$6:$AB$6)</c:f>
              <c:numCache>
                <c:formatCode>#,##0</c:formatCode>
                <c:ptCount val="24"/>
                <c:pt idx="0">
                  <c:v>178550.0</c:v>
                </c:pt>
                <c:pt idx="1">
                  <c:v>200667.75</c:v>
                </c:pt>
                <c:pt idx="2">
                  <c:v>223654.25875</c:v>
                </c:pt>
                <c:pt idx="3">
                  <c:v>247826.62353125</c:v>
                </c:pt>
                <c:pt idx="4">
                  <c:v>273202.1111545312</c:v>
                </c:pt>
                <c:pt idx="5">
                  <c:v>304849.4219295544</c:v>
                </c:pt>
                <c:pt idx="6">
                  <c:v>337323.2650161245</c:v>
                </c:pt>
                <c:pt idx="7">
                  <c:v>371722.5517426584</c:v>
                </c:pt>
                <c:pt idx="8">
                  <c:v>412659.0277641315</c:v>
                </c:pt>
                <c:pt idx="9">
                  <c:v>455207.0502928289</c:v>
                </c:pt>
                <c:pt idx="10">
                  <c:v>503494.7967691803</c:v>
                </c:pt>
                <c:pt idx="11">
                  <c:v>554339.431157615</c:v>
                </c:pt>
                <c:pt idx="12">
                  <c:v>599459.4462531508</c:v>
                </c:pt>
                <c:pt idx="13">
                  <c:v>652440.7754157106</c:v>
                </c:pt>
                <c:pt idx="14">
                  <c:v>707656.2754778073</c:v>
                </c:pt>
                <c:pt idx="15">
                  <c:v>765460.8749069539</c:v>
                </c:pt>
                <c:pt idx="16">
                  <c:v>825728.896226057</c:v>
                </c:pt>
                <c:pt idx="17">
                  <c:v>894593.714329411</c:v>
                </c:pt>
                <c:pt idx="18">
                  <c:v>966271.1775054202</c:v>
                </c:pt>
                <c:pt idx="19">
                  <c:v>1.04640549150627E6</c:v>
                </c:pt>
                <c:pt idx="20">
                  <c:v>1.13037711815698E6</c:v>
                </c:pt>
                <c:pt idx="21">
                  <c:v>1.21840706611589E6</c:v>
                </c:pt>
                <c:pt idx="22">
                  <c:v>1.31505281363131E6</c:v>
                </c:pt>
                <c:pt idx="23">
                  <c:v>1.42176964411055E6</c:v>
                </c:pt>
              </c:numCache>
            </c:numRef>
          </c:val>
        </c:ser>
        <c:ser>
          <c:idx val="1"/>
          <c:order val="2"/>
          <c:tx>
            <c:v>CoGS</c:v>
          </c:tx>
          <c:spPr>
            <a:solidFill>
              <a:schemeClr val="accent6">
                <a:lumMod val="60000"/>
                <a:lumOff val="40000"/>
              </a:schemeClr>
            </a:solidFill>
            <a:ln w="25400">
              <a:noFill/>
            </a:ln>
            <a:effectLst/>
          </c:spPr>
          <c:val>
            <c:numRef>
              <c:f>(Summary!$D$106:$O$106,Summary!$Q$106:$AB$106)</c:f>
              <c:numCache>
                <c:formatCode>#,##0</c:formatCode>
                <c:ptCount val="24"/>
                <c:pt idx="0">
                  <c:v>-38891.75</c:v>
                </c:pt>
                <c:pt idx="1">
                  <c:v>-50981.75875</c:v>
                </c:pt>
                <c:pt idx="2">
                  <c:v>-48695.61199375</c:v>
                </c:pt>
                <c:pt idx="3">
                  <c:v>-70810.26300015625</c:v>
                </c:pt>
                <c:pt idx="4">
                  <c:v>-64727.17944813515</c:v>
                </c:pt>
                <c:pt idx="5">
                  <c:v>-77552.20086401212</c:v>
                </c:pt>
                <c:pt idx="6">
                  <c:v>-85547.47752637058</c:v>
                </c:pt>
                <c:pt idx="7">
                  <c:v>-93706.41689812596</c:v>
                </c:pt>
                <c:pt idx="8">
                  <c:v>-139146.0173599512</c:v>
                </c:pt>
                <c:pt idx="9">
                  <c:v>-139922.5992748904</c:v>
                </c:pt>
                <c:pt idx="10">
                  <c:v>-147147.0577253803</c:v>
                </c:pt>
                <c:pt idx="11">
                  <c:v>-156568.8516483973</c:v>
                </c:pt>
                <c:pt idx="12">
                  <c:v>-188984.0529315178</c:v>
                </c:pt>
                <c:pt idx="13">
                  <c:v>-192514.9659103354</c:v>
                </c:pt>
                <c:pt idx="14">
                  <c:v>-225045.7834156136</c:v>
                </c:pt>
                <c:pt idx="15">
                  <c:v>-227096.6743670911</c:v>
                </c:pt>
                <c:pt idx="16">
                  <c:v>-246906.9561792148</c:v>
                </c:pt>
                <c:pt idx="17">
                  <c:v>-265255.465718</c:v>
                </c:pt>
                <c:pt idx="18">
                  <c:v>-304653.0500879607</c:v>
                </c:pt>
                <c:pt idx="19">
                  <c:v>-325644.4667780333</c:v>
                </c:pt>
                <c:pt idx="20">
                  <c:v>-349762.0550433431</c:v>
                </c:pt>
                <c:pt idx="21">
                  <c:v>-386474.6006198504</c:v>
                </c:pt>
                <c:pt idx="22">
                  <c:v>-405711.9891586615</c:v>
                </c:pt>
                <c:pt idx="23">
                  <c:v>-444770.4197493964</c:v>
                </c:pt>
              </c:numCache>
            </c:numRef>
          </c:val>
        </c:ser>
        <c:ser>
          <c:idx val="2"/>
          <c:order val="3"/>
          <c:tx>
            <c:v>R&amp;D</c:v>
          </c:tx>
          <c:spPr>
            <a:solidFill>
              <a:schemeClr val="accent3">
                <a:lumMod val="60000"/>
                <a:lumOff val="40000"/>
              </a:schemeClr>
            </a:solidFill>
            <a:ln w="25400">
              <a:noFill/>
            </a:ln>
            <a:effectLst/>
          </c:spPr>
          <c:val>
            <c:numRef>
              <c:f>(Summary!$D$107:$O$107,Summary!$Q$107:$AB$107)</c:f>
              <c:numCache>
                <c:formatCode>#,##0</c:formatCode>
                <c:ptCount val="24"/>
                <c:pt idx="0">
                  <c:v>-54900.0</c:v>
                </c:pt>
                <c:pt idx="1">
                  <c:v>-54900.0</c:v>
                </c:pt>
                <c:pt idx="2">
                  <c:v>-77600.0</c:v>
                </c:pt>
                <c:pt idx="3">
                  <c:v>-82750.0</c:v>
                </c:pt>
                <c:pt idx="4">
                  <c:v>-90100.0</c:v>
                </c:pt>
                <c:pt idx="5">
                  <c:v>-86100.0</c:v>
                </c:pt>
                <c:pt idx="6">
                  <c:v>-134550.0</c:v>
                </c:pt>
                <c:pt idx="7">
                  <c:v>-135700.0</c:v>
                </c:pt>
                <c:pt idx="8">
                  <c:v>-156200.0</c:v>
                </c:pt>
                <c:pt idx="9">
                  <c:v>-148200.0</c:v>
                </c:pt>
                <c:pt idx="10">
                  <c:v>-159550.0</c:v>
                </c:pt>
                <c:pt idx="11">
                  <c:v>-166900.0</c:v>
                </c:pt>
                <c:pt idx="12">
                  <c:v>-208950.0</c:v>
                </c:pt>
                <c:pt idx="13">
                  <c:v>-196950.0</c:v>
                </c:pt>
                <c:pt idx="14">
                  <c:v>-208300.0</c:v>
                </c:pt>
                <c:pt idx="15">
                  <c:v>-217450.0</c:v>
                </c:pt>
                <c:pt idx="16">
                  <c:v>-224800.0</c:v>
                </c:pt>
                <c:pt idx="17">
                  <c:v>-244100.0</c:v>
                </c:pt>
                <c:pt idx="18">
                  <c:v>-250450.0</c:v>
                </c:pt>
                <c:pt idx="19">
                  <c:v>-246450.0</c:v>
                </c:pt>
                <c:pt idx="20">
                  <c:v>-246450.0</c:v>
                </c:pt>
                <c:pt idx="21">
                  <c:v>-246450.0</c:v>
                </c:pt>
                <c:pt idx="22">
                  <c:v>-259600.0</c:v>
                </c:pt>
                <c:pt idx="23">
                  <c:v>-255600.0</c:v>
                </c:pt>
              </c:numCache>
            </c:numRef>
          </c:val>
        </c:ser>
        <c:ser>
          <c:idx val="3"/>
          <c:order val="4"/>
          <c:tx>
            <c:v>S&amp;M</c:v>
          </c:tx>
          <c:spPr>
            <a:solidFill>
              <a:schemeClr val="accent1">
                <a:lumMod val="60000"/>
                <a:lumOff val="40000"/>
              </a:schemeClr>
            </a:solidFill>
            <a:ln w="25400">
              <a:noFill/>
            </a:ln>
            <a:effectLst/>
          </c:spPr>
          <c:val>
            <c:numRef>
              <c:f>(Summary!$D$108:$O$108,Summary!$Q$108:$AB$108)</c:f>
              <c:numCache>
                <c:formatCode>#,##0</c:formatCode>
                <c:ptCount val="24"/>
                <c:pt idx="0">
                  <c:v>-120250.0</c:v>
                </c:pt>
                <c:pt idx="1">
                  <c:v>-302400.0</c:v>
                </c:pt>
                <c:pt idx="2">
                  <c:v>-291650.0</c:v>
                </c:pt>
                <c:pt idx="3">
                  <c:v>-297650.0</c:v>
                </c:pt>
                <c:pt idx="4">
                  <c:v>-330900.0</c:v>
                </c:pt>
                <c:pt idx="5">
                  <c:v>-349350.0</c:v>
                </c:pt>
                <c:pt idx="6">
                  <c:v>-355350.0</c:v>
                </c:pt>
                <c:pt idx="7">
                  <c:v>-365350.0</c:v>
                </c:pt>
                <c:pt idx="8">
                  <c:v>-375350.0</c:v>
                </c:pt>
                <c:pt idx="9">
                  <c:v>-385350.0</c:v>
                </c:pt>
                <c:pt idx="10">
                  <c:v>-395350.0</c:v>
                </c:pt>
                <c:pt idx="11">
                  <c:v>-405350.0</c:v>
                </c:pt>
                <c:pt idx="12">
                  <c:v>-415350.0</c:v>
                </c:pt>
                <c:pt idx="13">
                  <c:v>-440200.0</c:v>
                </c:pt>
                <c:pt idx="14">
                  <c:v>-457450.0</c:v>
                </c:pt>
                <c:pt idx="15">
                  <c:v>-463450.0</c:v>
                </c:pt>
                <c:pt idx="16">
                  <c:v>-473450.0</c:v>
                </c:pt>
                <c:pt idx="17">
                  <c:v>-539450.0</c:v>
                </c:pt>
                <c:pt idx="18">
                  <c:v>-533450.0</c:v>
                </c:pt>
                <c:pt idx="19">
                  <c:v>-595200.0</c:v>
                </c:pt>
                <c:pt idx="20">
                  <c:v>-637950.0</c:v>
                </c:pt>
                <c:pt idx="21">
                  <c:v>-649600.0</c:v>
                </c:pt>
                <c:pt idx="22">
                  <c:v>-655600.0</c:v>
                </c:pt>
                <c:pt idx="23">
                  <c:v>-665600.0</c:v>
                </c:pt>
              </c:numCache>
            </c:numRef>
          </c:val>
        </c:ser>
        <c:ser>
          <c:idx val="4"/>
          <c:order val="5"/>
          <c:tx>
            <c:v>G&amp;A</c:v>
          </c:tx>
          <c:spPr>
            <a:solidFill>
              <a:schemeClr val="accent4">
                <a:lumMod val="60000"/>
                <a:lumOff val="40000"/>
              </a:schemeClr>
            </a:solidFill>
            <a:ln w="25400">
              <a:noFill/>
            </a:ln>
            <a:effectLst/>
          </c:spPr>
          <c:val>
            <c:numRef>
              <c:f>(Summary!$D$109:$O$109,Summary!$Q$109:$AB$109)</c:f>
              <c:numCache>
                <c:formatCode>#,##0</c:formatCode>
                <c:ptCount val="24"/>
                <c:pt idx="0">
                  <c:v>-244677.5</c:v>
                </c:pt>
                <c:pt idx="1">
                  <c:v>-110783.3875</c:v>
                </c:pt>
                <c:pt idx="2">
                  <c:v>-111932.7129375</c:v>
                </c:pt>
                <c:pt idx="3">
                  <c:v>-98141.3311765625</c:v>
                </c:pt>
                <c:pt idx="4">
                  <c:v>-99410.10555772657</c:v>
                </c:pt>
                <c:pt idx="5">
                  <c:v>-160992.4710964777</c:v>
                </c:pt>
                <c:pt idx="6">
                  <c:v>-140316.1632508062</c:v>
                </c:pt>
                <c:pt idx="7">
                  <c:v>-179036.127587133</c:v>
                </c:pt>
                <c:pt idx="8">
                  <c:v>-136082.9513882066</c:v>
                </c:pt>
                <c:pt idx="9">
                  <c:v>-172660.3525146414</c:v>
                </c:pt>
                <c:pt idx="10">
                  <c:v>-168924.739838459</c:v>
                </c:pt>
                <c:pt idx="11">
                  <c:v>-227466.9715578808</c:v>
                </c:pt>
                <c:pt idx="12">
                  <c:v>-189722.9723126575</c:v>
                </c:pt>
                <c:pt idx="13">
                  <c:v>-237372.0387707855</c:v>
                </c:pt>
                <c:pt idx="14">
                  <c:v>-195132.8137738904</c:v>
                </c:pt>
                <c:pt idx="15">
                  <c:v>-228023.0437453477</c:v>
                </c:pt>
                <c:pt idx="16">
                  <c:v>-305686.4448113028</c:v>
                </c:pt>
                <c:pt idx="17">
                  <c:v>-260129.6857164706</c:v>
                </c:pt>
                <c:pt idx="18">
                  <c:v>-278713.558875271</c:v>
                </c:pt>
                <c:pt idx="19">
                  <c:v>-282720.2745753137</c:v>
                </c:pt>
                <c:pt idx="20">
                  <c:v>-271918.8559078489</c:v>
                </c:pt>
                <c:pt idx="21">
                  <c:v>-276320.3533057944</c:v>
                </c:pt>
                <c:pt idx="22">
                  <c:v>-277202.6406815657</c:v>
                </c:pt>
                <c:pt idx="23">
                  <c:v>-218538.4822055273</c:v>
                </c:pt>
              </c:numCache>
            </c:numRef>
          </c:val>
        </c:ser>
        <c:dLbls>
          <c:showLegendKey val="0"/>
          <c:showVal val="0"/>
          <c:showCatName val="0"/>
          <c:showSerName val="0"/>
          <c:showPercent val="0"/>
          <c:showBubbleSize val="0"/>
        </c:dLbls>
        <c:axId val="-2126792008"/>
        <c:axId val="-2124749096"/>
      </c:areaChart>
      <c:lineChart>
        <c:grouping val="standard"/>
        <c:varyColors val="0"/>
        <c:ser>
          <c:idx val="6"/>
          <c:order val="0"/>
          <c:tx>
            <c:v>Revenues</c:v>
          </c:tx>
          <c:spPr>
            <a:ln>
              <a:solidFill>
                <a:srgbClr val="008000"/>
              </a:solidFill>
            </a:ln>
          </c:spPr>
          <c:marker>
            <c:symbol val="none"/>
          </c:marker>
          <c:val>
            <c:numRef>
              <c:f>(Summary!$D$6:$O$6,Summary!$Q$6:$AB$6)</c:f>
              <c:numCache>
                <c:formatCode>#,##0</c:formatCode>
                <c:ptCount val="24"/>
                <c:pt idx="0">
                  <c:v>178550.0</c:v>
                </c:pt>
                <c:pt idx="1">
                  <c:v>200667.75</c:v>
                </c:pt>
                <c:pt idx="2">
                  <c:v>223654.25875</c:v>
                </c:pt>
                <c:pt idx="3">
                  <c:v>247826.62353125</c:v>
                </c:pt>
                <c:pt idx="4">
                  <c:v>273202.1111545312</c:v>
                </c:pt>
                <c:pt idx="5">
                  <c:v>304849.4219295544</c:v>
                </c:pt>
                <c:pt idx="6">
                  <c:v>337323.2650161245</c:v>
                </c:pt>
                <c:pt idx="7">
                  <c:v>371722.5517426584</c:v>
                </c:pt>
                <c:pt idx="8">
                  <c:v>412659.0277641315</c:v>
                </c:pt>
                <c:pt idx="9">
                  <c:v>455207.0502928289</c:v>
                </c:pt>
                <c:pt idx="10">
                  <c:v>503494.7967691803</c:v>
                </c:pt>
                <c:pt idx="11">
                  <c:v>554339.431157615</c:v>
                </c:pt>
                <c:pt idx="12">
                  <c:v>599459.4462531508</c:v>
                </c:pt>
                <c:pt idx="13">
                  <c:v>652440.7754157106</c:v>
                </c:pt>
                <c:pt idx="14">
                  <c:v>707656.2754778073</c:v>
                </c:pt>
                <c:pt idx="15">
                  <c:v>765460.8749069539</c:v>
                </c:pt>
                <c:pt idx="16">
                  <c:v>825728.896226057</c:v>
                </c:pt>
                <c:pt idx="17">
                  <c:v>894593.714329411</c:v>
                </c:pt>
                <c:pt idx="18">
                  <c:v>966271.1775054202</c:v>
                </c:pt>
                <c:pt idx="19">
                  <c:v>1.04640549150627E6</c:v>
                </c:pt>
                <c:pt idx="20">
                  <c:v>1.13037711815698E6</c:v>
                </c:pt>
                <c:pt idx="21">
                  <c:v>1.21840706611589E6</c:v>
                </c:pt>
                <c:pt idx="22">
                  <c:v>1.31505281363131E6</c:v>
                </c:pt>
                <c:pt idx="23">
                  <c:v>1.42176964411055E6</c:v>
                </c:pt>
              </c:numCache>
            </c:numRef>
          </c:val>
          <c:smooth val="0"/>
        </c:ser>
        <c:ser>
          <c:idx val="5"/>
          <c:order val="6"/>
          <c:tx>
            <c:v>EBIT</c:v>
          </c:tx>
          <c:spPr>
            <a:ln>
              <a:solidFill>
                <a:schemeClr val="accent1"/>
              </a:solidFill>
            </a:ln>
          </c:spPr>
          <c:marker>
            <c:symbol val="none"/>
          </c:marker>
          <c:val>
            <c:numRef>
              <c:f>(Summary!$D$28:$O$28,Summary!$Q$28:$AB$28)</c:f>
              <c:numCache>
                <c:formatCode>#,##0</c:formatCode>
                <c:ptCount val="24"/>
                <c:pt idx="0">
                  <c:v>-280169.25</c:v>
                </c:pt>
                <c:pt idx="1">
                  <c:v>-318397.39625</c:v>
                </c:pt>
                <c:pt idx="2">
                  <c:v>-306224.06618125</c:v>
                </c:pt>
                <c:pt idx="3">
                  <c:v>-301524.9706454687</c:v>
                </c:pt>
                <c:pt idx="4">
                  <c:v>-311935.1738513305</c:v>
                </c:pt>
                <c:pt idx="5">
                  <c:v>-369145.2500309355</c:v>
                </c:pt>
                <c:pt idx="6">
                  <c:v>-378440.3757610524</c:v>
                </c:pt>
                <c:pt idx="7">
                  <c:v>-402069.9927426004</c:v>
                </c:pt>
                <c:pt idx="8">
                  <c:v>-394119.9409840262</c:v>
                </c:pt>
                <c:pt idx="9">
                  <c:v>-390925.901496703</c:v>
                </c:pt>
                <c:pt idx="10">
                  <c:v>-367477.0007946591</c:v>
                </c:pt>
                <c:pt idx="11">
                  <c:v>-401946.3920486629</c:v>
                </c:pt>
                <c:pt idx="12">
                  <c:v>-403547.5789910245</c:v>
                </c:pt>
                <c:pt idx="13">
                  <c:v>-414596.2292654103</c:v>
                </c:pt>
                <c:pt idx="14">
                  <c:v>-378272.3217116967</c:v>
                </c:pt>
                <c:pt idx="15">
                  <c:v>-370558.843205485</c:v>
                </c:pt>
                <c:pt idx="16">
                  <c:v>-425114.5047644607</c:v>
                </c:pt>
                <c:pt idx="17">
                  <c:v>-414341.4371050595</c:v>
                </c:pt>
                <c:pt idx="18">
                  <c:v>-400995.4314578117</c:v>
                </c:pt>
                <c:pt idx="19">
                  <c:v>-403609.2498470728</c:v>
                </c:pt>
                <c:pt idx="20">
                  <c:v>-375703.7927942139</c:v>
                </c:pt>
                <c:pt idx="21">
                  <c:v>-340437.8878097571</c:v>
                </c:pt>
                <c:pt idx="22">
                  <c:v>-283061.8162089141</c:v>
                </c:pt>
                <c:pt idx="23">
                  <c:v>-162739.2578443785</c:v>
                </c:pt>
              </c:numCache>
            </c:numRef>
          </c:val>
          <c:smooth val="0"/>
        </c:ser>
        <c:dLbls>
          <c:showLegendKey val="0"/>
          <c:showVal val="0"/>
          <c:showCatName val="0"/>
          <c:showSerName val="0"/>
          <c:showPercent val="0"/>
          <c:showBubbleSize val="0"/>
        </c:dLbls>
        <c:marker val="1"/>
        <c:smooth val="0"/>
        <c:axId val="-2126792008"/>
        <c:axId val="-2124749096"/>
      </c:lineChart>
      <c:dateAx>
        <c:axId val="-2126792008"/>
        <c:scaling>
          <c:orientation val="minMax"/>
        </c:scaling>
        <c:delete val="0"/>
        <c:axPos val="b"/>
        <c:numFmt formatCode="[$-409]mmm\-yy;@" sourceLinked="1"/>
        <c:majorTickMark val="out"/>
        <c:minorTickMark val="none"/>
        <c:tickLblPos val="low"/>
        <c:crossAx val="-2124749096"/>
        <c:crosses val="autoZero"/>
        <c:auto val="1"/>
        <c:lblOffset val="100"/>
        <c:baseTimeUnit val="months"/>
      </c:dateAx>
      <c:valAx>
        <c:axId val="-2124749096"/>
        <c:scaling>
          <c:orientation val="minMax"/>
        </c:scaling>
        <c:delete val="0"/>
        <c:axPos val="l"/>
        <c:majorGridlines/>
        <c:numFmt formatCode="[$$-409]#,##0" sourceLinked="0"/>
        <c:majorTickMark val="out"/>
        <c:minorTickMark val="none"/>
        <c:tickLblPos val="nextTo"/>
        <c:crossAx val="-2126792008"/>
        <c:crosses val="autoZero"/>
        <c:crossBetween val="between"/>
      </c:valAx>
    </c:plotArea>
    <c:legend>
      <c:legendPos val="b"/>
      <c:legendEntry>
        <c:idx val="0"/>
        <c:delete val="1"/>
      </c:legendEntry>
      <c:layout>
        <c:manualLayout>
          <c:xMode val="edge"/>
          <c:yMode val="edge"/>
          <c:x val="0.169750733901336"/>
          <c:y val="0.870140054605214"/>
          <c:w val="0.755196874373737"/>
          <c:h val="0.0560391384900417"/>
        </c:manualLayout>
      </c:layout>
      <c:overlay val="1"/>
      <c:txPr>
        <a:bodyPr/>
        <a:lstStyle/>
        <a:p>
          <a:pPr>
            <a:defRPr sz="1000"/>
          </a:pPr>
          <a:endParaRPr lang="de-DE"/>
        </a:p>
      </c:txPr>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Gross Profit Margin</a:t>
            </a:r>
          </a:p>
        </c:rich>
      </c:tx>
      <c:layout>
        <c:manualLayout>
          <c:xMode val="edge"/>
          <c:yMode val="edge"/>
          <c:x val="0.38023718714135"/>
          <c:y val="0.0372903743402472"/>
        </c:manualLayout>
      </c:layout>
      <c:overlay val="0"/>
    </c:title>
    <c:autoTitleDeleted val="0"/>
    <c:plotArea>
      <c:layout>
        <c:manualLayout>
          <c:layoutTarget val="inner"/>
          <c:xMode val="edge"/>
          <c:yMode val="edge"/>
          <c:x val="0.126425098954421"/>
          <c:y val="0.166249654648432"/>
          <c:w val="0.795888823701285"/>
          <c:h val="0.610510421491431"/>
        </c:manualLayout>
      </c:layout>
      <c:lineChart>
        <c:grouping val="standard"/>
        <c:varyColors val="0"/>
        <c:ser>
          <c:idx val="0"/>
          <c:order val="0"/>
          <c:tx>
            <c:v>Revenues</c:v>
          </c:tx>
          <c:spPr>
            <a:ln w="38100" cmpd="sng">
              <a:solidFill>
                <a:schemeClr val="accent1"/>
              </a:solidFill>
            </a:ln>
          </c:spPr>
          <c:marker>
            <c:symbol val="none"/>
          </c:marker>
          <c:cat>
            <c:numRef>
              <c:f>(Summary!$D$2:$O$2,Summary!$Q$2:$AB$2)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(Summary!$D$12:$O$12,Summary!$Q$12:$AB$12)</c:f>
              <c:numCache>
                <c:formatCode>0%</c:formatCode>
                <c:ptCount val="24"/>
                <c:pt idx="0">
                  <c:v>0.782180061607393</c:v>
                </c:pt>
                <c:pt idx="1">
                  <c:v>0.74593945090828</c:v>
                </c:pt>
                <c:pt idx="2">
                  <c:v>0.782272815792067</c:v>
                </c:pt>
                <c:pt idx="3">
                  <c:v>0.714274995998453</c:v>
                </c:pt>
                <c:pt idx="4">
                  <c:v>0.763079504859596</c:v>
                </c:pt>
                <c:pt idx="5">
                  <c:v>0.745604894465133</c:v>
                </c:pt>
                <c:pt idx="6">
                  <c:v>0.746393188971768</c:v>
                </c:pt>
                <c:pt idx="7">
                  <c:v>0.74791301614921</c:v>
                </c:pt>
                <c:pt idx="8">
                  <c:v>0.662806317084902</c:v>
                </c:pt>
                <c:pt idx="9">
                  <c:v>0.692617679834089</c:v>
                </c:pt>
                <c:pt idx="10">
                  <c:v>0.707748603025112</c:v>
                </c:pt>
                <c:pt idx="11">
                  <c:v>0.717557794289614</c:v>
                </c:pt>
                <c:pt idx="12">
                  <c:v>0.68474255579299</c:v>
                </c:pt>
                <c:pt idx="13">
                  <c:v>0.704931124533607</c:v>
                </c:pt>
                <c:pt idx="14">
                  <c:v>0.681984331639448</c:v>
                </c:pt>
                <c:pt idx="15">
                  <c:v>0.703320337052242</c:v>
                </c:pt>
                <c:pt idx="16">
                  <c:v>0.700983025654439</c:v>
                </c:pt>
                <c:pt idx="17">
                  <c:v>0.703490577376976</c:v>
                </c:pt>
                <c:pt idx="18">
                  <c:v>0.684712679856114</c:v>
                </c:pt>
                <c:pt idx="19">
                  <c:v>0.688797058672469</c:v>
                </c:pt>
                <c:pt idx="20">
                  <c:v>0.690579321338694</c:v>
                </c:pt>
                <c:pt idx="21">
                  <c:v>0.682803382081591</c:v>
                </c:pt>
                <c:pt idx="22">
                  <c:v>0.691486163176708</c:v>
                </c:pt>
                <c:pt idx="23">
                  <c:v>0.687171250566653</c:v>
                </c:pt>
              </c:numCache>
            </c:numRef>
          </c:val>
          <c:smooth val="0"/>
        </c:ser>
        <c:dLbls>
          <c:showLegendKey val="0"/>
          <c:showVal val="0"/>
          <c:showCatName val="0"/>
          <c:showSerName val="0"/>
          <c:showPercent val="0"/>
          <c:showBubbleSize val="0"/>
        </c:dLbls>
        <c:marker val="1"/>
        <c:smooth val="0"/>
        <c:axId val="-2092008200"/>
        <c:axId val="-2092005160"/>
      </c:lineChart>
      <c:dateAx>
        <c:axId val="-2092008200"/>
        <c:scaling>
          <c:orientation val="minMax"/>
        </c:scaling>
        <c:delete val="0"/>
        <c:axPos val="b"/>
        <c:numFmt formatCode="[$-409]mmm\-yy;@" sourceLinked="1"/>
        <c:majorTickMark val="out"/>
        <c:minorTickMark val="none"/>
        <c:tickLblPos val="low"/>
        <c:crossAx val="-2092005160"/>
        <c:crosses val="autoZero"/>
        <c:auto val="1"/>
        <c:lblOffset val="100"/>
        <c:baseTimeUnit val="months"/>
      </c:dateAx>
      <c:valAx>
        <c:axId val="-2092005160"/>
        <c:scaling>
          <c:orientation val="minMax"/>
        </c:scaling>
        <c:delete val="0"/>
        <c:axPos val="l"/>
        <c:majorGridlines/>
        <c:numFmt formatCode="0%" sourceLinked="1"/>
        <c:majorTickMark val="out"/>
        <c:minorTickMark val="none"/>
        <c:tickLblPos val="nextTo"/>
        <c:crossAx val="-2092008200"/>
        <c:crosses val="autoZero"/>
        <c:crossBetween val="between"/>
      </c:valAx>
    </c:plotArea>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Operating Cash Flows</a:t>
            </a:r>
          </a:p>
        </c:rich>
      </c:tx>
      <c:layout>
        <c:manualLayout>
          <c:xMode val="edge"/>
          <c:yMode val="edge"/>
          <c:x val="0.392011086665331"/>
          <c:y val="0.0372904122278833"/>
        </c:manualLayout>
      </c:layout>
      <c:overlay val="0"/>
    </c:title>
    <c:autoTitleDeleted val="0"/>
    <c:plotArea>
      <c:layout>
        <c:manualLayout>
          <c:layoutTarget val="inner"/>
          <c:xMode val="edge"/>
          <c:yMode val="edge"/>
          <c:x val="0.157822253674335"/>
          <c:y val="0.166249654648432"/>
          <c:w val="0.78411491489388"/>
          <c:h val="0.551686986707307"/>
        </c:manualLayout>
      </c:layout>
      <c:barChart>
        <c:barDir val="col"/>
        <c:grouping val="stacked"/>
        <c:varyColors val="0"/>
        <c:ser>
          <c:idx val="2"/>
          <c:order val="0"/>
          <c:tx>
            <c:v>Cash inflow</c:v>
          </c:tx>
          <c:spPr>
            <a:solidFill>
              <a:schemeClr val="accent3"/>
            </a:solidFill>
            <a:ln w="25400">
              <a:noFill/>
            </a:ln>
          </c:spPr>
          <c:invertIfNegative val="0"/>
          <c:cat>
            <c:numRef>
              <c:f>(Summary!$D$2:$O$2,Summary!$Q$2:$AB$2)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(Summary!$D$31:$O$31,Summary!$Q$31:$AB$31)</c:f>
              <c:numCache>
                <c:formatCode>#,##0</c:formatCode>
                <c:ptCount val="24"/>
                <c:pt idx="0">
                  <c:v>329550.0</c:v>
                </c:pt>
                <c:pt idx="1">
                  <c:v>395667.75</c:v>
                </c:pt>
                <c:pt idx="2">
                  <c:v>402654.25875</c:v>
                </c:pt>
                <c:pt idx="3">
                  <c:v>410826.62353125</c:v>
                </c:pt>
                <c:pt idx="4">
                  <c:v>420202.1111545312</c:v>
                </c:pt>
                <c:pt idx="5">
                  <c:v>490849.4219295543</c:v>
                </c:pt>
                <c:pt idx="6">
                  <c:v>502323.2650161244</c:v>
                </c:pt>
                <c:pt idx="7">
                  <c:v>515722.5517426583</c:v>
                </c:pt>
                <c:pt idx="8">
                  <c:v>590659.0277641314</c:v>
                </c:pt>
                <c:pt idx="9">
                  <c:v>607207.0502928288</c:v>
                </c:pt>
                <c:pt idx="10">
                  <c:v>493494.7967691802</c:v>
                </c:pt>
                <c:pt idx="11">
                  <c:v>514339.4311576151</c:v>
                </c:pt>
                <c:pt idx="12">
                  <c:v>741459.4462531508</c:v>
                </c:pt>
                <c:pt idx="13">
                  <c:v>892940.7754157106</c:v>
                </c:pt>
                <c:pt idx="14">
                  <c:v>920656.2754778073</c:v>
                </c:pt>
                <c:pt idx="15">
                  <c:v>950960.8749069539</c:v>
                </c:pt>
                <c:pt idx="16">
                  <c:v>983728.896226057</c:v>
                </c:pt>
                <c:pt idx="17">
                  <c:v>1.14559371432941E6</c:v>
                </c:pt>
                <c:pt idx="18">
                  <c:v>1.18427117750542E6</c:v>
                </c:pt>
                <c:pt idx="19">
                  <c:v>1.28640549150627E6</c:v>
                </c:pt>
                <c:pt idx="20">
                  <c:v>1.39237711815698E6</c:v>
                </c:pt>
                <c:pt idx="21">
                  <c:v>1.44240706611589E6</c:v>
                </c:pt>
                <c:pt idx="22">
                  <c:v>1.43055281363131E6</c:v>
                </c:pt>
                <c:pt idx="23">
                  <c:v>1.54976964411055E6</c:v>
                </c:pt>
              </c:numCache>
            </c:numRef>
          </c:val>
        </c:ser>
        <c:ser>
          <c:idx val="0"/>
          <c:order val="1"/>
          <c:tx>
            <c:v>Cash outflow</c:v>
          </c:tx>
          <c:spPr>
            <a:solidFill>
              <a:srgbClr val="FF0000"/>
            </a:solidFill>
          </c:spPr>
          <c:invertIfNegative val="0"/>
          <c:cat>
            <c:numRef>
              <c:f>(Summary!$D$2:$O$2,Summary!$Q$2:$AB$2)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(Summary!$D$110:$O$110,Summary!$Q$110:$AB$110)</c:f>
              <c:numCache>
                <c:formatCode>#,##0</c:formatCode>
                <c:ptCount val="24"/>
                <c:pt idx="0">
                  <c:v>-400619.25</c:v>
                </c:pt>
                <c:pt idx="1">
                  <c:v>-405765.14625</c:v>
                </c:pt>
                <c:pt idx="2">
                  <c:v>-644878.32493125</c:v>
                </c:pt>
                <c:pt idx="3">
                  <c:v>-424651.5941767187</c:v>
                </c:pt>
                <c:pt idx="4">
                  <c:v>-456337.2850058617</c:v>
                </c:pt>
                <c:pt idx="5">
                  <c:v>-844694.6719604898</c:v>
                </c:pt>
                <c:pt idx="6">
                  <c:v>-574263.6407771768</c:v>
                </c:pt>
                <c:pt idx="7">
                  <c:v>-630092.5444852588</c:v>
                </c:pt>
                <c:pt idx="8">
                  <c:v>-956878.9687481577</c:v>
                </c:pt>
                <c:pt idx="9">
                  <c:v>-691732.9517895318</c:v>
                </c:pt>
                <c:pt idx="10">
                  <c:v>-713571.7975638394</c:v>
                </c:pt>
                <c:pt idx="11">
                  <c:v>-1.54238582320628E6</c:v>
                </c:pt>
                <c:pt idx="12">
                  <c:v>-835807.0252441753</c:v>
                </c:pt>
                <c:pt idx="13">
                  <c:v>-897437.004681121</c:v>
                </c:pt>
                <c:pt idx="14">
                  <c:v>-1.2127285971895E6</c:v>
                </c:pt>
                <c:pt idx="15">
                  <c:v>-959119.7181124388</c:v>
                </c:pt>
                <c:pt idx="16">
                  <c:v>-1.06984340099052E6</c:v>
                </c:pt>
                <c:pt idx="17">
                  <c:v>-1.42453515143447E6</c:v>
                </c:pt>
                <c:pt idx="18">
                  <c:v>-1.16146660896323E6</c:v>
                </c:pt>
                <c:pt idx="19">
                  <c:v>-1.22361474135335E6</c:v>
                </c:pt>
                <c:pt idx="20">
                  <c:v>-1.65828091095119E6</c:v>
                </c:pt>
                <c:pt idx="21">
                  <c:v>-1.31034495392564E6</c:v>
                </c:pt>
                <c:pt idx="22">
                  <c:v>-1.34501462984023E6</c:v>
                </c:pt>
                <c:pt idx="23">
                  <c:v>-2.81840890195492E6</c:v>
                </c:pt>
              </c:numCache>
            </c:numRef>
          </c:val>
        </c:ser>
        <c:dLbls>
          <c:showLegendKey val="0"/>
          <c:showVal val="0"/>
          <c:showCatName val="0"/>
          <c:showSerName val="0"/>
          <c:showPercent val="0"/>
          <c:showBubbleSize val="0"/>
        </c:dLbls>
        <c:gapWidth val="150"/>
        <c:overlap val="100"/>
        <c:axId val="-2123132600"/>
        <c:axId val="-2123129560"/>
      </c:barChart>
      <c:lineChart>
        <c:grouping val="standard"/>
        <c:varyColors val="0"/>
        <c:ser>
          <c:idx val="1"/>
          <c:order val="2"/>
          <c:tx>
            <c:v>Cash flow</c:v>
          </c:tx>
          <c:spPr>
            <a:ln>
              <a:solidFill>
                <a:schemeClr val="accent1"/>
              </a:solidFill>
            </a:ln>
          </c:spPr>
          <c:marker>
            <c:symbol val="none"/>
          </c:marker>
          <c:val>
            <c:numRef>
              <c:f>(Summary!$D$33:$O$33,Summary!$Q$33:$AB$33)</c:f>
              <c:numCache>
                <c:formatCode>#,##0</c:formatCode>
                <c:ptCount val="24"/>
                <c:pt idx="0">
                  <c:v>-71069.25</c:v>
                </c:pt>
                <c:pt idx="1">
                  <c:v>-10097.39624999999</c:v>
                </c:pt>
                <c:pt idx="2">
                  <c:v>-242224.06618125</c:v>
                </c:pt>
                <c:pt idx="3">
                  <c:v>-13824.97064546874</c:v>
                </c:pt>
                <c:pt idx="4">
                  <c:v>-36135.17385133042</c:v>
                </c:pt>
                <c:pt idx="5">
                  <c:v>-353845.2500309355</c:v>
                </c:pt>
                <c:pt idx="6">
                  <c:v>-71940.37576105236</c:v>
                </c:pt>
                <c:pt idx="7">
                  <c:v>-114369.9927426006</c:v>
                </c:pt>
                <c:pt idx="8">
                  <c:v>-366219.9409840263</c:v>
                </c:pt>
                <c:pt idx="9">
                  <c:v>-84525.90149670303</c:v>
                </c:pt>
                <c:pt idx="10">
                  <c:v>-220077.0007946591</c:v>
                </c:pt>
                <c:pt idx="11">
                  <c:v>-1.02804639204866E6</c:v>
                </c:pt>
                <c:pt idx="12">
                  <c:v>-94347.57899102452</c:v>
                </c:pt>
                <c:pt idx="13">
                  <c:v>-4496.229265410336</c:v>
                </c:pt>
                <c:pt idx="14">
                  <c:v>-292072.3217116967</c:v>
                </c:pt>
                <c:pt idx="15">
                  <c:v>-8158.84320548491</c:v>
                </c:pt>
                <c:pt idx="16">
                  <c:v>-86114.50476446072</c:v>
                </c:pt>
                <c:pt idx="17">
                  <c:v>-278941.4371050591</c:v>
                </c:pt>
                <c:pt idx="18">
                  <c:v>22804.5685421885</c:v>
                </c:pt>
                <c:pt idx="19">
                  <c:v>62790.75015292736</c:v>
                </c:pt>
                <c:pt idx="20">
                  <c:v>-265903.7927942141</c:v>
                </c:pt>
                <c:pt idx="21">
                  <c:v>132062.1121902424</c:v>
                </c:pt>
                <c:pt idx="22">
                  <c:v>85538.1837910856</c:v>
                </c:pt>
                <c:pt idx="23">
                  <c:v>-1.26863925784438E6</c:v>
                </c:pt>
              </c:numCache>
            </c:numRef>
          </c:val>
          <c:smooth val="0"/>
        </c:ser>
        <c:dLbls>
          <c:showLegendKey val="0"/>
          <c:showVal val="0"/>
          <c:showCatName val="0"/>
          <c:showSerName val="0"/>
          <c:showPercent val="0"/>
          <c:showBubbleSize val="0"/>
        </c:dLbls>
        <c:marker val="1"/>
        <c:smooth val="0"/>
        <c:axId val="-2123132600"/>
        <c:axId val="-2123129560"/>
      </c:lineChart>
      <c:dateAx>
        <c:axId val="-2123132600"/>
        <c:scaling>
          <c:orientation val="minMax"/>
        </c:scaling>
        <c:delete val="0"/>
        <c:axPos val="b"/>
        <c:numFmt formatCode="[$-409]mmm\-yy;@" sourceLinked="1"/>
        <c:majorTickMark val="out"/>
        <c:minorTickMark val="none"/>
        <c:tickLblPos val="low"/>
        <c:crossAx val="-2123129560"/>
        <c:crosses val="autoZero"/>
        <c:auto val="1"/>
        <c:lblOffset val="100"/>
        <c:baseTimeUnit val="months"/>
      </c:dateAx>
      <c:valAx>
        <c:axId val="-2123129560"/>
        <c:scaling>
          <c:orientation val="minMax"/>
        </c:scaling>
        <c:delete val="0"/>
        <c:axPos val="l"/>
        <c:majorGridlines/>
        <c:numFmt formatCode="[$$-409]#,##0" sourceLinked="0"/>
        <c:majorTickMark val="out"/>
        <c:minorTickMark val="none"/>
        <c:tickLblPos val="nextTo"/>
        <c:crossAx val="-2123132600"/>
        <c:crosses val="autoZero"/>
        <c:crossBetween val="between"/>
      </c:valAx>
    </c:plotArea>
    <c:legend>
      <c:legendPos val="b"/>
      <c:layout>
        <c:manualLayout>
          <c:xMode val="edge"/>
          <c:yMode val="edge"/>
          <c:x val="0.216846502559751"/>
          <c:y val="0.870140054605214"/>
          <c:w val="0.6472279705602"/>
          <c:h val="0.0560391384900417"/>
        </c:manualLayout>
      </c:layout>
      <c:overlay val="1"/>
      <c:txPr>
        <a:bodyPr/>
        <a:lstStyle/>
        <a:p>
          <a:pPr>
            <a:defRPr sz="1000"/>
          </a:pPr>
          <a:endParaRPr lang="de-DE"/>
        </a:p>
      </c:txPr>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Bank balance</a:t>
            </a:r>
          </a:p>
        </c:rich>
      </c:tx>
      <c:layout>
        <c:manualLayout>
          <c:xMode val="edge"/>
          <c:yMode val="edge"/>
          <c:x val="0.413596647300437"/>
          <c:y val="0.0372904122278833"/>
        </c:manualLayout>
      </c:layout>
      <c:overlay val="0"/>
    </c:title>
    <c:autoTitleDeleted val="0"/>
    <c:plotArea>
      <c:layout>
        <c:manualLayout>
          <c:layoutTarget val="inner"/>
          <c:xMode val="edge"/>
          <c:yMode val="edge"/>
          <c:x val="0.157822253674335"/>
          <c:y val="0.166249654648432"/>
          <c:w val="0.78411491489388"/>
          <c:h val="0.551686986707307"/>
        </c:manualLayout>
      </c:layout>
      <c:barChart>
        <c:barDir val="col"/>
        <c:grouping val="clustered"/>
        <c:varyColors val="0"/>
        <c:ser>
          <c:idx val="2"/>
          <c:order val="0"/>
          <c:tx>
            <c:v>Cash from financing</c:v>
          </c:tx>
          <c:spPr>
            <a:solidFill>
              <a:schemeClr val="accent3"/>
            </a:solidFill>
            <a:ln w="25400">
              <a:noFill/>
            </a:ln>
          </c:spPr>
          <c:invertIfNegative val="0"/>
          <c:cat>
            <c:numRef>
              <c:f>(Summary!$D$2:$O$2,Summary!$Q$2:$AB$2)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(Summary!$D$37:$O$37,Summary!$Q$37:$AB$37)</c:f>
              <c:numCache>
                <c:formatCode>#,##0</c:formatCode>
                <c:ptCount val="24"/>
                <c:pt idx="0">
                  <c:v>5.0E6</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numCache>
            </c:numRef>
          </c:val>
        </c:ser>
        <c:ser>
          <c:idx val="0"/>
          <c:order val="1"/>
          <c:tx>
            <c:v>Operating cash flow</c:v>
          </c:tx>
          <c:spPr>
            <a:solidFill>
              <a:schemeClr val="accent5">
                <a:lumMod val="60000"/>
                <a:lumOff val="40000"/>
              </a:schemeClr>
            </a:solidFill>
          </c:spPr>
          <c:invertIfNegative val="0"/>
          <c:cat>
            <c:numRef>
              <c:f>(Summary!$D$2:$O$2,Summary!$Q$2:$AB$2)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(Summary!$D$33:$O$33,Summary!$Q$33:$AB$33)</c:f>
              <c:numCache>
                <c:formatCode>#,##0</c:formatCode>
                <c:ptCount val="24"/>
                <c:pt idx="0">
                  <c:v>-71069.25</c:v>
                </c:pt>
                <c:pt idx="1">
                  <c:v>-10097.39624999999</c:v>
                </c:pt>
                <c:pt idx="2">
                  <c:v>-242224.06618125</c:v>
                </c:pt>
                <c:pt idx="3">
                  <c:v>-13824.97064546874</c:v>
                </c:pt>
                <c:pt idx="4">
                  <c:v>-36135.17385133042</c:v>
                </c:pt>
                <c:pt idx="5">
                  <c:v>-353845.2500309355</c:v>
                </c:pt>
                <c:pt idx="6">
                  <c:v>-71940.37576105236</c:v>
                </c:pt>
                <c:pt idx="7">
                  <c:v>-114369.9927426006</c:v>
                </c:pt>
                <c:pt idx="8">
                  <c:v>-366219.9409840263</c:v>
                </c:pt>
                <c:pt idx="9">
                  <c:v>-84525.90149670303</c:v>
                </c:pt>
                <c:pt idx="10">
                  <c:v>-220077.0007946591</c:v>
                </c:pt>
                <c:pt idx="11">
                  <c:v>-1.02804639204866E6</c:v>
                </c:pt>
                <c:pt idx="12">
                  <c:v>-94347.57899102452</c:v>
                </c:pt>
                <c:pt idx="13">
                  <c:v>-4496.229265410336</c:v>
                </c:pt>
                <c:pt idx="14">
                  <c:v>-292072.3217116967</c:v>
                </c:pt>
                <c:pt idx="15">
                  <c:v>-8158.84320548491</c:v>
                </c:pt>
                <c:pt idx="16">
                  <c:v>-86114.50476446072</c:v>
                </c:pt>
                <c:pt idx="17">
                  <c:v>-278941.4371050591</c:v>
                </c:pt>
                <c:pt idx="18">
                  <c:v>22804.5685421885</c:v>
                </c:pt>
                <c:pt idx="19">
                  <c:v>62790.75015292736</c:v>
                </c:pt>
                <c:pt idx="20">
                  <c:v>-265903.7927942141</c:v>
                </c:pt>
                <c:pt idx="21">
                  <c:v>132062.1121902424</c:v>
                </c:pt>
                <c:pt idx="22">
                  <c:v>85538.1837910856</c:v>
                </c:pt>
                <c:pt idx="23">
                  <c:v>-1.26863925784438E6</c:v>
                </c:pt>
              </c:numCache>
            </c:numRef>
          </c:val>
        </c:ser>
        <c:dLbls>
          <c:showLegendKey val="0"/>
          <c:showVal val="0"/>
          <c:showCatName val="0"/>
          <c:showSerName val="0"/>
          <c:showPercent val="0"/>
          <c:showBubbleSize val="0"/>
        </c:dLbls>
        <c:gapWidth val="150"/>
        <c:axId val="-2091929288"/>
        <c:axId val="-2123039032"/>
      </c:barChart>
      <c:lineChart>
        <c:grouping val="standard"/>
        <c:varyColors val="0"/>
        <c:ser>
          <c:idx val="1"/>
          <c:order val="2"/>
          <c:tx>
            <c:v>Ending bank balance</c:v>
          </c:tx>
          <c:spPr>
            <a:ln>
              <a:solidFill>
                <a:schemeClr val="accent1"/>
              </a:solidFill>
            </a:ln>
          </c:spPr>
          <c:marker>
            <c:symbol val="none"/>
          </c:marker>
          <c:val>
            <c:numRef>
              <c:f>(Summary!$D$39:$O$39,Summary!$Q$39:$AB$39)</c:f>
              <c:numCache>
                <c:formatCode>#,##0</c:formatCode>
                <c:ptCount val="24"/>
                <c:pt idx="0">
                  <c:v>5.42893075E6</c:v>
                </c:pt>
                <c:pt idx="1">
                  <c:v>5.41883335375E6</c:v>
                </c:pt>
                <c:pt idx="2">
                  <c:v>5.17660928756875E6</c:v>
                </c:pt>
                <c:pt idx="3">
                  <c:v>5.16278431692328E6</c:v>
                </c:pt>
                <c:pt idx="4">
                  <c:v>5.12664914307195E6</c:v>
                </c:pt>
                <c:pt idx="5">
                  <c:v>4.77280389304101E6</c:v>
                </c:pt>
                <c:pt idx="6">
                  <c:v>4.70086351727996E6</c:v>
                </c:pt>
                <c:pt idx="7">
                  <c:v>4.58649352453736E6</c:v>
                </c:pt>
                <c:pt idx="8">
                  <c:v>4.22027358355333E6</c:v>
                </c:pt>
                <c:pt idx="9">
                  <c:v>4.13574768205663E6</c:v>
                </c:pt>
                <c:pt idx="10">
                  <c:v>3.91567068126197E6</c:v>
                </c:pt>
                <c:pt idx="11">
                  <c:v>2.88762428921331E6</c:v>
                </c:pt>
                <c:pt idx="12">
                  <c:v>2.79327671022228E6</c:v>
                </c:pt>
                <c:pt idx="13">
                  <c:v>2.78878048095687E6</c:v>
                </c:pt>
                <c:pt idx="14">
                  <c:v>2.49670815924518E6</c:v>
                </c:pt>
                <c:pt idx="15">
                  <c:v>2.48854931603969E6</c:v>
                </c:pt>
                <c:pt idx="16">
                  <c:v>2.40243481127523E6</c:v>
                </c:pt>
                <c:pt idx="17">
                  <c:v>2.12349337417017E6</c:v>
                </c:pt>
                <c:pt idx="18">
                  <c:v>2.14629794271236E6</c:v>
                </c:pt>
                <c:pt idx="19">
                  <c:v>2.20908869286529E6</c:v>
                </c:pt>
                <c:pt idx="20">
                  <c:v>1.94318490007108E6</c:v>
                </c:pt>
                <c:pt idx="21">
                  <c:v>2.07524701226132E6</c:v>
                </c:pt>
                <c:pt idx="22">
                  <c:v>2.1607851960524E6</c:v>
                </c:pt>
                <c:pt idx="23">
                  <c:v>892145.9382080245</c:v>
                </c:pt>
              </c:numCache>
            </c:numRef>
          </c:val>
          <c:smooth val="0"/>
        </c:ser>
        <c:dLbls>
          <c:showLegendKey val="0"/>
          <c:showVal val="0"/>
          <c:showCatName val="0"/>
          <c:showSerName val="0"/>
          <c:showPercent val="0"/>
          <c:showBubbleSize val="0"/>
        </c:dLbls>
        <c:marker val="1"/>
        <c:smooth val="0"/>
        <c:axId val="-2091929288"/>
        <c:axId val="-2123039032"/>
      </c:lineChart>
      <c:dateAx>
        <c:axId val="-2091929288"/>
        <c:scaling>
          <c:orientation val="minMax"/>
        </c:scaling>
        <c:delete val="0"/>
        <c:axPos val="b"/>
        <c:numFmt formatCode="[$-409]mmm\-yy;@" sourceLinked="1"/>
        <c:majorTickMark val="out"/>
        <c:minorTickMark val="none"/>
        <c:tickLblPos val="low"/>
        <c:crossAx val="-2123039032"/>
        <c:crosses val="autoZero"/>
        <c:auto val="1"/>
        <c:lblOffset val="100"/>
        <c:baseTimeUnit val="months"/>
      </c:dateAx>
      <c:valAx>
        <c:axId val="-2123039032"/>
        <c:scaling>
          <c:orientation val="minMax"/>
        </c:scaling>
        <c:delete val="0"/>
        <c:axPos val="l"/>
        <c:majorGridlines/>
        <c:numFmt formatCode="[$$-409]#,##0" sourceLinked="0"/>
        <c:majorTickMark val="out"/>
        <c:minorTickMark val="none"/>
        <c:tickLblPos val="nextTo"/>
        <c:crossAx val="-2091929288"/>
        <c:crosses val="autoZero"/>
        <c:crossBetween val="between"/>
      </c:valAx>
    </c:plotArea>
    <c:legend>
      <c:legendPos val="b"/>
      <c:layout>
        <c:manualLayout>
          <c:xMode val="edge"/>
          <c:yMode val="edge"/>
          <c:x val="0.147506481462453"/>
          <c:y val="0.867490273274664"/>
          <c:w val="0.813247044655534"/>
          <c:h val="0.0560391384900417"/>
        </c:manualLayout>
      </c:layout>
      <c:overlay val="0"/>
      <c:txPr>
        <a:bodyPr/>
        <a:lstStyle/>
        <a:p>
          <a:pPr>
            <a:defRPr sz="1000"/>
          </a:pPr>
          <a:endParaRPr lang="de-DE"/>
        </a:p>
      </c:txPr>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Headcount by department</a:t>
            </a:r>
          </a:p>
        </c:rich>
      </c:tx>
      <c:layout>
        <c:manualLayout>
          <c:xMode val="edge"/>
          <c:yMode val="edge"/>
          <c:x val="0.348839965395117"/>
          <c:y val="0.0402315886984715"/>
        </c:manualLayout>
      </c:layout>
      <c:overlay val="0"/>
    </c:title>
    <c:autoTitleDeleted val="0"/>
    <c:plotArea>
      <c:layout>
        <c:manualLayout>
          <c:layoutTarget val="inner"/>
          <c:xMode val="edge"/>
          <c:yMode val="edge"/>
          <c:x val="0.112688833095717"/>
          <c:y val="0.166249654648432"/>
          <c:w val="0.829248326500996"/>
          <c:h val="0.572275127373784"/>
        </c:manualLayout>
      </c:layout>
      <c:areaChart>
        <c:grouping val="stacked"/>
        <c:varyColors val="0"/>
        <c:ser>
          <c:idx val="2"/>
          <c:order val="0"/>
          <c:tx>
            <c:v>G&amp;A</c:v>
          </c:tx>
          <c:spPr>
            <a:solidFill>
              <a:schemeClr val="accent4">
                <a:lumMod val="60000"/>
                <a:lumOff val="40000"/>
              </a:schemeClr>
            </a:solidFill>
            <a:ln w="25400">
              <a:noFill/>
            </a:ln>
            <a:effectLst/>
          </c:spPr>
          <c:cat>
            <c:numRef>
              <c:f>(Costs!$J$2:$U$2,Costs!$W$2:$AH$2)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(Costs!$J$18:$U$18,Costs!$W$18:$AH$18)</c:f>
              <c:numCache>
                <c:formatCode>#,##0</c:formatCode>
                <c:ptCount val="24"/>
                <c:pt idx="0">
                  <c:v>3.0</c:v>
                </c:pt>
                <c:pt idx="1">
                  <c:v>3.0</c:v>
                </c:pt>
                <c:pt idx="2">
                  <c:v>3.0</c:v>
                </c:pt>
                <c:pt idx="3">
                  <c:v>3.0</c:v>
                </c:pt>
                <c:pt idx="4">
                  <c:v>3.0</c:v>
                </c:pt>
                <c:pt idx="5">
                  <c:v>3.0</c:v>
                </c:pt>
                <c:pt idx="6">
                  <c:v>5.0</c:v>
                </c:pt>
                <c:pt idx="7">
                  <c:v>5.0</c:v>
                </c:pt>
                <c:pt idx="8">
                  <c:v>5.0</c:v>
                </c:pt>
                <c:pt idx="9">
                  <c:v>6.0</c:v>
                </c:pt>
                <c:pt idx="10">
                  <c:v>7.0</c:v>
                </c:pt>
                <c:pt idx="11">
                  <c:v>7.0</c:v>
                </c:pt>
                <c:pt idx="12">
                  <c:v>7.0</c:v>
                </c:pt>
                <c:pt idx="13">
                  <c:v>7.0</c:v>
                </c:pt>
                <c:pt idx="14">
                  <c:v>7.0</c:v>
                </c:pt>
                <c:pt idx="15">
                  <c:v>7.0</c:v>
                </c:pt>
                <c:pt idx="16">
                  <c:v>8.0</c:v>
                </c:pt>
                <c:pt idx="17">
                  <c:v>8.0</c:v>
                </c:pt>
                <c:pt idx="18">
                  <c:v>8.0</c:v>
                </c:pt>
                <c:pt idx="19">
                  <c:v>8.0</c:v>
                </c:pt>
                <c:pt idx="20">
                  <c:v>8.0</c:v>
                </c:pt>
                <c:pt idx="21">
                  <c:v>8.0</c:v>
                </c:pt>
                <c:pt idx="22">
                  <c:v>9.0</c:v>
                </c:pt>
                <c:pt idx="23">
                  <c:v>9.0</c:v>
                </c:pt>
              </c:numCache>
            </c:numRef>
          </c:val>
        </c:ser>
        <c:ser>
          <c:idx val="0"/>
          <c:order val="1"/>
          <c:tx>
            <c:v>R&amp;D</c:v>
          </c:tx>
          <c:spPr>
            <a:solidFill>
              <a:schemeClr val="accent1">
                <a:lumMod val="60000"/>
                <a:lumOff val="40000"/>
              </a:schemeClr>
            </a:solidFill>
            <a:ln w="25400">
              <a:noFill/>
            </a:ln>
          </c:spPr>
          <c:cat>
            <c:numRef>
              <c:f>(Costs!$J$2:$U$2,Costs!$W$2:$AH$2)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(Costs!$J$51:$U$51,Costs!$W$51:$AH$51)</c:f>
              <c:numCache>
                <c:formatCode>#,##0</c:formatCode>
                <c:ptCount val="24"/>
                <c:pt idx="0">
                  <c:v>6.0</c:v>
                </c:pt>
                <c:pt idx="1">
                  <c:v>6.0</c:v>
                </c:pt>
                <c:pt idx="2">
                  <c:v>8.0</c:v>
                </c:pt>
                <c:pt idx="3">
                  <c:v>9.0</c:v>
                </c:pt>
                <c:pt idx="4">
                  <c:v>10.0</c:v>
                </c:pt>
                <c:pt idx="5">
                  <c:v>10.0</c:v>
                </c:pt>
                <c:pt idx="6">
                  <c:v>13.0</c:v>
                </c:pt>
                <c:pt idx="7">
                  <c:v>14.0</c:v>
                </c:pt>
                <c:pt idx="8">
                  <c:v>16.0</c:v>
                </c:pt>
                <c:pt idx="9">
                  <c:v>16.0</c:v>
                </c:pt>
                <c:pt idx="10">
                  <c:v>17.0</c:v>
                </c:pt>
                <c:pt idx="11">
                  <c:v>18.0</c:v>
                </c:pt>
                <c:pt idx="12">
                  <c:v>21.0</c:v>
                </c:pt>
                <c:pt idx="13">
                  <c:v>21.0</c:v>
                </c:pt>
                <c:pt idx="14">
                  <c:v>22.0</c:v>
                </c:pt>
                <c:pt idx="15">
                  <c:v>23.0</c:v>
                </c:pt>
                <c:pt idx="16">
                  <c:v>24.0</c:v>
                </c:pt>
                <c:pt idx="17">
                  <c:v>26.0</c:v>
                </c:pt>
                <c:pt idx="18">
                  <c:v>27.0</c:v>
                </c:pt>
                <c:pt idx="19">
                  <c:v>27.0</c:v>
                </c:pt>
                <c:pt idx="20">
                  <c:v>27.0</c:v>
                </c:pt>
                <c:pt idx="21">
                  <c:v>27.0</c:v>
                </c:pt>
                <c:pt idx="22">
                  <c:v>28.0</c:v>
                </c:pt>
                <c:pt idx="23">
                  <c:v>28.0</c:v>
                </c:pt>
              </c:numCache>
            </c:numRef>
          </c:val>
        </c:ser>
        <c:ser>
          <c:idx val="1"/>
          <c:order val="2"/>
          <c:tx>
            <c:v>Marketing</c:v>
          </c:tx>
          <c:spPr>
            <a:solidFill>
              <a:schemeClr val="accent3">
                <a:lumMod val="60000"/>
                <a:lumOff val="40000"/>
              </a:schemeClr>
            </a:solidFill>
            <a:ln w="25400">
              <a:noFill/>
            </a:ln>
          </c:spPr>
          <c:cat>
            <c:numRef>
              <c:f>(Costs!$J$2:$U$2,Costs!$W$2:$AH$2)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(Costs!$J$64:$U$64,Costs!$W$64:$AH$64)</c:f>
              <c:numCache>
                <c:formatCode>#,##0</c:formatCode>
                <c:ptCount val="24"/>
                <c:pt idx="0">
                  <c:v>1.0</c:v>
                </c:pt>
                <c:pt idx="1">
                  <c:v>2.0</c:v>
                </c:pt>
                <c:pt idx="2">
                  <c:v>2.0</c:v>
                </c:pt>
                <c:pt idx="3">
                  <c:v>2.0</c:v>
                </c:pt>
                <c:pt idx="4">
                  <c:v>3.0</c:v>
                </c:pt>
                <c:pt idx="5">
                  <c:v>4.0</c:v>
                </c:pt>
                <c:pt idx="6">
                  <c:v>4.0</c:v>
                </c:pt>
                <c:pt idx="7">
                  <c:v>4.0</c:v>
                </c:pt>
                <c:pt idx="8">
                  <c:v>4.0</c:v>
                </c:pt>
                <c:pt idx="9">
                  <c:v>4.0</c:v>
                </c:pt>
                <c:pt idx="10">
                  <c:v>4.0</c:v>
                </c:pt>
                <c:pt idx="11">
                  <c:v>4.0</c:v>
                </c:pt>
                <c:pt idx="12">
                  <c:v>4.0</c:v>
                </c:pt>
                <c:pt idx="13">
                  <c:v>5.0</c:v>
                </c:pt>
                <c:pt idx="14">
                  <c:v>6.0</c:v>
                </c:pt>
                <c:pt idx="15">
                  <c:v>6.0</c:v>
                </c:pt>
                <c:pt idx="16">
                  <c:v>6.0</c:v>
                </c:pt>
                <c:pt idx="17">
                  <c:v>7.0</c:v>
                </c:pt>
                <c:pt idx="18">
                  <c:v>7.0</c:v>
                </c:pt>
                <c:pt idx="19">
                  <c:v>7.0</c:v>
                </c:pt>
                <c:pt idx="20">
                  <c:v>7.0</c:v>
                </c:pt>
                <c:pt idx="21">
                  <c:v>8.0</c:v>
                </c:pt>
                <c:pt idx="22">
                  <c:v>8.0</c:v>
                </c:pt>
                <c:pt idx="23">
                  <c:v>8.0</c:v>
                </c:pt>
              </c:numCache>
            </c:numRef>
          </c:val>
        </c:ser>
        <c:ser>
          <c:idx val="3"/>
          <c:order val="3"/>
          <c:tx>
            <c:v>Sales</c:v>
          </c:tx>
          <c:spPr>
            <a:solidFill>
              <a:schemeClr val="accent6">
                <a:lumMod val="60000"/>
                <a:lumOff val="40000"/>
              </a:schemeClr>
            </a:solidFill>
            <a:ln w="25400">
              <a:noFill/>
            </a:ln>
          </c:spPr>
          <c:cat>
            <c:numRef>
              <c:f>(Costs!$J$2:$U$2,Costs!$W$2:$AH$2)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(Costs!$J$74:$U$74,Costs!$W$74:$AH$74)</c:f>
              <c:numCache>
                <c:formatCode>#,##0</c:formatCode>
                <c:ptCount val="24"/>
                <c:pt idx="0">
                  <c:v>8.0</c:v>
                </c:pt>
                <c:pt idx="1">
                  <c:v>18.0</c:v>
                </c:pt>
                <c:pt idx="2">
                  <c:v>19.0</c:v>
                </c:pt>
                <c:pt idx="3">
                  <c:v>19.0</c:v>
                </c:pt>
                <c:pt idx="4">
                  <c:v>19.0</c:v>
                </c:pt>
                <c:pt idx="5">
                  <c:v>19.0</c:v>
                </c:pt>
                <c:pt idx="6">
                  <c:v>19.0</c:v>
                </c:pt>
                <c:pt idx="7">
                  <c:v>19.0</c:v>
                </c:pt>
                <c:pt idx="8">
                  <c:v>19.0</c:v>
                </c:pt>
                <c:pt idx="9">
                  <c:v>19.0</c:v>
                </c:pt>
                <c:pt idx="10">
                  <c:v>19.0</c:v>
                </c:pt>
                <c:pt idx="11">
                  <c:v>19.0</c:v>
                </c:pt>
                <c:pt idx="12">
                  <c:v>19.0</c:v>
                </c:pt>
                <c:pt idx="13">
                  <c:v>19.0</c:v>
                </c:pt>
                <c:pt idx="14">
                  <c:v>19.0</c:v>
                </c:pt>
                <c:pt idx="15">
                  <c:v>19.0</c:v>
                </c:pt>
                <c:pt idx="16">
                  <c:v>19.0</c:v>
                </c:pt>
                <c:pt idx="17">
                  <c:v>22.0</c:v>
                </c:pt>
                <c:pt idx="18">
                  <c:v>22.0</c:v>
                </c:pt>
                <c:pt idx="19">
                  <c:v>25.0</c:v>
                </c:pt>
                <c:pt idx="20">
                  <c:v>28.0</c:v>
                </c:pt>
                <c:pt idx="21">
                  <c:v>28.0</c:v>
                </c:pt>
                <c:pt idx="22">
                  <c:v>28.0</c:v>
                </c:pt>
                <c:pt idx="23">
                  <c:v>28.0</c:v>
                </c:pt>
              </c:numCache>
            </c:numRef>
          </c:val>
        </c:ser>
        <c:ser>
          <c:idx val="4"/>
          <c:order val="4"/>
          <c:tx>
            <c:v>CS</c:v>
          </c:tx>
          <c:spPr>
            <a:solidFill>
              <a:schemeClr val="accent2">
                <a:lumMod val="60000"/>
                <a:lumOff val="40000"/>
              </a:schemeClr>
            </a:solidFill>
            <a:ln w="25400">
              <a:noFill/>
            </a:ln>
          </c:spPr>
          <c:cat>
            <c:numRef>
              <c:f>(Costs!$J$2:$U$2,Costs!$W$2:$AH$2)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(Costs!$J$83:$U$83,Costs!$W$83:$AH$83)</c:f>
              <c:numCache>
                <c:formatCode>#,##0</c:formatCode>
                <c:ptCount val="24"/>
                <c:pt idx="0">
                  <c:v>3.0</c:v>
                </c:pt>
                <c:pt idx="1">
                  <c:v>4.0</c:v>
                </c:pt>
                <c:pt idx="2">
                  <c:v>4.0</c:v>
                </c:pt>
                <c:pt idx="3">
                  <c:v>6.0</c:v>
                </c:pt>
                <c:pt idx="4">
                  <c:v>6.0</c:v>
                </c:pt>
                <c:pt idx="5">
                  <c:v>7.0</c:v>
                </c:pt>
                <c:pt idx="6">
                  <c:v>8.0</c:v>
                </c:pt>
                <c:pt idx="7">
                  <c:v>9.0</c:v>
                </c:pt>
                <c:pt idx="8">
                  <c:v>12.0</c:v>
                </c:pt>
                <c:pt idx="9">
                  <c:v>13.0</c:v>
                </c:pt>
                <c:pt idx="10">
                  <c:v>14.0</c:v>
                </c:pt>
                <c:pt idx="11">
                  <c:v>15.0</c:v>
                </c:pt>
                <c:pt idx="12">
                  <c:v>18.0</c:v>
                </c:pt>
                <c:pt idx="13">
                  <c:v>19.0</c:v>
                </c:pt>
                <c:pt idx="14">
                  <c:v>22.0</c:v>
                </c:pt>
                <c:pt idx="15">
                  <c:v>23.0</c:v>
                </c:pt>
                <c:pt idx="16">
                  <c:v>25.0</c:v>
                </c:pt>
                <c:pt idx="17">
                  <c:v>27.0</c:v>
                </c:pt>
                <c:pt idx="18">
                  <c:v>31.0</c:v>
                </c:pt>
                <c:pt idx="19">
                  <c:v>34.0</c:v>
                </c:pt>
                <c:pt idx="20">
                  <c:v>37.0</c:v>
                </c:pt>
                <c:pt idx="21">
                  <c:v>41.0</c:v>
                </c:pt>
                <c:pt idx="22">
                  <c:v>44.0</c:v>
                </c:pt>
                <c:pt idx="23">
                  <c:v>48.0</c:v>
                </c:pt>
              </c:numCache>
            </c:numRef>
          </c:val>
        </c:ser>
        <c:dLbls>
          <c:showLegendKey val="0"/>
          <c:showVal val="0"/>
          <c:showCatName val="0"/>
          <c:showSerName val="0"/>
          <c:showPercent val="0"/>
          <c:showBubbleSize val="0"/>
        </c:dLbls>
        <c:axId val="-2134177624"/>
        <c:axId val="-2123241496"/>
      </c:areaChart>
      <c:dateAx>
        <c:axId val="-2134177624"/>
        <c:scaling>
          <c:orientation val="minMax"/>
        </c:scaling>
        <c:delete val="0"/>
        <c:axPos val="b"/>
        <c:numFmt formatCode="[$-409]mmm\-yy;@" sourceLinked="1"/>
        <c:majorTickMark val="out"/>
        <c:minorTickMark val="none"/>
        <c:tickLblPos val="low"/>
        <c:crossAx val="-2123241496"/>
        <c:crosses val="autoZero"/>
        <c:auto val="1"/>
        <c:lblOffset val="100"/>
        <c:baseTimeUnit val="months"/>
      </c:dateAx>
      <c:valAx>
        <c:axId val="-2123241496"/>
        <c:scaling>
          <c:orientation val="minMax"/>
        </c:scaling>
        <c:delete val="0"/>
        <c:axPos val="l"/>
        <c:majorGridlines/>
        <c:numFmt formatCode="#,##0" sourceLinked="1"/>
        <c:majorTickMark val="out"/>
        <c:minorTickMark val="none"/>
        <c:tickLblPos val="nextTo"/>
        <c:crossAx val="-2134177624"/>
        <c:crosses val="autoZero"/>
        <c:crossBetween val="midCat"/>
      </c:valAx>
    </c:plotArea>
    <c:legend>
      <c:legendPos val="b"/>
      <c:layout>
        <c:manualLayout>
          <c:xMode val="edge"/>
          <c:yMode val="edge"/>
          <c:x val="0.203110236701046"/>
          <c:y val="0.881904817044928"/>
          <c:w val="0.673473045629897"/>
          <c:h val="0.0560391384900417"/>
        </c:manualLayout>
      </c:layout>
      <c:overlay val="1"/>
      <c:txPr>
        <a:bodyPr/>
        <a:lstStyle/>
        <a:p>
          <a:pPr>
            <a:defRPr sz="1000"/>
          </a:pPr>
          <a:endParaRPr lang="de-DE"/>
        </a:p>
      </c:txPr>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Sales</a:t>
            </a:r>
            <a:r>
              <a:rPr lang="de-DE" sz="1200" baseline="0"/>
              <a:t> &amp; Marketing Efficiency</a:t>
            </a:r>
            <a:endParaRPr lang="de-DE" sz="1200"/>
          </a:p>
        </c:rich>
      </c:tx>
      <c:layout>
        <c:manualLayout>
          <c:xMode val="edge"/>
          <c:yMode val="edge"/>
          <c:x val="0.348839965395117"/>
          <c:y val="0.0372904122278833"/>
        </c:manualLayout>
      </c:layout>
      <c:overlay val="0"/>
    </c:title>
    <c:autoTitleDeleted val="0"/>
    <c:plotArea>
      <c:layout>
        <c:manualLayout>
          <c:layoutTarget val="inner"/>
          <c:xMode val="edge"/>
          <c:yMode val="edge"/>
          <c:x val="0.126425098954421"/>
          <c:y val="0.166249654648432"/>
          <c:w val="0.795888823701285"/>
          <c:h val="0.610510421491431"/>
        </c:manualLayout>
      </c:layout>
      <c:lineChart>
        <c:grouping val="standard"/>
        <c:varyColors val="0"/>
        <c:ser>
          <c:idx val="0"/>
          <c:order val="0"/>
          <c:tx>
            <c:v>Total S&amp;M spend per $1 net new ARR</c:v>
          </c:tx>
          <c:spPr>
            <a:ln w="38100" cmpd="sng">
              <a:solidFill>
                <a:schemeClr val="accent1"/>
              </a:solidFill>
            </a:ln>
          </c:spPr>
          <c:marker>
            <c:symbol val="none"/>
          </c:marker>
          <c:cat>
            <c:numRef>
              <c:f>(Summary!$D$2:$O$2,Summary!$Q$2:$AB$2)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(Summary!$D$111:$O$111,Summary!$Q$111:$AB$111)</c:f>
              <c:numCache>
                <c:formatCode>#,##0.00</c:formatCode>
                <c:ptCount val="24"/>
                <c:pt idx="0">
                  <c:v>0.624350986500519</c:v>
                </c:pt>
                <c:pt idx="1">
                  <c:v>1.139356399272078</c:v>
                </c:pt>
                <c:pt idx="2">
                  <c:v>1.057323098996783</c:v>
                </c:pt>
                <c:pt idx="3">
                  <c:v>1.026137363519631</c:v>
                </c:pt>
                <c:pt idx="4">
                  <c:v>1.086678625032639</c:v>
                </c:pt>
                <c:pt idx="5">
                  <c:v>0.919904386409234</c:v>
                </c:pt>
                <c:pt idx="6">
                  <c:v>0.911887759051423</c:v>
                </c:pt>
                <c:pt idx="7">
                  <c:v>0.885071646263205</c:v>
                </c:pt>
                <c:pt idx="8">
                  <c:v>0.764090359176478</c:v>
                </c:pt>
                <c:pt idx="9">
                  <c:v>0.754735428146891</c:v>
                </c:pt>
                <c:pt idx="10">
                  <c:v>0.682281442756256</c:v>
                </c:pt>
                <c:pt idx="11">
                  <c:v>0.664360498860231</c:v>
                </c:pt>
                <c:pt idx="12">
                  <c:v>0.767120753987172</c:v>
                </c:pt>
                <c:pt idx="13">
                  <c:v>0.692382277175036</c:v>
                </c:pt>
                <c:pt idx="14">
                  <c:v>0.690400943402881</c:v>
                </c:pt>
                <c:pt idx="15">
                  <c:v>0.668127341331591</c:v>
                </c:pt>
                <c:pt idx="16">
                  <c:v>0.654645130255188</c:v>
                </c:pt>
                <c:pt idx="17">
                  <c:v>0.652788577749502</c:v>
                </c:pt>
                <c:pt idx="18">
                  <c:v>0.620197265596667</c:v>
                </c:pt>
                <c:pt idx="19">
                  <c:v>0.618960811213425</c:v>
                </c:pt>
                <c:pt idx="20">
                  <c:v>0.633100752247417</c:v>
                </c:pt>
                <c:pt idx="21">
                  <c:v>0.614942239413816</c:v>
                </c:pt>
                <c:pt idx="22">
                  <c:v>0.565294746409958</c:v>
                </c:pt>
                <c:pt idx="23">
                  <c:v>0.519755566367396</c:v>
                </c:pt>
              </c:numCache>
            </c:numRef>
          </c:val>
          <c:smooth val="0"/>
        </c:ser>
        <c:dLbls>
          <c:showLegendKey val="0"/>
          <c:showVal val="0"/>
          <c:showCatName val="0"/>
          <c:showSerName val="0"/>
          <c:showPercent val="0"/>
          <c:showBubbleSize val="0"/>
        </c:dLbls>
        <c:marker val="1"/>
        <c:smooth val="0"/>
        <c:axId val="-2132266136"/>
        <c:axId val="-2132639256"/>
      </c:lineChart>
      <c:dateAx>
        <c:axId val="-2132266136"/>
        <c:scaling>
          <c:orientation val="minMax"/>
        </c:scaling>
        <c:delete val="0"/>
        <c:axPos val="b"/>
        <c:numFmt formatCode="[$-409]mmm\-yy;@" sourceLinked="1"/>
        <c:majorTickMark val="out"/>
        <c:minorTickMark val="none"/>
        <c:tickLblPos val="low"/>
        <c:crossAx val="-2132639256"/>
        <c:crosses val="autoZero"/>
        <c:auto val="1"/>
        <c:lblOffset val="100"/>
        <c:baseTimeUnit val="months"/>
      </c:dateAx>
      <c:valAx>
        <c:axId val="-2132639256"/>
        <c:scaling>
          <c:orientation val="minMax"/>
        </c:scaling>
        <c:delete val="0"/>
        <c:axPos val="l"/>
        <c:majorGridlines/>
        <c:numFmt formatCode="#,##0.00" sourceLinked="1"/>
        <c:majorTickMark val="out"/>
        <c:minorTickMark val="none"/>
        <c:tickLblPos val="nextTo"/>
        <c:crossAx val="-2132266136"/>
        <c:crosses val="autoZero"/>
        <c:crossBetween val="between"/>
      </c:valAx>
    </c:plotArea>
    <c:legend>
      <c:legendPos val="b"/>
      <c:overlay val="0"/>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New signups</a:t>
            </a:r>
            <a:r>
              <a:rPr lang="de-DE" sz="1200" baseline="0"/>
              <a:t> &amp; new customers</a:t>
            </a:r>
            <a:endParaRPr lang="de-DE" sz="1200"/>
          </a:p>
        </c:rich>
      </c:tx>
      <c:layout>
        <c:manualLayout>
          <c:xMode val="edge"/>
          <c:yMode val="edge"/>
          <c:x val="0.305961186921794"/>
          <c:y val="0.0372903743402472"/>
        </c:manualLayout>
      </c:layout>
      <c:overlay val="0"/>
    </c:title>
    <c:autoTitleDeleted val="0"/>
    <c:plotArea>
      <c:layout>
        <c:manualLayout>
          <c:layoutTarget val="inner"/>
          <c:xMode val="edge"/>
          <c:yMode val="edge"/>
          <c:x val="0.113418619708168"/>
          <c:y val="0.171986549264853"/>
          <c:w val="0.817474383955572"/>
          <c:h val="0.551686986707307"/>
        </c:manualLayout>
      </c:layout>
      <c:lineChart>
        <c:grouping val="standard"/>
        <c:varyColors val="0"/>
        <c:ser>
          <c:idx val="1"/>
          <c:order val="0"/>
          <c:tx>
            <c:v>New customers</c:v>
          </c:tx>
          <c:spPr>
            <a:ln w="28575" cmpd="sng">
              <a:solidFill>
                <a:schemeClr val="accent1">
                  <a:lumMod val="75000"/>
                </a:schemeClr>
              </a:solidFill>
            </a:ln>
          </c:spPr>
          <c:marker>
            <c:symbol val="none"/>
          </c:marker>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(Revenues!$I$102:$T$102,Revenues!$V$102:$AG$102)</c:f>
              <c:numCache>
                <c:formatCode>#,##0</c:formatCode>
                <c:ptCount val="24"/>
                <c:pt idx="0">
                  <c:v>76.0</c:v>
                </c:pt>
                <c:pt idx="1">
                  <c:v>90.0</c:v>
                </c:pt>
                <c:pt idx="2">
                  <c:v>104.0</c:v>
                </c:pt>
                <c:pt idx="3">
                  <c:v>120.0</c:v>
                </c:pt>
                <c:pt idx="4">
                  <c:v>137.0</c:v>
                </c:pt>
                <c:pt idx="5">
                  <c:v>157.0</c:v>
                </c:pt>
                <c:pt idx="6">
                  <c:v>175.0</c:v>
                </c:pt>
                <c:pt idx="7">
                  <c:v>198.0</c:v>
                </c:pt>
                <c:pt idx="8">
                  <c:v>223.0</c:v>
                </c:pt>
                <c:pt idx="9">
                  <c:v>248.0</c:v>
                </c:pt>
                <c:pt idx="10">
                  <c:v>277.0</c:v>
                </c:pt>
                <c:pt idx="11">
                  <c:v>308.0</c:v>
                </c:pt>
                <c:pt idx="12">
                  <c:v>341.0</c:v>
                </c:pt>
                <c:pt idx="13">
                  <c:v>375.0</c:v>
                </c:pt>
                <c:pt idx="14">
                  <c:v>408.0</c:v>
                </c:pt>
                <c:pt idx="15">
                  <c:v>444.0</c:v>
                </c:pt>
                <c:pt idx="16">
                  <c:v>483.0</c:v>
                </c:pt>
                <c:pt idx="17">
                  <c:v>526.0</c:v>
                </c:pt>
                <c:pt idx="18">
                  <c:v>571.0</c:v>
                </c:pt>
                <c:pt idx="19">
                  <c:v>620.0</c:v>
                </c:pt>
                <c:pt idx="20">
                  <c:v>674.0</c:v>
                </c:pt>
                <c:pt idx="21">
                  <c:v>730.0</c:v>
                </c:pt>
                <c:pt idx="22">
                  <c:v>791.0</c:v>
                </c:pt>
                <c:pt idx="23">
                  <c:v>858.0</c:v>
                </c:pt>
              </c:numCache>
            </c:numRef>
          </c:val>
          <c:smooth val="0"/>
        </c:ser>
        <c:ser>
          <c:idx val="2"/>
          <c:order val="1"/>
          <c:tx>
            <c:v>New signups</c:v>
          </c:tx>
          <c:spPr>
            <a:ln w="31750">
              <a:solidFill>
                <a:schemeClr val="accent3">
                  <a:lumMod val="75000"/>
                </a:schemeClr>
              </a:solidFill>
            </a:ln>
          </c:spPr>
          <c:marker>
            <c:symbol val="none"/>
          </c:marker>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(Revenues!$I$13:$T$13,Revenues!$V$13:$AG$13)</c:f>
              <c:numCache>
                <c:formatCode>#,##0</c:formatCode>
                <c:ptCount val="24"/>
                <c:pt idx="0">
                  <c:v>600.0</c:v>
                </c:pt>
                <c:pt idx="1">
                  <c:v>710.0</c:v>
                </c:pt>
                <c:pt idx="2">
                  <c:v>827.2</c:v>
                </c:pt>
                <c:pt idx="3">
                  <c:v>952.4640000000002</c:v>
                </c:pt>
                <c:pt idx="4">
                  <c:v>1086.75968</c:v>
                </c:pt>
                <c:pt idx="5">
                  <c:v>1231.1708416</c:v>
                </c:pt>
                <c:pt idx="6">
                  <c:v>1386.911342592</c:v>
                </c:pt>
                <c:pt idx="7">
                  <c:v>1555.340703703041</c:v>
                </c:pt>
                <c:pt idx="8">
                  <c:v>1737.981588147406</c:v>
                </c:pt>
                <c:pt idx="9">
                  <c:v>1936.539378725094</c:v>
                </c:pt>
                <c:pt idx="10">
                  <c:v>2152.924104172106</c:v>
                </c:pt>
                <c:pt idx="11">
                  <c:v>2389.274996672759</c:v>
                </c:pt>
                <c:pt idx="12">
                  <c:v>2595.809746373307</c:v>
                </c:pt>
                <c:pt idx="13">
                  <c:v>2816.432623546905</c:v>
                </c:pt>
                <c:pt idx="14">
                  <c:v>3052.411559666127</c:v>
                </c:pt>
                <c:pt idx="15">
                  <c:v>3305.128600036078</c:v>
                </c:pt>
                <c:pt idx="16">
                  <c:v>3576.090174039325</c:v>
                </c:pt>
                <c:pt idx="17">
                  <c:v>3866.938289702865</c:v>
                </c:pt>
                <c:pt idx="18">
                  <c:v>4179.462735776123</c:v>
                </c:pt>
                <c:pt idx="19">
                  <c:v>4515.614381995974</c:v>
                </c:pt>
                <c:pt idx="20">
                  <c:v>4877.519676375612</c:v>
                </c:pt>
                <c:pt idx="21">
                  <c:v>5267.496447249418</c:v>
                </c:pt>
                <c:pt idx="22">
                  <c:v>5688.071127501865</c:v>
                </c:pt>
                <c:pt idx="23">
                  <c:v>6141.997528977034</c:v>
                </c:pt>
              </c:numCache>
            </c:numRef>
          </c:val>
          <c:smooth val="0"/>
        </c:ser>
        <c:dLbls>
          <c:showLegendKey val="0"/>
          <c:showVal val="0"/>
          <c:showCatName val="0"/>
          <c:showSerName val="0"/>
          <c:showPercent val="0"/>
          <c:showBubbleSize val="0"/>
        </c:dLbls>
        <c:marker val="1"/>
        <c:smooth val="0"/>
        <c:axId val="-2123218232"/>
        <c:axId val="-2124571352"/>
      </c:lineChart>
      <c:dateAx>
        <c:axId val="-2123218232"/>
        <c:scaling>
          <c:orientation val="minMax"/>
        </c:scaling>
        <c:delete val="0"/>
        <c:axPos val="b"/>
        <c:numFmt formatCode="[$-409]mmm\-yy;@" sourceLinked="1"/>
        <c:majorTickMark val="out"/>
        <c:minorTickMark val="none"/>
        <c:tickLblPos val="low"/>
        <c:crossAx val="-2124571352"/>
        <c:crosses val="autoZero"/>
        <c:auto val="1"/>
        <c:lblOffset val="100"/>
        <c:baseTimeUnit val="months"/>
      </c:dateAx>
      <c:valAx>
        <c:axId val="-2124571352"/>
        <c:scaling>
          <c:orientation val="minMax"/>
        </c:scaling>
        <c:delete val="0"/>
        <c:axPos val="l"/>
        <c:majorGridlines/>
        <c:numFmt formatCode="#,##0" sourceLinked="1"/>
        <c:majorTickMark val="out"/>
        <c:minorTickMark val="none"/>
        <c:tickLblPos val="nextTo"/>
        <c:crossAx val="-2123218232"/>
        <c:crosses val="autoZero"/>
        <c:crossBetween val="between"/>
      </c:valAx>
    </c:plotArea>
    <c:legend>
      <c:legendPos val="b"/>
      <c:layout>
        <c:manualLayout>
          <c:xMode val="edge"/>
          <c:yMode val="edge"/>
          <c:x val="0.17367532500555"/>
          <c:y val="0.87300854493908"/>
          <c:w val="0.713380799175726"/>
          <c:h val="0.0987693498871576"/>
        </c:manualLayout>
      </c:layout>
      <c:overlay val="1"/>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MRR by pricing plan</a:t>
            </a:r>
          </a:p>
        </c:rich>
      </c:tx>
      <c:layout>
        <c:manualLayout>
          <c:xMode val="edge"/>
          <c:yMode val="edge"/>
          <c:x val="0.38023718714135"/>
          <c:y val="0.0372903743402472"/>
        </c:manualLayout>
      </c:layout>
      <c:overlay val="0"/>
    </c:title>
    <c:autoTitleDeleted val="0"/>
    <c:plotArea>
      <c:layout>
        <c:manualLayout>
          <c:layoutTarget val="inner"/>
          <c:xMode val="edge"/>
          <c:yMode val="edge"/>
          <c:x val="0.157822253674335"/>
          <c:y val="0.166249654648432"/>
          <c:w val="0.78411491489388"/>
          <c:h val="0.551686986707307"/>
        </c:manualLayout>
      </c:layout>
      <c:areaChart>
        <c:grouping val="stacked"/>
        <c:varyColors val="0"/>
        <c:ser>
          <c:idx val="0"/>
          <c:order val="0"/>
          <c:tx>
            <c:v>Basic</c:v>
          </c:tx>
          <c:spPr>
            <a:solidFill>
              <a:schemeClr val="accent4">
                <a:lumMod val="60000"/>
                <a:lumOff val="40000"/>
              </a:schemeClr>
            </a:solidFill>
          </c:spPr>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(Revenues!$I$40:$T$40,Revenues!$V$40:$AG$40)</c:f>
              <c:numCache>
                <c:formatCode>#,##0</c:formatCode>
                <c:ptCount val="24"/>
                <c:pt idx="0">
                  <c:v>8050.0</c:v>
                </c:pt>
                <c:pt idx="1">
                  <c:v>11607.75</c:v>
                </c:pt>
                <c:pt idx="2">
                  <c:v>15756.38999999999</c:v>
                </c:pt>
                <c:pt idx="3">
                  <c:v>20555.27128125</c:v>
                </c:pt>
                <c:pt idx="4">
                  <c:v>26013.83776593749</c:v>
                </c:pt>
                <c:pt idx="5">
                  <c:v>32192.8893482231</c:v>
                </c:pt>
                <c:pt idx="6">
                  <c:v>39154.34535696305</c:v>
                </c:pt>
                <c:pt idx="7">
                  <c:v>46961.25815126225</c:v>
                </c:pt>
                <c:pt idx="8">
                  <c:v>55729.86220220714</c:v>
                </c:pt>
                <c:pt idx="9">
                  <c:v>65526.29778343824</c:v>
                </c:pt>
                <c:pt idx="10">
                  <c:v>76470.44460596739</c:v>
                </c:pt>
                <c:pt idx="11">
                  <c:v>88578.79057197824</c:v>
                </c:pt>
                <c:pt idx="12">
                  <c:v>102080.3216107714</c:v>
                </c:pt>
                <c:pt idx="13">
                  <c:v>116781.6396911121</c:v>
                </c:pt>
                <c:pt idx="14">
                  <c:v>132806.9721893372</c:v>
                </c:pt>
                <c:pt idx="15">
                  <c:v>150228.9736197785</c:v>
                </c:pt>
                <c:pt idx="16">
                  <c:v>169175.7138293145</c:v>
                </c:pt>
                <c:pt idx="17">
                  <c:v>189723.1981757475</c:v>
                </c:pt>
                <c:pt idx="18">
                  <c:v>212112.8213821505</c:v>
                </c:pt>
                <c:pt idx="19">
                  <c:v>236425.6655462745</c:v>
                </c:pt>
                <c:pt idx="20">
                  <c:v>262744.1682550038</c:v>
                </c:pt>
                <c:pt idx="21">
                  <c:v>291263.180445559</c:v>
                </c:pt>
                <c:pt idx="22">
                  <c:v>322292.7584645094</c:v>
                </c:pt>
                <c:pt idx="23">
                  <c:v>355924.532317194</c:v>
                </c:pt>
              </c:numCache>
            </c:numRef>
          </c:val>
        </c:ser>
        <c:ser>
          <c:idx val="1"/>
          <c:order val="1"/>
          <c:tx>
            <c:v>Pro</c:v>
          </c:tx>
          <c:spPr>
            <a:solidFill>
              <a:schemeClr val="accent1">
                <a:lumMod val="60000"/>
                <a:lumOff val="40000"/>
              </a:schemeClr>
            </a:solidFill>
            <a:ln w="25400">
              <a:noFill/>
            </a:ln>
          </c:spPr>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(Revenues!$I$68:$T$68,Revenues!$V$68:$AG$68)</c:f>
              <c:numCache>
                <c:formatCode>#,##0</c:formatCode>
                <c:ptCount val="24"/>
                <c:pt idx="0">
                  <c:v>9500.0</c:v>
                </c:pt>
                <c:pt idx="1">
                  <c:v>1206</c:v>
                </c:pt>
                <c:pt idx="2">
                  <c:v>14897.86875</c:v>
                </c:pt>
                <c:pt idx="3">
                  <c:v>18271.35225</c:v>
                </c:pt>
                <c:pt idx="4">
                  <c:v>22188.27338859374</c:v>
                </c:pt>
                <c:pt idx="5">
                  <c:v>26656.53258133123</c:v>
                </c:pt>
                <c:pt idx="6">
                  <c:v>31168.91965916139</c:v>
                </c:pt>
                <c:pt idx="7">
                  <c:v>36761.29359139605</c:v>
                </c:pt>
                <c:pt idx="8">
                  <c:v>42929.1655619243</c:v>
                </c:pt>
                <c:pt idx="9">
                  <c:v>49680.75250939057</c:v>
                </c:pt>
                <c:pt idx="10">
                  <c:v>57024.35216321285</c:v>
                </c:pt>
                <c:pt idx="11">
                  <c:v>65760.64058563685</c:v>
                </c:pt>
                <c:pt idx="12">
                  <c:v>75379.1246423794</c:v>
                </c:pt>
                <c:pt idx="13">
                  <c:v>86159.13572459854</c:v>
                </c:pt>
                <c:pt idx="14">
                  <c:v>97849.30328847014</c:v>
                </c:pt>
                <c:pt idx="15">
                  <c:v>110731.9012871754</c:v>
                </c:pt>
                <c:pt idx="16">
                  <c:v>124553.1823967425</c:v>
                </c:pt>
                <c:pt idx="17">
                  <c:v>139870.5161536637</c:v>
                </c:pt>
                <c:pt idx="18">
                  <c:v>156158.3561232698</c:v>
                </c:pt>
                <c:pt idx="19">
                  <c:v>173979.8259599998</c:v>
                </c:pt>
                <c:pt idx="20">
                  <c:v>193632.9499019742</c:v>
                </c:pt>
                <c:pt idx="21">
                  <c:v>215143.8856703283</c:v>
                </c:pt>
                <c:pt idx="22">
                  <c:v>238260.0551668034</c:v>
                </c:pt>
                <c:pt idx="23">
                  <c:v>263845.1117933511</c:v>
                </c:pt>
              </c:numCache>
            </c:numRef>
          </c:val>
        </c:ser>
        <c:ser>
          <c:idx val="2"/>
          <c:order val="2"/>
          <c:tx>
            <c:v>Enterprise</c:v>
          </c:tx>
          <c:spPr>
            <a:solidFill>
              <a:srgbClr val="C3D69B"/>
            </a:solidFill>
            <a:ln w="25400">
              <a:noFill/>
            </a:ln>
          </c:spPr>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(Revenues!$I$94:$T$94,Revenues!$V$94:$AG$94)</c:f>
              <c:numCache>
                <c:formatCode>#,##0</c:formatCode>
                <c:ptCount val="24"/>
                <c:pt idx="0">
                  <c:v>161000.0</c:v>
                </c:pt>
                <c:pt idx="1">
                  <c:v>177000.0</c:v>
                </c:pt>
                <c:pt idx="2">
                  <c:v>193000.0</c:v>
                </c:pt>
                <c:pt idx="3">
                  <c:v>209000.0</c:v>
                </c:pt>
                <c:pt idx="4">
                  <c:v>225000.0</c:v>
                </c:pt>
                <c:pt idx="5">
                  <c:v>246000.0</c:v>
                </c:pt>
                <c:pt idx="6">
                  <c:v>267000.0</c:v>
                </c:pt>
                <c:pt idx="7">
                  <c:v>288000.0</c:v>
                </c:pt>
                <c:pt idx="8">
                  <c:v>314000.0</c:v>
                </c:pt>
                <c:pt idx="9">
                  <c:v>340000.0</c:v>
                </c:pt>
                <c:pt idx="10">
                  <c:v>370000.0</c:v>
                </c:pt>
                <c:pt idx="11">
                  <c:v>400000.0</c:v>
                </c:pt>
                <c:pt idx="12">
                  <c:v>422000.0</c:v>
                </c:pt>
                <c:pt idx="13">
                  <c:v>449500.0</c:v>
                </c:pt>
                <c:pt idx="14">
                  <c:v>477000.0</c:v>
                </c:pt>
                <c:pt idx="15">
                  <c:v>504500.0</c:v>
                </c:pt>
                <c:pt idx="16">
                  <c:v>532000.0</c:v>
                </c:pt>
                <c:pt idx="17">
                  <c:v>565000.0</c:v>
                </c:pt>
                <c:pt idx="18">
                  <c:v>598000.0</c:v>
                </c:pt>
                <c:pt idx="19">
                  <c:v>636000.0</c:v>
                </c:pt>
                <c:pt idx="20">
                  <c:v>674000.0</c:v>
                </c:pt>
                <c:pt idx="21">
                  <c:v>712000.0</c:v>
                </c:pt>
                <c:pt idx="22">
                  <c:v>754500.0</c:v>
                </c:pt>
                <c:pt idx="23">
                  <c:v>802000.0</c:v>
                </c:pt>
              </c:numCache>
            </c:numRef>
          </c:val>
        </c:ser>
        <c:dLbls>
          <c:showLegendKey val="0"/>
          <c:showVal val="0"/>
          <c:showCatName val="0"/>
          <c:showSerName val="0"/>
          <c:showPercent val="0"/>
          <c:showBubbleSize val="0"/>
        </c:dLbls>
        <c:axId val="-2091951736"/>
        <c:axId val="2071574936"/>
      </c:areaChart>
      <c:dateAx>
        <c:axId val="-2091951736"/>
        <c:scaling>
          <c:orientation val="minMax"/>
        </c:scaling>
        <c:delete val="0"/>
        <c:axPos val="b"/>
        <c:numFmt formatCode="[$-409]mmm\-yy;@" sourceLinked="1"/>
        <c:majorTickMark val="out"/>
        <c:minorTickMark val="none"/>
        <c:tickLblPos val="low"/>
        <c:crossAx val="2071574936"/>
        <c:crosses val="autoZero"/>
        <c:auto val="1"/>
        <c:lblOffset val="100"/>
        <c:baseTimeUnit val="months"/>
      </c:dateAx>
      <c:valAx>
        <c:axId val="2071574936"/>
        <c:scaling>
          <c:orientation val="minMax"/>
        </c:scaling>
        <c:delete val="0"/>
        <c:axPos val="l"/>
        <c:majorGridlines/>
        <c:numFmt formatCode="[$$-409]#,##0" sourceLinked="0"/>
        <c:majorTickMark val="out"/>
        <c:minorTickMark val="none"/>
        <c:tickLblPos val="nextTo"/>
        <c:crossAx val="-2091951736"/>
        <c:crosses val="autoZero"/>
        <c:crossBetween val="midCat"/>
      </c:valAx>
    </c:plotArea>
    <c:legend>
      <c:legendPos val="b"/>
      <c:layout>
        <c:manualLayout>
          <c:xMode val="edge"/>
          <c:yMode val="edge"/>
          <c:x val="0.17367532500555"/>
          <c:y val="0.870140054605214"/>
          <c:w val="0.713380799175726"/>
          <c:h val="0.101637840221023"/>
        </c:manualLayout>
      </c:layout>
      <c:overlay val="1"/>
      <c:txPr>
        <a:bodyPr/>
        <a:lstStyle/>
        <a:p>
          <a:pPr>
            <a:defRPr sz="1000"/>
          </a:pPr>
          <a:endParaRPr lang="de-DE"/>
        </a:p>
      </c:txPr>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MRR movements</a:t>
            </a:r>
          </a:p>
        </c:rich>
      </c:tx>
      <c:layout>
        <c:manualLayout>
          <c:xMode val="edge"/>
          <c:yMode val="edge"/>
          <c:x val="0.398746314618564"/>
          <c:y val="0.0327126304883004"/>
        </c:manualLayout>
      </c:layout>
      <c:overlay val="0"/>
    </c:title>
    <c:autoTitleDeleted val="0"/>
    <c:plotArea>
      <c:layout>
        <c:manualLayout>
          <c:layoutTarget val="inner"/>
          <c:xMode val="edge"/>
          <c:yMode val="edge"/>
          <c:x val="0.148405128205128"/>
          <c:y val="0.166249654648432"/>
          <c:w val="0.790337606837607"/>
          <c:h val="0.522823410457246"/>
        </c:manualLayout>
      </c:layout>
      <c:barChart>
        <c:barDir val="col"/>
        <c:grouping val="stacked"/>
        <c:varyColors val="0"/>
        <c:ser>
          <c:idx val="2"/>
          <c:order val="0"/>
          <c:tx>
            <c:v>New MRR from new customers</c:v>
          </c:tx>
          <c:spPr>
            <a:solidFill>
              <a:srgbClr val="008000"/>
            </a:solidFill>
            <a:ln w="25400">
              <a:noFill/>
            </a:ln>
          </c:spPr>
          <c:invertIfNegative val="0"/>
          <c:val>
            <c:numRef>
              <c:f>(Revenues!$I$108:$T$108,Revenues!$V$108:$AG$108)</c:f>
              <c:numCache>
                <c:formatCode>#,##0_ ;\-#,##0\ </c:formatCode>
                <c:ptCount val="24"/>
                <c:pt idx="0">
                  <c:v>20650.0</c:v>
                </c:pt>
                <c:pt idx="1">
                  <c:v>26733.5</c:v>
                </c:pt>
                <c:pt idx="2">
                  <c:v>27676.19</c:v>
                </c:pt>
                <c:pt idx="3">
                  <c:v>28932.6611</c:v>
                </c:pt>
                <c:pt idx="4">
                  <c:v>30456.54263140625</c:v>
                </c:pt>
                <c:pt idx="5">
                  <c:v>36892.91453628624</c:v>
                </c:pt>
                <c:pt idx="6">
                  <c:v>33343.38874664925</c:v>
                </c:pt>
                <c:pt idx="7">
                  <c:v>35429.38801441693</c:v>
                </c:pt>
                <c:pt idx="8">
                  <c:v>42379.8076335548</c:v>
                </c:pt>
                <c:pt idx="9">
                  <c:v>44401.64124314094</c:v>
                </c:pt>
                <c:pt idx="10">
                  <c:v>46863.71474644841</c:v>
                </c:pt>
                <c:pt idx="11">
                  <c:v>49666.8426935682</c:v>
                </c:pt>
                <c:pt idx="12">
                  <c:v>47444.37143669727</c:v>
                </c:pt>
                <c:pt idx="13">
                  <c:v>55409.10672632887</c:v>
                </c:pt>
                <c:pt idx="14">
                  <c:v>53456.4193161673</c:v>
                </c:pt>
                <c:pt idx="15">
                  <c:v>56856.74962551238</c:v>
                </c:pt>
                <c:pt idx="16">
                  <c:v>60236.0932699042</c:v>
                </c:pt>
                <c:pt idx="17">
                  <c:v>69029.27920946064</c:v>
                </c:pt>
                <c:pt idx="18">
                  <c:v>68296.96268190793</c:v>
                </c:pt>
                <c:pt idx="19">
                  <c:v>77716.162115526</c:v>
                </c:pt>
                <c:pt idx="20">
                  <c:v>87675.5491291472</c:v>
                </c:pt>
                <c:pt idx="21">
                  <c:v>88127.3801308808</c:v>
                </c:pt>
                <c:pt idx="22">
                  <c:v>93855.48198497313</c:v>
                </c:pt>
                <c:pt idx="23">
                  <c:v>105143.9850803592</c:v>
                </c:pt>
              </c:numCache>
            </c:numRef>
          </c:val>
        </c:ser>
        <c:ser>
          <c:idx val="3"/>
          <c:order val="1"/>
          <c:tx>
            <c:v>Net Expansion MRR</c:v>
          </c:tx>
          <c:spPr>
            <a:solidFill>
              <a:schemeClr val="accent3"/>
            </a:solidFill>
          </c:spPr>
          <c:invertIfNegative val="0"/>
          <c:val>
            <c:numRef>
              <c:f>(Revenues!$I$109:$T$109,Revenues!$V$109:$AG$109)</c:f>
              <c:numCache>
                <c:formatCode>#,##0_ ;\-#,##0\ </c:formatCode>
                <c:ptCount val="24"/>
                <c:pt idx="0">
                  <c:v>800.0</c:v>
                </c:pt>
                <c:pt idx="1">
                  <c:v>884.249999999998</c:v>
                </c:pt>
                <c:pt idx="2">
                  <c:v>913.3187499999964</c:v>
                </c:pt>
                <c:pt idx="3">
                  <c:v>946.7211812499966</c:v>
                </c:pt>
                <c:pt idx="4">
                  <c:v>781.7588481249963</c:v>
                </c:pt>
                <c:pt idx="5">
                  <c:v>1029.584364518116</c:v>
                </c:pt>
                <c:pt idx="6">
                  <c:v>5617.068656956636</c:v>
                </c:pt>
                <c:pt idx="7">
                  <c:v>5670.021602616638</c:v>
                </c:pt>
                <c:pt idx="8">
                  <c:v>5731.280121493875</c:v>
                </c:pt>
                <c:pt idx="9">
                  <c:v>5592.04283878122</c:v>
                </c:pt>
                <c:pt idx="10">
                  <c:v>4457.1724094237</c:v>
                </c:pt>
                <c:pt idx="11">
                  <c:v>4541.440117397183</c:v>
                </c:pt>
                <c:pt idx="12">
                  <c:v>6637.128031467193</c:v>
                </c:pt>
                <c:pt idx="13">
                  <c:v>7243.604808434703</c:v>
                </c:pt>
                <c:pt idx="14">
                  <c:v>11880.6145103637</c:v>
                </c:pt>
                <c:pt idx="15">
                  <c:v>11791.99997264422</c:v>
                </c:pt>
                <c:pt idx="16">
                  <c:v>11713.56102224507</c:v>
                </c:pt>
                <c:pt idx="17">
                  <c:v>12362.88339526184</c:v>
                </c:pt>
                <c:pt idx="18">
                  <c:v>16816.27092360223</c:v>
                </c:pt>
                <c:pt idx="19">
                  <c:v>16771.24431863071</c:v>
                </c:pt>
                <c:pt idx="20">
                  <c:v>16960.24378893094</c:v>
                </c:pt>
                <c:pt idx="21">
                  <c:v>21669.70572506713</c:v>
                </c:pt>
                <c:pt idx="22">
                  <c:v>20948.74318306345</c:v>
                </c:pt>
                <c:pt idx="23">
                  <c:v>20968.88620286243</c:v>
                </c:pt>
              </c:numCache>
            </c:numRef>
          </c:val>
        </c:ser>
        <c:ser>
          <c:idx val="1"/>
          <c:order val="2"/>
          <c:tx>
            <c:v>Churn MRR</c:v>
          </c:tx>
          <c:spPr>
            <a:solidFill>
              <a:srgbClr val="FF0000"/>
            </a:solidFill>
            <a:ln w="28575"/>
            <a:effectLst/>
          </c:spPr>
          <c:invertIfNegative val="0"/>
          <c:val>
            <c:numRef>
              <c:f>(Revenues!$I$219:$T$219,Revenues!$V$219:$AG$219)</c:f>
              <c:numCache>
                <c:formatCode>#,##0</c:formatCode>
                <c:ptCount val="24"/>
                <c:pt idx="0">
                  <c:v>-5400.0</c:v>
                </c:pt>
                <c:pt idx="1">
                  <c:v>-5500.0</c:v>
                </c:pt>
                <c:pt idx="2">
                  <c:v>-5603.0</c:v>
                </c:pt>
                <c:pt idx="3">
                  <c:v>-5707.0175</c:v>
                </c:pt>
                <c:pt idx="4">
                  <c:v>-5862.81385625</c:v>
                </c:pt>
                <c:pt idx="5">
                  <c:v>-6275.18812578125</c:v>
                </c:pt>
                <c:pt idx="6">
                  <c:v>-6486.61431703578</c:v>
                </c:pt>
                <c:pt idx="7">
                  <c:v>-6700.12289049971</c:v>
                </c:pt>
                <c:pt idx="8">
                  <c:v>-7174.61173357554</c:v>
                </c:pt>
                <c:pt idx="9">
                  <c:v>-7445.661553224776</c:v>
                </c:pt>
                <c:pt idx="10">
                  <c:v>-3033.140679520686</c:v>
                </c:pt>
                <c:pt idx="11">
                  <c:v>-3363.648422530526</c:v>
                </c:pt>
                <c:pt idx="12">
                  <c:v>-8961.484372628723</c:v>
                </c:pt>
                <c:pt idx="13">
                  <c:v>-9671.382372203791</c:v>
                </c:pt>
                <c:pt idx="14">
                  <c:v>-10121.53376443434</c:v>
                </c:pt>
                <c:pt idx="15">
                  <c:v>-10844.15016900999</c:v>
                </c:pt>
                <c:pt idx="16">
                  <c:v>-11681.6329730461</c:v>
                </c:pt>
                <c:pt idx="17">
                  <c:v>-12527.34450136835</c:v>
                </c:pt>
                <c:pt idx="18">
                  <c:v>-13435.77042950111</c:v>
                </c:pt>
                <c:pt idx="19">
                  <c:v>-14353.09243330267</c:v>
                </c:pt>
                <c:pt idx="20">
                  <c:v>-20664.16626737439</c:v>
                </c:pt>
                <c:pt idx="21">
                  <c:v>-21767.13789703865</c:v>
                </c:pt>
                <c:pt idx="22">
                  <c:v>-18158.47765261104</c:v>
                </c:pt>
                <c:pt idx="23">
                  <c:v>-19396.04080398952</c:v>
                </c:pt>
              </c:numCache>
            </c:numRef>
          </c:val>
        </c:ser>
        <c:dLbls>
          <c:showLegendKey val="0"/>
          <c:showVal val="0"/>
          <c:showCatName val="0"/>
          <c:showSerName val="0"/>
          <c:showPercent val="0"/>
          <c:showBubbleSize val="0"/>
        </c:dLbls>
        <c:gapWidth val="150"/>
        <c:overlap val="100"/>
        <c:axId val="-2097917864"/>
        <c:axId val="-2097916072"/>
      </c:barChart>
      <c:lineChart>
        <c:grouping val="standard"/>
        <c:varyColors val="0"/>
        <c:ser>
          <c:idx val="4"/>
          <c:order val="3"/>
          <c:tx>
            <c:v>Net new MRR</c:v>
          </c:tx>
          <c:spPr>
            <a:ln w="31750">
              <a:solidFill>
                <a:schemeClr val="accent1"/>
              </a:solidFill>
            </a:ln>
          </c:spPr>
          <c:marker>
            <c:symbol val="none"/>
          </c:marker>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(Revenues!$I$111:$T$111,Revenues!$V$111:$AG$111)</c:f>
              <c:numCache>
                <c:formatCode>#,##0_ ;\-#,##0\ </c:formatCode>
                <c:ptCount val="24"/>
                <c:pt idx="0">
                  <c:v>16050.0</c:v>
                </c:pt>
                <c:pt idx="1">
                  <c:v>22117.75</c:v>
                </c:pt>
                <c:pt idx="2">
                  <c:v>22986.50875000001</c:v>
                </c:pt>
                <c:pt idx="3">
                  <c:v>24172.36478125001</c:v>
                </c:pt>
                <c:pt idx="4">
                  <c:v>25375.48762328122</c:v>
                </c:pt>
                <c:pt idx="5">
                  <c:v>31647.31077502313</c:v>
                </c:pt>
                <c:pt idx="6">
                  <c:v>32473.84308657015</c:v>
                </c:pt>
                <c:pt idx="7">
                  <c:v>34399.28672653384</c:v>
                </c:pt>
                <c:pt idx="8">
                  <c:v>40936.47602147312</c:v>
                </c:pt>
                <c:pt idx="9">
                  <c:v>42548.02252869739</c:v>
                </c:pt>
                <c:pt idx="10">
                  <c:v>48287.7464763514</c:v>
                </c:pt>
                <c:pt idx="11">
                  <c:v>50844.63438843487</c:v>
                </c:pt>
                <c:pt idx="12">
                  <c:v>45120.01509553578</c:v>
                </c:pt>
                <c:pt idx="13">
                  <c:v>52981.32916255982</c:v>
                </c:pt>
                <c:pt idx="14">
                  <c:v>55215.50006209663</c:v>
                </c:pt>
                <c:pt idx="15">
                  <c:v>57804.59942914662</c:v>
                </c:pt>
                <c:pt idx="16">
                  <c:v>60268.02131910308</c:v>
                </c:pt>
                <c:pt idx="17">
                  <c:v>68864.81810335407</c:v>
                </c:pt>
                <c:pt idx="18">
                  <c:v>71677.46317600913</c:v>
                </c:pt>
                <c:pt idx="19">
                  <c:v>80134.31400085415</c:v>
                </c:pt>
                <c:pt idx="20">
                  <c:v>83971.62665070407</c:v>
                </c:pt>
                <c:pt idx="21">
                  <c:v>88029.94795890921</c:v>
                </c:pt>
                <c:pt idx="22">
                  <c:v>96645.74751542555</c:v>
                </c:pt>
                <c:pt idx="23">
                  <c:v>106716.8304792321</c:v>
                </c:pt>
              </c:numCache>
            </c:numRef>
          </c:val>
          <c:smooth val="0"/>
        </c:ser>
        <c:dLbls>
          <c:showLegendKey val="0"/>
          <c:showVal val="0"/>
          <c:showCatName val="0"/>
          <c:showSerName val="0"/>
          <c:showPercent val="0"/>
          <c:showBubbleSize val="0"/>
        </c:dLbls>
        <c:marker val="1"/>
        <c:smooth val="0"/>
        <c:axId val="-2097917864"/>
        <c:axId val="-2097916072"/>
      </c:lineChart>
      <c:catAx>
        <c:axId val="-2097917864"/>
        <c:scaling>
          <c:orientation val="minMax"/>
        </c:scaling>
        <c:delete val="0"/>
        <c:axPos val="b"/>
        <c:numFmt formatCode="[$-409]mmm\-yy;@" sourceLinked="1"/>
        <c:majorTickMark val="out"/>
        <c:minorTickMark val="none"/>
        <c:tickLblPos val="low"/>
        <c:crossAx val="-2097916072"/>
        <c:crosses val="autoZero"/>
        <c:auto val="1"/>
        <c:lblAlgn val="ctr"/>
        <c:lblOffset val="100"/>
        <c:noMultiLvlLbl val="0"/>
      </c:catAx>
      <c:valAx>
        <c:axId val="-2097916072"/>
        <c:scaling>
          <c:orientation val="minMax"/>
        </c:scaling>
        <c:delete val="0"/>
        <c:axPos val="l"/>
        <c:majorGridlines/>
        <c:numFmt formatCode="[$$-409]#,##0" sourceLinked="0"/>
        <c:majorTickMark val="out"/>
        <c:minorTickMark val="none"/>
        <c:tickLblPos val="nextTo"/>
        <c:crossAx val="-2097917864"/>
        <c:crosses val="autoZero"/>
        <c:crossBetween val="between"/>
      </c:valAx>
    </c:plotArea>
    <c:legend>
      <c:legendPos val="b"/>
      <c:layout>
        <c:manualLayout>
          <c:xMode val="edge"/>
          <c:yMode val="edge"/>
          <c:x val="0.159128397057735"/>
          <c:y val="0.838719262485806"/>
          <c:w val="0.77197396514699"/>
          <c:h val="0.126644227221729"/>
        </c:manualLayout>
      </c:layout>
      <c:overlay val="1"/>
      <c:txPr>
        <a:bodyPr/>
        <a:lstStyle/>
        <a:p>
          <a:pPr>
            <a:defRPr sz="900"/>
          </a:pPr>
          <a:endParaRPr lang="de-DE"/>
        </a:p>
      </c:txPr>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MRR growth</a:t>
            </a:r>
          </a:p>
        </c:rich>
      </c:tx>
      <c:layout>
        <c:manualLayout>
          <c:xMode val="edge"/>
          <c:yMode val="edge"/>
          <c:x val="0.424490795094357"/>
          <c:y val="0.0299865779476087"/>
        </c:manualLayout>
      </c:layout>
      <c:overlay val="0"/>
    </c:title>
    <c:autoTitleDeleted val="0"/>
    <c:plotArea>
      <c:layout>
        <c:manualLayout>
          <c:layoutTarget val="inner"/>
          <c:xMode val="edge"/>
          <c:yMode val="edge"/>
          <c:x val="0.127204693555155"/>
          <c:y val="0.166249625675985"/>
          <c:w val="0.727641744625182"/>
          <c:h val="0.52827549701626"/>
        </c:manualLayout>
      </c:layout>
      <c:barChart>
        <c:barDir val="col"/>
        <c:grouping val="clustered"/>
        <c:varyColors val="0"/>
        <c:ser>
          <c:idx val="4"/>
          <c:order val="0"/>
          <c:tx>
            <c:v>Net new MRR</c:v>
          </c:tx>
          <c:spPr>
            <a:solidFill>
              <a:srgbClr val="008000"/>
            </a:solidFill>
            <a:ln w="31750">
              <a:noFill/>
            </a:ln>
          </c:spPr>
          <c:invertIfNegative val="0"/>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(Revenues!$I$111:$T$111,Revenues!$V$111:$AG$111)</c:f>
              <c:numCache>
                <c:formatCode>#,##0_ ;\-#,##0\ </c:formatCode>
                <c:ptCount val="24"/>
                <c:pt idx="0">
                  <c:v>16050.0</c:v>
                </c:pt>
                <c:pt idx="1">
                  <c:v>22117.75</c:v>
                </c:pt>
                <c:pt idx="2">
                  <c:v>22986.50875000001</c:v>
                </c:pt>
                <c:pt idx="3">
                  <c:v>24172.36478125001</c:v>
                </c:pt>
                <c:pt idx="4">
                  <c:v>25375.48762328122</c:v>
                </c:pt>
                <c:pt idx="5">
                  <c:v>31647.31077502313</c:v>
                </c:pt>
                <c:pt idx="6">
                  <c:v>32473.84308657015</c:v>
                </c:pt>
                <c:pt idx="7">
                  <c:v>34399.28672653384</c:v>
                </c:pt>
                <c:pt idx="8">
                  <c:v>40936.47602147312</c:v>
                </c:pt>
                <c:pt idx="9">
                  <c:v>42548.02252869739</c:v>
                </c:pt>
                <c:pt idx="10">
                  <c:v>48287.7464763514</c:v>
                </c:pt>
                <c:pt idx="11">
                  <c:v>50844.63438843487</c:v>
                </c:pt>
                <c:pt idx="12">
                  <c:v>45120.01509553578</c:v>
                </c:pt>
                <c:pt idx="13">
                  <c:v>52981.32916255982</c:v>
                </c:pt>
                <c:pt idx="14">
                  <c:v>55215.50006209663</c:v>
                </c:pt>
                <c:pt idx="15">
                  <c:v>57804.59942914662</c:v>
                </c:pt>
                <c:pt idx="16">
                  <c:v>60268.02131910308</c:v>
                </c:pt>
                <c:pt idx="17">
                  <c:v>68864.81810335407</c:v>
                </c:pt>
                <c:pt idx="18">
                  <c:v>71677.46317600913</c:v>
                </c:pt>
                <c:pt idx="19">
                  <c:v>80134.31400085415</c:v>
                </c:pt>
                <c:pt idx="20">
                  <c:v>83971.62665070407</c:v>
                </c:pt>
                <c:pt idx="21">
                  <c:v>88029.94795890921</c:v>
                </c:pt>
                <c:pt idx="22">
                  <c:v>96645.74751542555</c:v>
                </c:pt>
                <c:pt idx="23">
                  <c:v>106716.8304792321</c:v>
                </c:pt>
              </c:numCache>
            </c:numRef>
          </c:val>
        </c:ser>
        <c:dLbls>
          <c:showLegendKey val="0"/>
          <c:showVal val="0"/>
          <c:showCatName val="0"/>
          <c:showSerName val="0"/>
          <c:showPercent val="0"/>
          <c:showBubbleSize val="0"/>
        </c:dLbls>
        <c:gapWidth val="150"/>
        <c:axId val="-2097500984"/>
        <c:axId val="-2097295064"/>
      </c:barChart>
      <c:lineChart>
        <c:grouping val="standard"/>
        <c:varyColors val="0"/>
        <c:ser>
          <c:idx val="0"/>
          <c:order val="1"/>
          <c:tx>
            <c:v>m/m growth</c:v>
          </c:tx>
          <c:spPr>
            <a:ln w="31750">
              <a:solidFill>
                <a:srgbClr val="4F81BD"/>
              </a:solidFill>
            </a:ln>
          </c:spPr>
          <c:marker>
            <c:symbol val="none"/>
          </c:marker>
          <c:val>
            <c:numRef>
              <c:f>(Revenues!$I$113:$T$113,Revenues!$V$113:$AG$113)</c:f>
              <c:numCache>
                <c:formatCode>0.00%</c:formatCode>
                <c:ptCount val="24"/>
                <c:pt idx="0">
                  <c:v>0.0987692307692307</c:v>
                </c:pt>
                <c:pt idx="1">
                  <c:v>0.123874264911789</c:v>
                </c:pt>
                <c:pt idx="2">
                  <c:v>0.11455008963822</c:v>
                </c:pt>
                <c:pt idx="3">
                  <c:v>0.108079161632553</c:v>
                </c:pt>
                <c:pt idx="4">
                  <c:v>0.102392096788106</c:v>
                </c:pt>
                <c:pt idx="5">
                  <c:v>0.11583845615718</c:v>
                </c:pt>
                <c:pt idx="6">
                  <c:v>0.10652420752851</c:v>
                </c:pt>
                <c:pt idx="7">
                  <c:v>0.101977213830447</c:v>
                </c:pt>
                <c:pt idx="8">
                  <c:v>0.11012642582367</c:v>
                </c:pt>
                <c:pt idx="9">
                  <c:v>0.103106971291119</c:v>
                </c:pt>
                <c:pt idx="10">
                  <c:v>0.106078643653011</c:v>
                </c:pt>
                <c:pt idx="11">
                  <c:v>0.100983435607864</c:v>
                </c:pt>
                <c:pt idx="12">
                  <c:v>0.0813942010246547</c:v>
                </c:pt>
                <c:pt idx="13">
                  <c:v>0.0883818404959888</c:v>
                </c:pt>
                <c:pt idx="14">
                  <c:v>0.0846291374522314</c:v>
                </c:pt>
                <c:pt idx="15">
                  <c:v>0.0816845712137819</c:v>
                </c:pt>
                <c:pt idx="16">
                  <c:v>0.0787342936716773</c:v>
                </c:pt>
                <c:pt idx="17">
                  <c:v>0.0833988230496674</c:v>
                </c:pt>
                <c:pt idx="18">
                  <c:v>0.0801229228731377</c:v>
                </c:pt>
                <c:pt idx="19">
                  <c:v>0.0829314956984781</c:v>
                </c:pt>
                <c:pt idx="20">
                  <c:v>0.0802476930141382</c:v>
                </c:pt>
                <c:pt idx="21">
                  <c:v>0.0778766188247313</c:v>
                </c:pt>
                <c:pt idx="22">
                  <c:v>0.0793213944691891</c:v>
                </c:pt>
                <c:pt idx="23">
                  <c:v>0.0811502240617623</c:v>
                </c:pt>
              </c:numCache>
            </c:numRef>
          </c:val>
          <c:smooth val="0"/>
        </c:ser>
        <c:dLbls>
          <c:showLegendKey val="0"/>
          <c:showVal val="0"/>
          <c:showCatName val="0"/>
          <c:showSerName val="0"/>
          <c:showPercent val="0"/>
          <c:showBubbleSize val="0"/>
        </c:dLbls>
        <c:marker val="1"/>
        <c:smooth val="0"/>
        <c:axId val="-2097288728"/>
        <c:axId val="-2097292024"/>
      </c:lineChart>
      <c:dateAx>
        <c:axId val="-2097500984"/>
        <c:scaling>
          <c:orientation val="minMax"/>
        </c:scaling>
        <c:delete val="0"/>
        <c:axPos val="b"/>
        <c:numFmt formatCode="[$-409]mmm\-yy;@" sourceLinked="1"/>
        <c:majorTickMark val="out"/>
        <c:minorTickMark val="none"/>
        <c:tickLblPos val="low"/>
        <c:crossAx val="-2097295064"/>
        <c:crosses val="autoZero"/>
        <c:auto val="1"/>
        <c:lblOffset val="100"/>
        <c:baseTimeUnit val="months"/>
      </c:dateAx>
      <c:valAx>
        <c:axId val="-2097295064"/>
        <c:scaling>
          <c:orientation val="minMax"/>
        </c:scaling>
        <c:delete val="0"/>
        <c:axPos val="l"/>
        <c:majorGridlines/>
        <c:numFmt formatCode="[$$-409]#,##0" sourceLinked="0"/>
        <c:majorTickMark val="out"/>
        <c:minorTickMark val="none"/>
        <c:tickLblPos val="nextTo"/>
        <c:crossAx val="-2097500984"/>
        <c:crosses val="autoZero"/>
        <c:crossBetween val="between"/>
      </c:valAx>
      <c:valAx>
        <c:axId val="-2097292024"/>
        <c:scaling>
          <c:orientation val="minMax"/>
        </c:scaling>
        <c:delete val="0"/>
        <c:axPos val="r"/>
        <c:numFmt formatCode="0.00%" sourceLinked="1"/>
        <c:majorTickMark val="out"/>
        <c:minorTickMark val="none"/>
        <c:tickLblPos val="nextTo"/>
        <c:crossAx val="-2097288728"/>
        <c:crosses val="max"/>
        <c:crossBetween val="between"/>
      </c:valAx>
      <c:catAx>
        <c:axId val="-2097288728"/>
        <c:scaling>
          <c:orientation val="minMax"/>
        </c:scaling>
        <c:delete val="1"/>
        <c:axPos val="b"/>
        <c:majorTickMark val="out"/>
        <c:minorTickMark val="none"/>
        <c:tickLblPos val="nextTo"/>
        <c:crossAx val="-2097292024"/>
        <c:crosses val="autoZero"/>
        <c:auto val="1"/>
        <c:lblAlgn val="ctr"/>
        <c:lblOffset val="100"/>
        <c:noMultiLvlLbl val="0"/>
      </c:catAx>
    </c:plotArea>
    <c:legend>
      <c:legendPos val="b"/>
      <c:layout>
        <c:manualLayout>
          <c:xMode val="edge"/>
          <c:yMode val="edge"/>
          <c:x val="0.317827503748224"/>
          <c:y val="0.855075534193607"/>
          <c:w val="0.357515546546271"/>
          <c:h val="0.0489313552065779"/>
        </c:manualLayout>
      </c:layout>
      <c:overlay val="1"/>
      <c:txPr>
        <a:bodyPr/>
        <a:lstStyle/>
        <a:p>
          <a:pPr>
            <a:defRPr sz="900"/>
          </a:pPr>
          <a:endParaRPr lang="de-DE"/>
        </a:p>
      </c:txPr>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Enterprise customer</a:t>
            </a:r>
            <a:r>
              <a:rPr lang="de-DE" sz="1200" baseline="0"/>
              <a:t> wins/losses</a:t>
            </a:r>
            <a:endParaRPr lang="de-DE" sz="1200"/>
          </a:p>
        </c:rich>
      </c:tx>
      <c:layout>
        <c:manualLayout>
          <c:xMode val="edge"/>
          <c:yMode val="edge"/>
          <c:x val="0.310523181454219"/>
          <c:y val="0.0355789597539686"/>
        </c:manualLayout>
      </c:layout>
      <c:overlay val="0"/>
    </c:title>
    <c:autoTitleDeleted val="0"/>
    <c:plotArea>
      <c:layout>
        <c:manualLayout>
          <c:layoutTarget val="inner"/>
          <c:xMode val="edge"/>
          <c:yMode val="edge"/>
          <c:x val="0.111177177557088"/>
          <c:y val="0.166249654648432"/>
          <c:w val="0.827565496035756"/>
          <c:h val="0.561139242170312"/>
        </c:manualLayout>
      </c:layout>
      <c:barChart>
        <c:barDir val="col"/>
        <c:grouping val="stacked"/>
        <c:varyColors val="0"/>
        <c:ser>
          <c:idx val="2"/>
          <c:order val="0"/>
          <c:tx>
            <c:v>New Enterprise customers</c:v>
          </c:tx>
          <c:spPr>
            <a:solidFill>
              <a:srgbClr val="008000"/>
            </a:solidFill>
            <a:ln w="25400">
              <a:noFill/>
            </a:ln>
          </c:spPr>
          <c:invertIfNegative val="0"/>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(Revenues!$I$75:$T$75,Revenues!$V$75:$AG$75)</c:f>
              <c:numCache>
                <c:formatCode>#,##0</c:formatCode>
                <c:ptCount val="24"/>
                <c:pt idx="0">
                  <c:v>3.0</c:v>
                </c:pt>
                <c:pt idx="1">
                  <c:v>4.0</c:v>
                </c:pt>
                <c:pt idx="2">
                  <c:v>4.0</c:v>
                </c:pt>
                <c:pt idx="3">
                  <c:v>4.0</c:v>
                </c:pt>
                <c:pt idx="4">
                  <c:v>4.0</c:v>
                </c:pt>
                <c:pt idx="5">
                  <c:v>5.0</c:v>
                </c:pt>
                <c:pt idx="6">
                  <c:v>4.0</c:v>
                </c:pt>
                <c:pt idx="7">
                  <c:v>4.0</c:v>
                </c:pt>
                <c:pt idx="8">
                  <c:v>5.0</c:v>
                </c:pt>
                <c:pt idx="9">
                  <c:v>5.0</c:v>
                </c:pt>
                <c:pt idx="10">
                  <c:v>5.0</c:v>
                </c:pt>
                <c:pt idx="11">
                  <c:v>5.0</c:v>
                </c:pt>
                <c:pt idx="12" formatCode="General">
                  <c:v>4.0</c:v>
                </c:pt>
                <c:pt idx="13" formatCode="General">
                  <c:v>5.0</c:v>
                </c:pt>
                <c:pt idx="14" formatCode="General">
                  <c:v>4.0</c:v>
                </c:pt>
                <c:pt idx="15" formatCode="General">
                  <c:v>4.0</c:v>
                </c:pt>
                <c:pt idx="16" formatCode="General">
                  <c:v>4.0</c:v>
                </c:pt>
                <c:pt idx="17" formatCode="General">
                  <c:v>5.0</c:v>
                </c:pt>
                <c:pt idx="18" formatCode="General">
                  <c:v>4.0</c:v>
                </c:pt>
                <c:pt idx="19" formatCode="General">
                  <c:v>5.0</c:v>
                </c:pt>
                <c:pt idx="20" formatCode="General">
                  <c:v>6.0</c:v>
                </c:pt>
                <c:pt idx="21" formatCode="General">
                  <c:v>5.0</c:v>
                </c:pt>
                <c:pt idx="22" formatCode="General">
                  <c:v>5.0</c:v>
                </c:pt>
                <c:pt idx="23" formatCode="General">
                  <c:v>6.0</c:v>
                </c:pt>
              </c:numCache>
            </c:numRef>
          </c:val>
        </c:ser>
        <c:ser>
          <c:idx val="3"/>
          <c:order val="1"/>
          <c:tx>
            <c:v>Upgrades from Pro</c:v>
          </c:tx>
          <c:spPr>
            <a:solidFill>
              <a:schemeClr val="accent3"/>
            </a:solidFill>
          </c:spPr>
          <c:invertIfNegative val="0"/>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(Revenues!$I$76:$T$76,Revenues!$V$76:$AG$76)</c:f>
              <c:numCache>
                <c:formatCode>#,##0</c:formatCode>
                <c:ptCount val="24"/>
                <c:pt idx="0">
                  <c:v>0.0</c:v>
                </c:pt>
                <c:pt idx="1">
                  <c:v>0.0</c:v>
                </c:pt>
                <c:pt idx="2">
                  <c:v>0.0</c:v>
                </c:pt>
                <c:pt idx="3">
                  <c:v>0.0</c:v>
                </c:pt>
                <c:pt idx="4">
                  <c:v>0.0</c:v>
                </c:pt>
                <c:pt idx="5">
                  <c:v>0.0</c:v>
                </c:pt>
                <c:pt idx="6">
                  <c:v>1.0</c:v>
                </c:pt>
                <c:pt idx="7">
                  <c:v>1.0</c:v>
                </c:pt>
                <c:pt idx="8">
                  <c:v>1.0</c:v>
                </c:pt>
                <c:pt idx="9">
                  <c:v>1.0</c:v>
                </c:pt>
                <c:pt idx="10">
                  <c:v>1.0</c:v>
                </c:pt>
                <c:pt idx="11">
                  <c:v>1.0</c:v>
                </c:pt>
                <c:pt idx="12">
                  <c:v>1.0</c:v>
                </c:pt>
                <c:pt idx="13">
                  <c:v>1.0</c:v>
                </c:pt>
                <c:pt idx="14">
                  <c:v>2.0</c:v>
                </c:pt>
                <c:pt idx="15">
                  <c:v>2.0</c:v>
                </c:pt>
                <c:pt idx="16">
                  <c:v>2.0</c:v>
                </c:pt>
                <c:pt idx="17">
                  <c:v>2.0</c:v>
                </c:pt>
                <c:pt idx="18">
                  <c:v>3.0</c:v>
                </c:pt>
                <c:pt idx="19">
                  <c:v>3.0</c:v>
                </c:pt>
                <c:pt idx="20">
                  <c:v>3.0</c:v>
                </c:pt>
                <c:pt idx="21">
                  <c:v>4.0</c:v>
                </c:pt>
                <c:pt idx="22">
                  <c:v>4.0</c:v>
                </c:pt>
                <c:pt idx="23">
                  <c:v>4.0</c:v>
                </c:pt>
              </c:numCache>
            </c:numRef>
          </c:val>
        </c:ser>
        <c:ser>
          <c:idx val="1"/>
          <c:order val="2"/>
          <c:tx>
            <c:v>Lost customers</c:v>
          </c:tx>
          <c:spPr>
            <a:solidFill>
              <a:srgbClr val="FF0000"/>
            </a:solidFill>
            <a:ln w="28575"/>
            <a:effectLst/>
          </c:spPr>
          <c:invertIfNegative val="0"/>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(Revenues!$I$220:$T$220,Revenues!$V$220:$AG$220)</c:f>
              <c:numCache>
                <c:formatCode>#,##0_ ;\-#,##0\ </c:formatCode>
                <c:ptCount val="24"/>
                <c:pt idx="0">
                  <c:v>-1.0</c:v>
                </c:pt>
                <c:pt idx="1">
                  <c:v>-1.0</c:v>
                </c:pt>
                <c:pt idx="2">
                  <c:v>-1.0</c:v>
                </c:pt>
                <c:pt idx="3">
                  <c:v>-1.0</c:v>
                </c:pt>
                <c:pt idx="4">
                  <c:v>-1.0</c:v>
                </c:pt>
                <c:pt idx="5">
                  <c:v>-1.0</c:v>
                </c:pt>
                <c:pt idx="6">
                  <c:v>-1.0</c:v>
                </c:pt>
                <c:pt idx="7">
                  <c:v>-1.0</c:v>
                </c:pt>
                <c:pt idx="8">
                  <c:v>-1.0</c:v>
                </c:pt>
                <c:pt idx="9">
                  <c:v>-1.0</c:v>
                </c:pt>
                <c:pt idx="10">
                  <c:v>0.0</c:v>
                </c:pt>
                <c:pt idx="11">
                  <c:v>0.0</c:v>
                </c:pt>
                <c:pt idx="12">
                  <c:v>-1.0</c:v>
                </c:pt>
                <c:pt idx="13">
                  <c:v>-1.0</c:v>
                </c:pt>
                <c:pt idx="14">
                  <c:v>-1.0</c:v>
                </c:pt>
                <c:pt idx="15">
                  <c:v>-1.0</c:v>
                </c:pt>
                <c:pt idx="16">
                  <c:v>-1.0</c:v>
                </c:pt>
                <c:pt idx="17">
                  <c:v>-1.0</c:v>
                </c:pt>
                <c:pt idx="18">
                  <c:v>-1.0</c:v>
                </c:pt>
                <c:pt idx="19">
                  <c:v>-1.0</c:v>
                </c:pt>
                <c:pt idx="20">
                  <c:v>-2.0</c:v>
                </c:pt>
                <c:pt idx="21">
                  <c:v>-2.0</c:v>
                </c:pt>
                <c:pt idx="22">
                  <c:v>-1.0</c:v>
                </c:pt>
                <c:pt idx="23">
                  <c:v>-1.0</c:v>
                </c:pt>
              </c:numCache>
            </c:numRef>
          </c:val>
        </c:ser>
        <c:dLbls>
          <c:showLegendKey val="0"/>
          <c:showVal val="0"/>
          <c:showCatName val="0"/>
          <c:showSerName val="0"/>
          <c:showPercent val="0"/>
          <c:showBubbleSize val="0"/>
        </c:dLbls>
        <c:gapWidth val="150"/>
        <c:overlap val="100"/>
        <c:axId val="-2131859288"/>
        <c:axId val="-2131855912"/>
      </c:barChart>
      <c:dateAx>
        <c:axId val="-2131859288"/>
        <c:scaling>
          <c:orientation val="minMax"/>
        </c:scaling>
        <c:delete val="0"/>
        <c:axPos val="b"/>
        <c:numFmt formatCode="[$-409]mmm\-yy;@" sourceLinked="1"/>
        <c:majorTickMark val="out"/>
        <c:minorTickMark val="none"/>
        <c:tickLblPos val="low"/>
        <c:crossAx val="-2131855912"/>
        <c:crosses val="autoZero"/>
        <c:auto val="1"/>
        <c:lblOffset val="100"/>
        <c:baseTimeUnit val="months"/>
      </c:dateAx>
      <c:valAx>
        <c:axId val="-2131855912"/>
        <c:scaling>
          <c:orientation val="minMax"/>
        </c:scaling>
        <c:delete val="0"/>
        <c:axPos val="l"/>
        <c:majorGridlines/>
        <c:numFmt formatCode="#,##0" sourceLinked="1"/>
        <c:majorTickMark val="out"/>
        <c:minorTickMark val="none"/>
        <c:tickLblPos val="nextTo"/>
        <c:crossAx val="-2131859288"/>
        <c:crosses val="autoZero"/>
        <c:crossBetween val="between"/>
      </c:valAx>
    </c:plotArea>
    <c:legend>
      <c:legendPos val="b"/>
      <c:layout>
        <c:manualLayout>
          <c:xMode val="edge"/>
          <c:yMode val="edge"/>
          <c:x val="0.143453482039406"/>
          <c:y val="0.847328639282696"/>
          <c:w val="0.787648900209668"/>
          <c:h val="0.115025782630506"/>
        </c:manualLayout>
      </c:layout>
      <c:overlay val="1"/>
      <c:txPr>
        <a:bodyPr/>
        <a:lstStyle/>
        <a:p>
          <a:pPr>
            <a:defRPr sz="1000"/>
          </a:pPr>
          <a:endParaRPr lang="de-DE"/>
        </a:p>
      </c:txPr>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Customers by pricing plan</a:t>
            </a:r>
          </a:p>
        </c:rich>
      </c:tx>
      <c:layout>
        <c:manualLayout>
          <c:xMode val="edge"/>
          <c:yMode val="edge"/>
          <c:x val="0.345205229675208"/>
          <c:y val="0.0401588646741124"/>
        </c:manualLayout>
      </c:layout>
      <c:overlay val="0"/>
    </c:title>
    <c:autoTitleDeleted val="0"/>
    <c:plotArea>
      <c:layout>
        <c:manualLayout>
          <c:layoutTarget val="inner"/>
          <c:xMode val="edge"/>
          <c:yMode val="edge"/>
          <c:x val="0.113418619708168"/>
          <c:y val="0.171986549264853"/>
          <c:w val="0.817474383955572"/>
          <c:h val="0.551686986707307"/>
        </c:manualLayout>
      </c:layout>
      <c:areaChart>
        <c:grouping val="stacked"/>
        <c:varyColors val="0"/>
        <c:ser>
          <c:idx val="0"/>
          <c:order val="0"/>
          <c:tx>
            <c:v>Basic</c:v>
          </c:tx>
          <c:spPr>
            <a:solidFill>
              <a:schemeClr val="accent4">
                <a:lumMod val="60000"/>
                <a:lumOff val="40000"/>
              </a:schemeClr>
            </a:solidFill>
          </c:spPr>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(Revenues!$I$28:$T$28,Revenues!$V$28:$AG$28)</c:f>
              <c:numCache>
                <c:formatCode>#,##0</c:formatCode>
                <c:ptCount val="24"/>
                <c:pt idx="0">
                  <c:v>161.0</c:v>
                </c:pt>
                <c:pt idx="1">
                  <c:v>231.0</c:v>
                </c:pt>
                <c:pt idx="2">
                  <c:v>312.0</c:v>
                </c:pt>
                <c:pt idx="3">
                  <c:v>405.0</c:v>
                </c:pt>
                <c:pt idx="4">
                  <c:v>510.0</c:v>
                </c:pt>
                <c:pt idx="5">
                  <c:v>628.0</c:v>
                </c:pt>
                <c:pt idx="6">
                  <c:v>760.0</c:v>
                </c:pt>
                <c:pt idx="7">
                  <c:v>907.0</c:v>
                </c:pt>
                <c:pt idx="8">
                  <c:v>1071.0</c:v>
                </c:pt>
                <c:pt idx="9">
                  <c:v>1253.0</c:v>
                </c:pt>
                <c:pt idx="10">
                  <c:v>1455.0</c:v>
                </c:pt>
                <c:pt idx="11">
                  <c:v>1677.0</c:v>
                </c:pt>
                <c:pt idx="12">
                  <c:v>1923.0</c:v>
                </c:pt>
                <c:pt idx="13">
                  <c:v>2189.0</c:v>
                </c:pt>
                <c:pt idx="14">
                  <c:v>2477.0</c:v>
                </c:pt>
                <c:pt idx="15">
                  <c:v>2788.0</c:v>
                </c:pt>
                <c:pt idx="16">
                  <c:v>3124.0</c:v>
                </c:pt>
                <c:pt idx="17">
                  <c:v>3486.0</c:v>
                </c:pt>
                <c:pt idx="18">
                  <c:v>3878.0</c:v>
                </c:pt>
                <c:pt idx="19">
                  <c:v>4301.0</c:v>
                </c:pt>
                <c:pt idx="20">
                  <c:v>4756.0</c:v>
                </c:pt>
                <c:pt idx="21">
                  <c:v>5246.0</c:v>
                </c:pt>
                <c:pt idx="22">
                  <c:v>5776.0</c:v>
                </c:pt>
                <c:pt idx="23">
                  <c:v>6347.0</c:v>
                </c:pt>
              </c:numCache>
            </c:numRef>
          </c:val>
        </c:ser>
        <c:ser>
          <c:idx val="1"/>
          <c:order val="1"/>
          <c:tx>
            <c:v>Pro</c:v>
          </c:tx>
          <c:spPr>
            <a:solidFill>
              <a:schemeClr val="accent1">
                <a:lumMod val="60000"/>
                <a:lumOff val="40000"/>
              </a:schemeClr>
            </a:solidFill>
            <a:ln w="25400">
              <a:noFill/>
            </a:ln>
          </c:spPr>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(Revenues!$I$55:$T$55,Revenues!$V$55:$AG$55)</c:f>
              <c:numCache>
                <c:formatCode>#,##0</c:formatCode>
                <c:ptCount val="24"/>
                <c:pt idx="0">
                  <c:v>38.0</c:v>
                </c:pt>
                <c:pt idx="1">
                  <c:v>48.0</c:v>
                </c:pt>
                <c:pt idx="2">
                  <c:v>59.0</c:v>
                </c:pt>
                <c:pt idx="3">
                  <c:v>72.0</c:v>
                </c:pt>
                <c:pt idx="4">
                  <c:v>87.0</c:v>
                </c:pt>
                <c:pt idx="5">
                  <c:v>104.0</c:v>
                </c:pt>
                <c:pt idx="6">
                  <c:v>121.0</c:v>
                </c:pt>
                <c:pt idx="7">
                  <c:v>142.0</c:v>
                </c:pt>
                <c:pt idx="8">
                  <c:v>165.0</c:v>
                </c:pt>
                <c:pt idx="9">
                  <c:v>190.0</c:v>
                </c:pt>
                <c:pt idx="10">
                  <c:v>217.0</c:v>
                </c:pt>
                <c:pt idx="11">
                  <c:v>249.0</c:v>
                </c:pt>
                <c:pt idx="12">
                  <c:v>284.0</c:v>
                </c:pt>
                <c:pt idx="13">
                  <c:v>323.0</c:v>
                </c:pt>
                <c:pt idx="14">
                  <c:v>365.0</c:v>
                </c:pt>
                <c:pt idx="15">
                  <c:v>411.0</c:v>
                </c:pt>
                <c:pt idx="16">
                  <c:v>460.0</c:v>
                </c:pt>
                <c:pt idx="17">
                  <c:v>514.0</c:v>
                </c:pt>
                <c:pt idx="18">
                  <c:v>571.0</c:v>
                </c:pt>
                <c:pt idx="19">
                  <c:v>633.0</c:v>
                </c:pt>
                <c:pt idx="20">
                  <c:v>701.0</c:v>
                </c:pt>
                <c:pt idx="21">
                  <c:v>775.0</c:v>
                </c:pt>
                <c:pt idx="22">
                  <c:v>854.0</c:v>
                </c:pt>
                <c:pt idx="23">
                  <c:v>941.0</c:v>
                </c:pt>
              </c:numCache>
            </c:numRef>
          </c:val>
        </c:ser>
        <c:ser>
          <c:idx val="2"/>
          <c:order val="2"/>
          <c:tx>
            <c:v>Enterprise</c:v>
          </c:tx>
          <c:spPr>
            <a:solidFill>
              <a:schemeClr val="accent3">
                <a:lumMod val="60000"/>
                <a:lumOff val="40000"/>
              </a:schemeClr>
            </a:solidFill>
            <a:ln w="25400">
              <a:noFill/>
            </a:ln>
          </c:spPr>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(Revenues!$I$80:$T$80,Revenues!$V$80:$AG$80)</c:f>
              <c:numCache>
                <c:formatCode>#,##0</c:formatCode>
                <c:ptCount val="24"/>
                <c:pt idx="0">
                  <c:v>32.0</c:v>
                </c:pt>
                <c:pt idx="1">
                  <c:v>35.0</c:v>
                </c:pt>
                <c:pt idx="2">
                  <c:v>38.0</c:v>
                </c:pt>
                <c:pt idx="3">
                  <c:v>41.0</c:v>
                </c:pt>
                <c:pt idx="4">
                  <c:v>44.0</c:v>
                </c:pt>
                <c:pt idx="5">
                  <c:v>48.0</c:v>
                </c:pt>
                <c:pt idx="6">
                  <c:v>52.0</c:v>
                </c:pt>
                <c:pt idx="7">
                  <c:v>56.0</c:v>
                </c:pt>
                <c:pt idx="8">
                  <c:v>61.0</c:v>
                </c:pt>
                <c:pt idx="9">
                  <c:v>66.0</c:v>
                </c:pt>
                <c:pt idx="10">
                  <c:v>72.0</c:v>
                </c:pt>
                <c:pt idx="11">
                  <c:v>78.0</c:v>
                </c:pt>
                <c:pt idx="12">
                  <c:v>82.0</c:v>
                </c:pt>
                <c:pt idx="13">
                  <c:v>87.0</c:v>
                </c:pt>
                <c:pt idx="14">
                  <c:v>92.0</c:v>
                </c:pt>
                <c:pt idx="15">
                  <c:v>97.0</c:v>
                </c:pt>
                <c:pt idx="16">
                  <c:v>102.0</c:v>
                </c:pt>
                <c:pt idx="17">
                  <c:v>108.0</c:v>
                </c:pt>
                <c:pt idx="18">
                  <c:v>114.0</c:v>
                </c:pt>
                <c:pt idx="19">
                  <c:v>121.0</c:v>
                </c:pt>
                <c:pt idx="20">
                  <c:v>128.0</c:v>
                </c:pt>
                <c:pt idx="21">
                  <c:v>135.0</c:v>
                </c:pt>
                <c:pt idx="22">
                  <c:v>143.0</c:v>
                </c:pt>
                <c:pt idx="23">
                  <c:v>152.0</c:v>
                </c:pt>
              </c:numCache>
            </c:numRef>
          </c:val>
        </c:ser>
        <c:dLbls>
          <c:showLegendKey val="0"/>
          <c:showVal val="0"/>
          <c:showCatName val="0"/>
          <c:showSerName val="0"/>
          <c:showPercent val="0"/>
          <c:showBubbleSize val="0"/>
        </c:dLbls>
        <c:axId val="2080719768"/>
        <c:axId val="-2126119944"/>
      </c:areaChart>
      <c:dateAx>
        <c:axId val="2080719768"/>
        <c:scaling>
          <c:orientation val="minMax"/>
        </c:scaling>
        <c:delete val="0"/>
        <c:axPos val="b"/>
        <c:numFmt formatCode="[$-409]mmm\-yy;@" sourceLinked="1"/>
        <c:majorTickMark val="out"/>
        <c:minorTickMark val="none"/>
        <c:tickLblPos val="low"/>
        <c:crossAx val="-2126119944"/>
        <c:crosses val="autoZero"/>
        <c:auto val="1"/>
        <c:lblOffset val="100"/>
        <c:baseTimeUnit val="months"/>
      </c:dateAx>
      <c:valAx>
        <c:axId val="-2126119944"/>
        <c:scaling>
          <c:orientation val="minMax"/>
        </c:scaling>
        <c:delete val="0"/>
        <c:axPos val="l"/>
        <c:majorGridlines/>
        <c:numFmt formatCode="#,##0" sourceLinked="1"/>
        <c:majorTickMark val="out"/>
        <c:minorTickMark val="none"/>
        <c:tickLblPos val="nextTo"/>
        <c:crossAx val="2080719768"/>
        <c:crosses val="autoZero"/>
        <c:crossBetween val="midCat"/>
      </c:valAx>
    </c:plotArea>
    <c:legend>
      <c:legendPos val="b"/>
      <c:layout>
        <c:manualLayout>
          <c:xMode val="edge"/>
          <c:yMode val="edge"/>
          <c:x val="0.17367532500555"/>
          <c:y val="0.87300854493908"/>
          <c:w val="0.713380799175726"/>
          <c:h val="0.0987693498871576"/>
        </c:manualLayout>
      </c:layout>
      <c:overlay val="1"/>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CAC payback time pricing plan</a:t>
            </a:r>
          </a:p>
        </c:rich>
      </c:tx>
      <c:layout>
        <c:manualLayout>
          <c:xMode val="edge"/>
          <c:yMode val="edge"/>
          <c:x val="0.340990670618714"/>
          <c:y val="0.0372904122278833"/>
        </c:manualLayout>
      </c:layout>
      <c:overlay val="0"/>
    </c:title>
    <c:autoTitleDeleted val="0"/>
    <c:plotArea>
      <c:layout>
        <c:manualLayout>
          <c:layoutTarget val="inner"/>
          <c:xMode val="edge"/>
          <c:yMode val="edge"/>
          <c:x val="0.157822253674335"/>
          <c:y val="0.166249654648432"/>
          <c:w val="0.78411491489388"/>
          <c:h val="0.551686986707307"/>
        </c:manualLayout>
      </c:layout>
      <c:lineChart>
        <c:grouping val="standard"/>
        <c:varyColors val="0"/>
        <c:ser>
          <c:idx val="0"/>
          <c:order val="0"/>
          <c:tx>
            <c:v>Basic</c:v>
          </c:tx>
          <c:spPr>
            <a:ln>
              <a:solidFill>
                <a:schemeClr val="accent4">
                  <a:lumMod val="75000"/>
                </a:schemeClr>
              </a:solidFill>
            </a:ln>
          </c:spPr>
          <c:marker>
            <c:symbol val="none"/>
          </c:marker>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(Revenues!$I$221:$T$221,Revenues!$V$221:$AG$221)</c:f>
              <c:numCache>
                <c:formatCode>#,##0.00</c:formatCode>
                <c:ptCount val="24"/>
                <c:pt idx="0">
                  <c:v>5.529924678095302</c:v>
                </c:pt>
                <c:pt idx="1">
                  <c:v>9.175218688450625</c:v>
                </c:pt>
                <c:pt idx="2">
                  <c:v>8.277565988399136</c:v>
                </c:pt>
                <c:pt idx="3">
                  <c:v>9.135684888131832</c:v>
                </c:pt>
                <c:pt idx="4">
                  <c:v>11.18714010260977</c:v>
                </c:pt>
                <c:pt idx="5">
                  <c:v>11.75362143788258</c:v>
                </c:pt>
                <c:pt idx="6">
                  <c:v>10.87345936114431</c:v>
                </c:pt>
                <c:pt idx="7">
                  <c:v>10.34480370928296</c:v>
                </c:pt>
                <c:pt idx="8">
                  <c:v>11.09152738422792</c:v>
                </c:pt>
                <c:pt idx="9">
                  <c:v>10.11437159512157</c:v>
                </c:pt>
                <c:pt idx="10">
                  <c:v>9.375149233018646</c:v>
                </c:pt>
                <c:pt idx="11">
                  <c:v>8.791427166894023</c:v>
                </c:pt>
                <c:pt idx="12">
                  <c:v>8.696185289075137</c:v>
                </c:pt>
                <c:pt idx="13">
                  <c:v>8.702116584004958</c:v>
                </c:pt>
                <c:pt idx="14">
                  <c:v>8.88232851411894</c:v>
                </c:pt>
                <c:pt idx="15">
                  <c:v>8.100523223045493</c:v>
                </c:pt>
                <c:pt idx="16">
                  <c:v>7.7402544001866</c:v>
                </c:pt>
                <c:pt idx="17">
                  <c:v>7.677043309348165</c:v>
                </c:pt>
                <c:pt idx="18">
                  <c:v>7.385264053921847</c:v>
                </c:pt>
                <c:pt idx="19">
                  <c:v>6.988409453218444</c:v>
                </c:pt>
                <c:pt idx="20">
                  <c:v>6.620280881560904</c:v>
                </c:pt>
                <c:pt idx="21">
                  <c:v>6.649710047382281</c:v>
                </c:pt>
                <c:pt idx="22">
                  <c:v>6.14483210650146</c:v>
                </c:pt>
                <c:pt idx="23">
                  <c:v>5.858412409092463</c:v>
                </c:pt>
              </c:numCache>
            </c:numRef>
          </c:val>
          <c:smooth val="0"/>
        </c:ser>
        <c:ser>
          <c:idx val="1"/>
          <c:order val="1"/>
          <c:tx>
            <c:v>Pro</c:v>
          </c:tx>
          <c:spPr>
            <a:ln>
              <a:solidFill>
                <a:schemeClr val="accent1">
                  <a:lumMod val="75000"/>
                </a:schemeClr>
              </a:solidFill>
            </a:ln>
          </c:spPr>
          <c:marker>
            <c:symbol val="none"/>
          </c:marker>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(Revenues!$I$222:$T$222,Revenues!$V$222:$AG$222)</c:f>
              <c:numCache>
                <c:formatCode>#,##0.00</c:formatCode>
                <c:ptCount val="24"/>
                <c:pt idx="0">
                  <c:v>6.96770509440008</c:v>
                </c:pt>
                <c:pt idx="1">
                  <c:v>11.31610304908911</c:v>
                </c:pt>
                <c:pt idx="2">
                  <c:v>11.07920370754961</c:v>
                </c:pt>
                <c:pt idx="3">
                  <c:v>12.30272231601753</c:v>
                </c:pt>
                <c:pt idx="4">
                  <c:v>14.29467902000137</c:v>
                </c:pt>
                <c:pt idx="5">
                  <c:v>15.514780298005</c:v>
                </c:pt>
                <c:pt idx="6">
                  <c:v>14.72859495282275</c:v>
                </c:pt>
                <c:pt idx="7">
                  <c:v>13.36866940891952</c:v>
                </c:pt>
                <c:pt idx="8">
                  <c:v>14.45723224564881</c:v>
                </c:pt>
                <c:pt idx="9">
                  <c:v>13.33832754106657</c:v>
                </c:pt>
                <c:pt idx="10">
                  <c:v>12.29186232773556</c:v>
                </c:pt>
                <c:pt idx="11">
                  <c:v>11.23587276939626</c:v>
                </c:pt>
                <c:pt idx="12">
                  <c:v>11.28571601959973</c:v>
                </c:pt>
                <c:pt idx="13">
                  <c:v>11.13870922752635</c:v>
                </c:pt>
                <c:pt idx="14">
                  <c:v>11.27248236882731</c:v>
                </c:pt>
                <c:pt idx="15">
                  <c:v>10.06589607060407</c:v>
                </c:pt>
                <c:pt idx="16">
                  <c:v>9.68704565841535</c:v>
                </c:pt>
                <c:pt idx="17">
                  <c:v>9.57497901638146</c:v>
                </c:pt>
                <c:pt idx="18">
                  <c:v>9.124073059022432</c:v>
                </c:pt>
                <c:pt idx="19">
                  <c:v>8.597368838959433</c:v>
                </c:pt>
                <c:pt idx="20">
                  <c:v>8.08519409790629</c:v>
                </c:pt>
                <c:pt idx="21">
                  <c:v>8.031300290236461</c:v>
                </c:pt>
                <c:pt idx="22">
                  <c:v>7.395744356753539</c:v>
                </c:pt>
                <c:pt idx="23">
                  <c:v>7.010886981372948</c:v>
                </c:pt>
              </c:numCache>
            </c:numRef>
          </c:val>
          <c:smooth val="0"/>
        </c:ser>
        <c:ser>
          <c:idx val="2"/>
          <c:order val="2"/>
          <c:tx>
            <c:v>Enterprise</c:v>
          </c:tx>
          <c:spPr>
            <a:ln>
              <a:solidFill>
                <a:schemeClr val="accent3">
                  <a:lumMod val="75000"/>
                </a:schemeClr>
              </a:solidFill>
            </a:ln>
          </c:spPr>
          <c:marker>
            <c:symbol val="none"/>
          </c:marker>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(Revenues!$I$223:$T$223,Revenues!$V$223:$AG$223)</c:f>
              <c:numCache>
                <c:formatCode>#,##0.00</c:formatCode>
                <c:ptCount val="24"/>
                <c:pt idx="0">
                  <c:v>7.92656359362945</c:v>
                </c:pt>
                <c:pt idx="1">
                  <c:v>16.85793663907744</c:v>
                </c:pt>
                <c:pt idx="2">
                  <c:v>15.00435623359294</c:v>
                </c:pt>
                <c:pt idx="3">
                  <c:v>16.15274238162606</c:v>
                </c:pt>
                <c:pt idx="4">
                  <c:v>15.11965650567808</c:v>
                </c:pt>
                <c:pt idx="5">
                  <c:v>12.37921058259848</c:v>
                </c:pt>
                <c:pt idx="6">
                  <c:v>12.36613642296932</c:v>
                </c:pt>
                <c:pt idx="7">
                  <c:v>12.34100731061297</c:v>
                </c:pt>
                <c:pt idx="8">
                  <c:v>11.60469728245122</c:v>
                </c:pt>
                <c:pt idx="9">
                  <c:v>11.10521271780003</c:v>
                </c:pt>
                <c:pt idx="10">
                  <c:v>10.86779491162592</c:v>
                </c:pt>
                <c:pt idx="11">
                  <c:v>10.7192294862903</c:v>
                </c:pt>
                <c:pt idx="12">
                  <c:v>13.47951857513935</c:v>
                </c:pt>
                <c:pt idx="13">
                  <c:v>10.9112314649968</c:v>
                </c:pt>
                <c:pt idx="14">
                  <c:v>11.27836272744914</c:v>
                </c:pt>
                <c:pt idx="15">
                  <c:v>10.93622103820288</c:v>
                </c:pt>
                <c:pt idx="16">
                  <c:v>10.97268604968816</c:v>
                </c:pt>
                <c:pt idx="17">
                  <c:v>11.18910305917366</c:v>
                </c:pt>
                <c:pt idx="18">
                  <c:v>10.99522712235077</c:v>
                </c:pt>
                <c:pt idx="19">
                  <c:v>11.44204944078837</c:v>
                </c:pt>
                <c:pt idx="20">
                  <c:v>11.19832739610882</c:v>
                </c:pt>
                <c:pt idx="21">
                  <c:v>10.93531002131803</c:v>
                </c:pt>
                <c:pt idx="22">
                  <c:v>10.79799866473766</c:v>
                </c:pt>
                <c:pt idx="23">
                  <c:v>9.779221692494516</c:v>
                </c:pt>
              </c:numCache>
            </c:numRef>
          </c:val>
          <c:smooth val="0"/>
        </c:ser>
        <c:dLbls>
          <c:showLegendKey val="0"/>
          <c:showVal val="0"/>
          <c:showCatName val="0"/>
          <c:showSerName val="0"/>
          <c:showPercent val="0"/>
          <c:showBubbleSize val="0"/>
        </c:dLbls>
        <c:marker val="1"/>
        <c:smooth val="0"/>
        <c:axId val="-2097215400"/>
        <c:axId val="-2097705544"/>
      </c:lineChart>
      <c:dateAx>
        <c:axId val="-2097215400"/>
        <c:scaling>
          <c:orientation val="minMax"/>
        </c:scaling>
        <c:delete val="0"/>
        <c:axPos val="b"/>
        <c:numFmt formatCode="[$-409]mmm\-yy;@" sourceLinked="1"/>
        <c:majorTickMark val="out"/>
        <c:minorTickMark val="none"/>
        <c:tickLblPos val="low"/>
        <c:crossAx val="-2097705544"/>
        <c:crosses val="autoZero"/>
        <c:auto val="1"/>
        <c:lblOffset val="100"/>
        <c:baseTimeUnit val="months"/>
      </c:dateAx>
      <c:valAx>
        <c:axId val="-2097705544"/>
        <c:scaling>
          <c:orientation val="minMax"/>
        </c:scaling>
        <c:delete val="0"/>
        <c:axPos val="l"/>
        <c:majorGridlines/>
        <c:numFmt formatCode="#,##0.00" sourceLinked="1"/>
        <c:majorTickMark val="out"/>
        <c:minorTickMark val="none"/>
        <c:tickLblPos val="nextTo"/>
        <c:crossAx val="-2097215400"/>
        <c:crosses val="autoZero"/>
        <c:crossBetween val="between"/>
      </c:valAx>
    </c:plotArea>
    <c:legend>
      <c:legendPos val="b"/>
      <c:layout>
        <c:manualLayout>
          <c:xMode val="edge"/>
          <c:yMode val="edge"/>
          <c:x val="0.232545092112556"/>
          <c:y val="0.870140054605214"/>
          <c:w val="0.641893385872104"/>
          <c:h val="0.0560391384900417"/>
        </c:manualLayout>
      </c:layout>
      <c:overlay val="1"/>
      <c:txPr>
        <a:bodyPr/>
        <a:lstStyle/>
        <a:p>
          <a:pPr>
            <a:defRPr sz="1000"/>
          </a:pPr>
          <a:endParaRPr lang="de-DE"/>
        </a:p>
      </c:txPr>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Monthly</a:t>
            </a:r>
            <a:r>
              <a:rPr lang="de-DE" sz="1200" baseline="0"/>
              <a:t> costs by </a:t>
            </a:r>
            <a:r>
              <a:rPr lang="de-DE" sz="1200"/>
              <a:t>category</a:t>
            </a:r>
          </a:p>
        </c:rich>
      </c:tx>
      <c:layout/>
      <c:overlay val="0"/>
    </c:title>
    <c:autoTitleDeleted val="0"/>
    <c:plotArea>
      <c:layout>
        <c:manualLayout>
          <c:layoutTarget val="inner"/>
          <c:xMode val="edge"/>
          <c:yMode val="edge"/>
          <c:x val="0.163597927712487"/>
          <c:y val="0.194934515964733"/>
          <c:w val="0.78411491489388"/>
          <c:h val="0.551686986707307"/>
        </c:manualLayout>
      </c:layout>
      <c:areaChart>
        <c:grouping val="stacked"/>
        <c:varyColors val="0"/>
        <c:ser>
          <c:idx val="0"/>
          <c:order val="0"/>
          <c:tx>
            <c:v>Salaries</c:v>
          </c:tx>
          <c:spPr>
            <a:solidFill>
              <a:schemeClr val="accent4">
                <a:lumMod val="60000"/>
                <a:lumOff val="40000"/>
              </a:schemeClr>
            </a:solidFill>
          </c:spPr>
          <c:cat>
            <c:strRef>
              <c:f>(Costs!$J$2:$U$3,Costs!$W$2:$AH$2)</c:f>
              <c:strCache>
                <c:ptCount val="24"/>
                <c:pt idx="0">
                  <c:v>Jan-16</c:v>
                </c:pt>
                <c:pt idx="1">
                  <c:v>Feb-16</c:v>
                </c:pt>
                <c:pt idx="2">
                  <c:v>Mar-16</c:v>
                </c:pt>
                <c:pt idx="3">
                  <c:v>Apr-16</c:v>
                </c:pt>
                <c:pt idx="4">
                  <c:v>May-16</c:v>
                </c:pt>
                <c:pt idx="5">
                  <c:v>Jun-16</c:v>
                </c:pt>
                <c:pt idx="6">
                  <c:v>Jul-16</c:v>
                </c:pt>
                <c:pt idx="7">
                  <c:v>Aug-16</c:v>
                </c:pt>
                <c:pt idx="8">
                  <c:v>Sep-16</c:v>
                </c:pt>
                <c:pt idx="9">
                  <c:v>Oct-16</c:v>
                </c:pt>
                <c:pt idx="10">
                  <c:v>Nov-16</c:v>
                </c:pt>
                <c:pt idx="11">
                  <c:v>Dec-16</c:v>
                </c:pt>
                <c:pt idx="12">
                  <c:v>Jan-17</c:v>
                </c:pt>
                <c:pt idx="13">
                  <c:v>Feb-17</c:v>
                </c:pt>
                <c:pt idx="14">
                  <c:v>Mar-17</c:v>
                </c:pt>
                <c:pt idx="15">
                  <c:v>Apr-17</c:v>
                </c:pt>
                <c:pt idx="16">
                  <c:v>May-17</c:v>
                </c:pt>
                <c:pt idx="17">
                  <c:v>Jun-17</c:v>
                </c:pt>
                <c:pt idx="18">
                  <c:v>Jul-17</c:v>
                </c:pt>
                <c:pt idx="19">
                  <c:v>Aug-17</c:v>
                </c:pt>
                <c:pt idx="20">
                  <c:v>Sep-17</c:v>
                </c:pt>
                <c:pt idx="21">
                  <c:v>Oct-17</c:v>
                </c:pt>
                <c:pt idx="22">
                  <c:v>Nov-17</c:v>
                </c:pt>
                <c:pt idx="23">
                  <c:v>Dec-17</c:v>
                </c:pt>
              </c:strCache>
            </c:strRef>
          </c:cat>
          <c:val>
            <c:numRef>
              <c:f>(Costs!$J$85:$U$85,Costs!$W$85:$AH$85)</c:f>
              <c:numCache>
                <c:formatCode>#,##0</c:formatCode>
                <c:ptCount val="24"/>
                <c:pt idx="0">
                  <c:v>182600.0</c:v>
                </c:pt>
                <c:pt idx="1">
                  <c:v>301800.0</c:v>
                </c:pt>
                <c:pt idx="2">
                  <c:v>333000.0</c:v>
                </c:pt>
                <c:pt idx="3">
                  <c:v>352200.0</c:v>
                </c:pt>
                <c:pt idx="4">
                  <c:v>376800.0</c:v>
                </c:pt>
                <c:pt idx="5">
                  <c:v>388800.0</c:v>
                </c:pt>
                <c:pt idx="6">
                  <c:v>453000.0</c:v>
                </c:pt>
                <c:pt idx="7">
                  <c:v>466200.0</c:v>
                </c:pt>
                <c:pt idx="8">
                  <c:v>512400.0</c:v>
                </c:pt>
                <c:pt idx="9">
                  <c:v>530400.0</c:v>
                </c:pt>
                <c:pt idx="10">
                  <c:v>548400.0</c:v>
                </c:pt>
                <c:pt idx="11">
                  <c:v>559800.0</c:v>
                </c:pt>
                <c:pt idx="12">
                  <c:v>607200.0</c:v>
                </c:pt>
                <c:pt idx="13">
                  <c:v>621600.0</c:v>
                </c:pt>
                <c:pt idx="14">
                  <c:v>652200.0</c:v>
                </c:pt>
                <c:pt idx="15">
                  <c:v>665400.0</c:v>
                </c:pt>
                <c:pt idx="16">
                  <c:v>690000.0</c:v>
                </c:pt>
                <c:pt idx="17">
                  <c:v>748400.0</c:v>
                </c:pt>
                <c:pt idx="18">
                  <c:v>780800.0</c:v>
                </c:pt>
                <c:pt idx="19">
                  <c:v>832400.0</c:v>
                </c:pt>
                <c:pt idx="20">
                  <c:v>875800.0</c:v>
                </c:pt>
                <c:pt idx="21">
                  <c:v>907000.0</c:v>
                </c:pt>
                <c:pt idx="22">
                  <c:v>934600.0</c:v>
                </c:pt>
                <c:pt idx="23">
                  <c:v>957400.0</c:v>
                </c:pt>
              </c:numCache>
            </c:numRef>
          </c:val>
        </c:ser>
        <c:ser>
          <c:idx val="1"/>
          <c:order val="1"/>
          <c:tx>
            <c:v>Staff related</c:v>
          </c:tx>
          <c:spPr>
            <a:solidFill>
              <a:schemeClr val="accent1">
                <a:lumMod val="60000"/>
                <a:lumOff val="40000"/>
              </a:schemeClr>
            </a:solidFill>
            <a:ln w="25400">
              <a:noFill/>
            </a:ln>
          </c:spPr>
          <c:cat>
            <c:strRef>
              <c:f>(Costs!$J$2:$U$3,Costs!$W$2:$AH$2)</c:f>
              <c:strCache>
                <c:ptCount val="24"/>
                <c:pt idx="0">
                  <c:v>Jan-16</c:v>
                </c:pt>
                <c:pt idx="1">
                  <c:v>Feb-16</c:v>
                </c:pt>
                <c:pt idx="2">
                  <c:v>Mar-16</c:v>
                </c:pt>
                <c:pt idx="3">
                  <c:v>Apr-16</c:v>
                </c:pt>
                <c:pt idx="4">
                  <c:v>May-16</c:v>
                </c:pt>
                <c:pt idx="5">
                  <c:v>Jun-16</c:v>
                </c:pt>
                <c:pt idx="6">
                  <c:v>Jul-16</c:v>
                </c:pt>
                <c:pt idx="7">
                  <c:v>Aug-16</c:v>
                </c:pt>
                <c:pt idx="8">
                  <c:v>Sep-16</c:v>
                </c:pt>
                <c:pt idx="9">
                  <c:v>Oct-16</c:v>
                </c:pt>
                <c:pt idx="10">
                  <c:v>Nov-16</c:v>
                </c:pt>
                <c:pt idx="11">
                  <c:v>Dec-16</c:v>
                </c:pt>
                <c:pt idx="12">
                  <c:v>Jan-17</c:v>
                </c:pt>
                <c:pt idx="13">
                  <c:v>Feb-17</c:v>
                </c:pt>
                <c:pt idx="14">
                  <c:v>Mar-17</c:v>
                </c:pt>
                <c:pt idx="15">
                  <c:v>Apr-17</c:v>
                </c:pt>
                <c:pt idx="16">
                  <c:v>May-17</c:v>
                </c:pt>
                <c:pt idx="17">
                  <c:v>Jun-17</c:v>
                </c:pt>
                <c:pt idx="18">
                  <c:v>Jul-17</c:v>
                </c:pt>
                <c:pt idx="19">
                  <c:v>Aug-17</c:v>
                </c:pt>
                <c:pt idx="20">
                  <c:v>Sep-17</c:v>
                </c:pt>
                <c:pt idx="21">
                  <c:v>Oct-17</c:v>
                </c:pt>
                <c:pt idx="22">
                  <c:v>Nov-17</c:v>
                </c:pt>
                <c:pt idx="23">
                  <c:v>Dec-17</c:v>
                </c:pt>
              </c:strCache>
            </c:strRef>
          </c:cat>
          <c:val>
            <c:numRef>
              <c:f>(Costs!$J$117:$U$117,Costs!$W$117:$AH$117)</c:f>
              <c:numCache>
                <c:formatCode>#,##0</c:formatCode>
                <c:ptCount val="24"/>
                <c:pt idx="0">
                  <c:v>24750.0</c:v>
                </c:pt>
                <c:pt idx="1">
                  <c:v>87250.0</c:v>
                </c:pt>
                <c:pt idx="2">
                  <c:v>54000.0</c:v>
                </c:pt>
                <c:pt idx="3">
                  <c:v>56250.0</c:v>
                </c:pt>
                <c:pt idx="4">
                  <c:v>54250.0</c:v>
                </c:pt>
                <c:pt idx="5">
                  <c:v>56250.0</c:v>
                </c:pt>
                <c:pt idx="6">
                  <c:v>79750.0</c:v>
                </c:pt>
                <c:pt idx="7">
                  <c:v>65250.0</c:v>
                </c:pt>
                <c:pt idx="8">
                  <c:v>81000.0</c:v>
                </c:pt>
                <c:pt idx="9">
                  <c:v>72000.0</c:v>
                </c:pt>
                <c:pt idx="10">
                  <c:v>79750.0</c:v>
                </c:pt>
                <c:pt idx="11">
                  <c:v>77250.0</c:v>
                </c:pt>
                <c:pt idx="12">
                  <c:v>97750.0</c:v>
                </c:pt>
                <c:pt idx="13">
                  <c:v>83750.0</c:v>
                </c:pt>
                <c:pt idx="14">
                  <c:v>100000.0</c:v>
                </c:pt>
                <c:pt idx="15">
                  <c:v>89500.0</c:v>
                </c:pt>
                <c:pt idx="16">
                  <c:v>102000.0</c:v>
                </c:pt>
                <c:pt idx="17">
                  <c:v>126000.0</c:v>
                </c:pt>
                <c:pt idx="18">
                  <c:v>117750.0</c:v>
                </c:pt>
                <c:pt idx="19">
                  <c:v>127750.0</c:v>
                </c:pt>
                <c:pt idx="20">
                  <c:v>133750.0</c:v>
                </c:pt>
                <c:pt idx="21">
                  <c:v>134000.0</c:v>
                </c:pt>
                <c:pt idx="22">
                  <c:v>139250.0</c:v>
                </c:pt>
                <c:pt idx="23">
                  <c:v>138250.0</c:v>
                </c:pt>
              </c:numCache>
            </c:numRef>
          </c:val>
        </c:ser>
        <c:ser>
          <c:idx val="2"/>
          <c:order val="2"/>
          <c:tx>
            <c:v>Various</c:v>
          </c:tx>
          <c:spPr>
            <a:solidFill>
              <a:schemeClr val="accent3">
                <a:lumMod val="60000"/>
                <a:lumOff val="40000"/>
              </a:schemeClr>
            </a:solidFill>
            <a:ln w="25400">
              <a:noFill/>
            </a:ln>
          </c:spPr>
          <c:val>
            <c:numRef>
              <c:f>(Costs!$J$127:$U$127,Costs!$W$127:$AH$127)</c:f>
              <c:numCache>
                <c:formatCode>#,##0</c:formatCode>
                <c:ptCount val="24"/>
                <c:pt idx="0">
                  <c:v>251369.25</c:v>
                </c:pt>
                <c:pt idx="1">
                  <c:v>130015.14625</c:v>
                </c:pt>
                <c:pt idx="2">
                  <c:v>142878.32493125</c:v>
                </c:pt>
                <c:pt idx="3">
                  <c:v>140901.5941767188</c:v>
                </c:pt>
                <c:pt idx="4">
                  <c:v>154087.2850058617</c:v>
                </c:pt>
                <c:pt idx="5">
                  <c:v>228944.6719604898</c:v>
                </c:pt>
                <c:pt idx="6">
                  <c:v>183013.6407771768</c:v>
                </c:pt>
                <c:pt idx="7">
                  <c:v>242342.5444852589</c:v>
                </c:pt>
                <c:pt idx="8">
                  <c:v>213378.9687481577</c:v>
                </c:pt>
                <c:pt idx="9">
                  <c:v>243732.9517895319</c:v>
                </c:pt>
                <c:pt idx="10">
                  <c:v>242821.7975638393</c:v>
                </c:pt>
                <c:pt idx="11">
                  <c:v>319235.823206278</c:v>
                </c:pt>
                <c:pt idx="12">
                  <c:v>298057.0252441753</c:v>
                </c:pt>
                <c:pt idx="13">
                  <c:v>361687.004681121</c:v>
                </c:pt>
                <c:pt idx="14">
                  <c:v>333728.597189504</c:v>
                </c:pt>
                <c:pt idx="15">
                  <c:v>381119.7181124388</c:v>
                </c:pt>
                <c:pt idx="16">
                  <c:v>458843.4009905177</c:v>
                </c:pt>
                <c:pt idx="17">
                  <c:v>434535.1514344706</c:v>
                </c:pt>
                <c:pt idx="18">
                  <c:v>468716.6089632317</c:v>
                </c:pt>
                <c:pt idx="19">
                  <c:v>489864.741353347</c:v>
                </c:pt>
                <c:pt idx="20">
                  <c:v>496530.9109511921</c:v>
                </c:pt>
                <c:pt idx="21">
                  <c:v>517844.9539256449</c:v>
                </c:pt>
                <c:pt idx="22">
                  <c:v>524264.6298402273</c:v>
                </c:pt>
                <c:pt idx="23">
                  <c:v>488858.9019549236</c:v>
                </c:pt>
              </c:numCache>
            </c:numRef>
          </c:val>
        </c:ser>
        <c:dLbls>
          <c:showLegendKey val="0"/>
          <c:showVal val="0"/>
          <c:showCatName val="0"/>
          <c:showSerName val="0"/>
          <c:showPercent val="0"/>
          <c:showBubbleSize val="0"/>
        </c:dLbls>
        <c:axId val="-2089464632"/>
        <c:axId val="-2097820472"/>
      </c:areaChart>
      <c:catAx>
        <c:axId val="-2089464632"/>
        <c:scaling>
          <c:orientation val="minMax"/>
        </c:scaling>
        <c:delete val="0"/>
        <c:axPos val="b"/>
        <c:numFmt formatCode="[$-409]mmm\-yy;@" sourceLinked="1"/>
        <c:majorTickMark val="out"/>
        <c:minorTickMark val="none"/>
        <c:tickLblPos val="low"/>
        <c:crossAx val="-2097820472"/>
        <c:crosses val="autoZero"/>
        <c:auto val="1"/>
        <c:lblAlgn val="ctr"/>
        <c:lblOffset val="100"/>
        <c:noMultiLvlLbl val="0"/>
      </c:catAx>
      <c:valAx>
        <c:axId val="-2097820472"/>
        <c:scaling>
          <c:orientation val="minMax"/>
        </c:scaling>
        <c:delete val="0"/>
        <c:axPos val="l"/>
        <c:majorGridlines/>
        <c:numFmt formatCode="_-[$$-409]* #,##0_-;\-[$$-409]* #,##0_-;_-[$$-409]* &quot;-&quot;_-;_-@_-" sourceLinked="0"/>
        <c:majorTickMark val="out"/>
        <c:minorTickMark val="none"/>
        <c:tickLblPos val="nextTo"/>
        <c:crossAx val="-2089464632"/>
        <c:crosses val="autoZero"/>
        <c:crossBetween val="midCat"/>
      </c:valAx>
    </c:plotArea>
    <c:legend>
      <c:legendPos val="b"/>
      <c:layout>
        <c:manualLayout>
          <c:xMode val="edge"/>
          <c:yMode val="edge"/>
          <c:x val="0.262011955963104"/>
          <c:y val="0.904561838402043"/>
          <c:w val="0.537310719792258"/>
          <c:h val="0.0546542272061175"/>
        </c:manualLayout>
      </c:layout>
      <c:overlay val="1"/>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Monthly</a:t>
            </a:r>
            <a:r>
              <a:rPr lang="de-DE" sz="1200" baseline="0"/>
              <a:t> salaries </a:t>
            </a:r>
            <a:r>
              <a:rPr lang="de-DE" sz="1200"/>
              <a:t>by department</a:t>
            </a:r>
          </a:p>
        </c:rich>
      </c:tx>
      <c:layout/>
      <c:overlay val="0"/>
    </c:title>
    <c:autoTitleDeleted val="0"/>
    <c:plotArea>
      <c:layout>
        <c:manualLayout>
          <c:layoutTarget val="inner"/>
          <c:xMode val="edge"/>
          <c:yMode val="edge"/>
          <c:x val="0.157822253674335"/>
          <c:y val="0.166249654648432"/>
          <c:w val="0.78411491489388"/>
          <c:h val="0.551686986707307"/>
        </c:manualLayout>
      </c:layout>
      <c:areaChart>
        <c:grouping val="stacked"/>
        <c:varyColors val="0"/>
        <c:ser>
          <c:idx val="0"/>
          <c:order val="0"/>
          <c:tx>
            <c:v>G&amp;A</c:v>
          </c:tx>
          <c:spPr>
            <a:solidFill>
              <a:schemeClr val="accent4">
                <a:lumMod val="60000"/>
                <a:lumOff val="40000"/>
              </a:schemeClr>
            </a:solidFill>
          </c:spPr>
          <c:cat>
            <c:strRef>
              <c:f>(Costs!$J$2:$U$3,Costs!$W$2:$AH$2)</c:f>
              <c:strCache>
                <c:ptCount val="24"/>
                <c:pt idx="0">
                  <c:v>Jan-16</c:v>
                </c:pt>
                <c:pt idx="1">
                  <c:v>Feb-16</c:v>
                </c:pt>
                <c:pt idx="2">
                  <c:v>Mar-16</c:v>
                </c:pt>
                <c:pt idx="3">
                  <c:v>Apr-16</c:v>
                </c:pt>
                <c:pt idx="4">
                  <c:v>May-16</c:v>
                </c:pt>
                <c:pt idx="5">
                  <c:v>Jun-16</c:v>
                </c:pt>
                <c:pt idx="6">
                  <c:v>Jul-16</c:v>
                </c:pt>
                <c:pt idx="7">
                  <c:v>Aug-16</c:v>
                </c:pt>
                <c:pt idx="8">
                  <c:v>Sep-16</c:v>
                </c:pt>
                <c:pt idx="9">
                  <c:v>Oct-16</c:v>
                </c:pt>
                <c:pt idx="10">
                  <c:v>Nov-16</c:v>
                </c:pt>
                <c:pt idx="11">
                  <c:v>Dec-16</c:v>
                </c:pt>
                <c:pt idx="12">
                  <c:v>Jan-17</c:v>
                </c:pt>
                <c:pt idx="13">
                  <c:v>Feb-17</c:v>
                </c:pt>
                <c:pt idx="14">
                  <c:v>Mar-17</c:v>
                </c:pt>
                <c:pt idx="15">
                  <c:v>Apr-17</c:v>
                </c:pt>
                <c:pt idx="16">
                  <c:v>May-17</c:v>
                </c:pt>
                <c:pt idx="17">
                  <c:v>Jun-17</c:v>
                </c:pt>
                <c:pt idx="18">
                  <c:v>Jul-17</c:v>
                </c:pt>
                <c:pt idx="19">
                  <c:v>Aug-17</c:v>
                </c:pt>
                <c:pt idx="20">
                  <c:v>Sep-17</c:v>
                </c:pt>
                <c:pt idx="21">
                  <c:v>Oct-17</c:v>
                </c:pt>
                <c:pt idx="22">
                  <c:v>Nov-17</c:v>
                </c:pt>
                <c:pt idx="23">
                  <c:v>Dec-17</c:v>
                </c:pt>
              </c:strCache>
            </c:strRef>
          </c:cat>
          <c:val>
            <c:numRef>
              <c:f>(Costs!$J$16:$U$16,Costs!$W$16:$AH$16)</c:f>
              <c:numCache>
                <c:formatCode>#,##0</c:formatCode>
                <c:ptCount val="24"/>
                <c:pt idx="0">
                  <c:v>24000.0</c:v>
                </c:pt>
                <c:pt idx="1">
                  <c:v>24000.0</c:v>
                </c:pt>
                <c:pt idx="2">
                  <c:v>24000.0</c:v>
                </c:pt>
                <c:pt idx="3">
                  <c:v>24000.0</c:v>
                </c:pt>
                <c:pt idx="4">
                  <c:v>24000.0</c:v>
                </c:pt>
                <c:pt idx="5">
                  <c:v>24000.0</c:v>
                </c:pt>
                <c:pt idx="6">
                  <c:v>49200.0</c:v>
                </c:pt>
                <c:pt idx="7">
                  <c:v>49200.0</c:v>
                </c:pt>
                <c:pt idx="8">
                  <c:v>49200.0</c:v>
                </c:pt>
                <c:pt idx="9">
                  <c:v>62400.0</c:v>
                </c:pt>
                <c:pt idx="10">
                  <c:v>69000.0</c:v>
                </c:pt>
                <c:pt idx="11">
                  <c:v>69000.0</c:v>
                </c:pt>
                <c:pt idx="12">
                  <c:v>69000.0</c:v>
                </c:pt>
                <c:pt idx="13">
                  <c:v>69000.0</c:v>
                </c:pt>
                <c:pt idx="14">
                  <c:v>69000.0</c:v>
                </c:pt>
                <c:pt idx="15">
                  <c:v>69000.0</c:v>
                </c:pt>
                <c:pt idx="16">
                  <c:v>77400.0</c:v>
                </c:pt>
                <c:pt idx="17">
                  <c:v>77400.0</c:v>
                </c:pt>
                <c:pt idx="18">
                  <c:v>77400.0</c:v>
                </c:pt>
                <c:pt idx="19">
                  <c:v>77400.0</c:v>
                </c:pt>
                <c:pt idx="20">
                  <c:v>77400.0</c:v>
                </c:pt>
                <c:pt idx="21">
                  <c:v>77400.0</c:v>
                </c:pt>
                <c:pt idx="22">
                  <c:v>82200.0</c:v>
                </c:pt>
                <c:pt idx="23">
                  <c:v>82200.0</c:v>
                </c:pt>
              </c:numCache>
            </c:numRef>
          </c:val>
        </c:ser>
        <c:ser>
          <c:idx val="1"/>
          <c:order val="1"/>
          <c:tx>
            <c:v>R&amp;D</c:v>
          </c:tx>
          <c:spPr>
            <a:solidFill>
              <a:schemeClr val="accent1">
                <a:lumMod val="60000"/>
                <a:lumOff val="40000"/>
              </a:schemeClr>
            </a:solidFill>
            <a:ln w="25400">
              <a:noFill/>
            </a:ln>
          </c:spPr>
          <c:cat>
            <c:strRef>
              <c:f>(Costs!$J$2:$U$3,Costs!$W$2:$AH$2)</c:f>
              <c:strCache>
                <c:ptCount val="24"/>
                <c:pt idx="0">
                  <c:v>Jan-16</c:v>
                </c:pt>
                <c:pt idx="1">
                  <c:v>Feb-16</c:v>
                </c:pt>
                <c:pt idx="2">
                  <c:v>Mar-16</c:v>
                </c:pt>
                <c:pt idx="3">
                  <c:v>Apr-16</c:v>
                </c:pt>
                <c:pt idx="4">
                  <c:v>May-16</c:v>
                </c:pt>
                <c:pt idx="5">
                  <c:v>Jun-16</c:v>
                </c:pt>
                <c:pt idx="6">
                  <c:v>Jul-16</c:v>
                </c:pt>
                <c:pt idx="7">
                  <c:v>Aug-16</c:v>
                </c:pt>
                <c:pt idx="8">
                  <c:v>Sep-16</c:v>
                </c:pt>
                <c:pt idx="9">
                  <c:v>Oct-16</c:v>
                </c:pt>
                <c:pt idx="10">
                  <c:v>Nov-16</c:v>
                </c:pt>
                <c:pt idx="11">
                  <c:v>Dec-16</c:v>
                </c:pt>
                <c:pt idx="12">
                  <c:v>Jan-17</c:v>
                </c:pt>
                <c:pt idx="13">
                  <c:v>Feb-17</c:v>
                </c:pt>
                <c:pt idx="14">
                  <c:v>Mar-17</c:v>
                </c:pt>
                <c:pt idx="15">
                  <c:v>Apr-17</c:v>
                </c:pt>
                <c:pt idx="16">
                  <c:v>May-17</c:v>
                </c:pt>
                <c:pt idx="17">
                  <c:v>Jun-17</c:v>
                </c:pt>
                <c:pt idx="18">
                  <c:v>Jul-17</c:v>
                </c:pt>
                <c:pt idx="19">
                  <c:v>Aug-17</c:v>
                </c:pt>
                <c:pt idx="20">
                  <c:v>Sep-17</c:v>
                </c:pt>
                <c:pt idx="21">
                  <c:v>Oct-17</c:v>
                </c:pt>
                <c:pt idx="22">
                  <c:v>Nov-17</c:v>
                </c:pt>
                <c:pt idx="23">
                  <c:v>Dec-17</c:v>
                </c:pt>
              </c:strCache>
            </c:strRef>
          </c:cat>
          <c:val>
            <c:numRef>
              <c:f>(Costs!$J$49:$U$49,Costs!$W$49:$AH$49)</c:f>
              <c:numCache>
                <c:formatCode>#,##0</c:formatCode>
                <c:ptCount val="24"/>
                <c:pt idx="0">
                  <c:v>50400.0</c:v>
                </c:pt>
                <c:pt idx="1">
                  <c:v>50400.0</c:v>
                </c:pt>
                <c:pt idx="2">
                  <c:v>63600.0</c:v>
                </c:pt>
                <c:pt idx="3">
                  <c:v>72000.0</c:v>
                </c:pt>
                <c:pt idx="4">
                  <c:v>78600.0</c:v>
                </c:pt>
                <c:pt idx="5">
                  <c:v>78600.0</c:v>
                </c:pt>
                <c:pt idx="6">
                  <c:v>112800.0</c:v>
                </c:pt>
                <c:pt idx="7">
                  <c:v>121200.0</c:v>
                </c:pt>
                <c:pt idx="8">
                  <c:v>136200.0</c:v>
                </c:pt>
                <c:pt idx="9">
                  <c:v>136200.0</c:v>
                </c:pt>
                <c:pt idx="10">
                  <c:v>142800.0</c:v>
                </c:pt>
                <c:pt idx="11">
                  <c:v>149400.0</c:v>
                </c:pt>
                <c:pt idx="12">
                  <c:v>181200.0</c:v>
                </c:pt>
                <c:pt idx="13">
                  <c:v>181200.0</c:v>
                </c:pt>
                <c:pt idx="14">
                  <c:v>187800.0</c:v>
                </c:pt>
                <c:pt idx="15">
                  <c:v>196200.0</c:v>
                </c:pt>
                <c:pt idx="16">
                  <c:v>202800.0</c:v>
                </c:pt>
                <c:pt idx="17">
                  <c:v>216600.0</c:v>
                </c:pt>
                <c:pt idx="18">
                  <c:v>226200.0</c:v>
                </c:pt>
                <c:pt idx="19">
                  <c:v>226200.0</c:v>
                </c:pt>
                <c:pt idx="20">
                  <c:v>226200.0</c:v>
                </c:pt>
                <c:pt idx="21">
                  <c:v>226200.0</c:v>
                </c:pt>
                <c:pt idx="22">
                  <c:v>234600.0</c:v>
                </c:pt>
                <c:pt idx="23">
                  <c:v>234600.0</c:v>
                </c:pt>
              </c:numCache>
            </c:numRef>
          </c:val>
        </c:ser>
        <c:ser>
          <c:idx val="2"/>
          <c:order val="2"/>
          <c:tx>
            <c:v>Marketing</c:v>
          </c:tx>
          <c:spPr>
            <a:solidFill>
              <a:schemeClr val="accent3">
                <a:lumMod val="60000"/>
                <a:lumOff val="40000"/>
              </a:schemeClr>
            </a:solidFill>
            <a:ln w="25400">
              <a:noFill/>
            </a:ln>
          </c:spPr>
          <c:val>
            <c:numRef>
              <c:f>(Costs!$J$62:$U$62,Costs!$W$62:$AH$62)</c:f>
              <c:numCache>
                <c:formatCode>#,##0</c:formatCode>
                <c:ptCount val="24"/>
                <c:pt idx="0">
                  <c:v>6000.0</c:v>
                </c:pt>
                <c:pt idx="1">
                  <c:v>14400.0</c:v>
                </c:pt>
                <c:pt idx="2">
                  <c:v>14400.0</c:v>
                </c:pt>
                <c:pt idx="3">
                  <c:v>14400.0</c:v>
                </c:pt>
                <c:pt idx="4">
                  <c:v>32400.0</c:v>
                </c:pt>
                <c:pt idx="5">
                  <c:v>39600.0</c:v>
                </c:pt>
                <c:pt idx="6">
                  <c:v>39600.0</c:v>
                </c:pt>
                <c:pt idx="7">
                  <c:v>39600.0</c:v>
                </c:pt>
                <c:pt idx="8">
                  <c:v>39600.0</c:v>
                </c:pt>
                <c:pt idx="9">
                  <c:v>39600.0</c:v>
                </c:pt>
                <c:pt idx="10">
                  <c:v>39600.0</c:v>
                </c:pt>
                <c:pt idx="11">
                  <c:v>39600.0</c:v>
                </c:pt>
                <c:pt idx="12">
                  <c:v>39600.0</c:v>
                </c:pt>
                <c:pt idx="13">
                  <c:v>49200.0</c:v>
                </c:pt>
                <c:pt idx="14">
                  <c:v>55200.0</c:v>
                </c:pt>
                <c:pt idx="15">
                  <c:v>55200.0</c:v>
                </c:pt>
                <c:pt idx="16">
                  <c:v>55200.0</c:v>
                </c:pt>
                <c:pt idx="17">
                  <c:v>61200.0</c:v>
                </c:pt>
                <c:pt idx="18">
                  <c:v>61200.0</c:v>
                </c:pt>
                <c:pt idx="19">
                  <c:v>61200.0</c:v>
                </c:pt>
                <c:pt idx="20">
                  <c:v>61200.0</c:v>
                </c:pt>
                <c:pt idx="21">
                  <c:v>69600.0</c:v>
                </c:pt>
                <c:pt idx="22">
                  <c:v>69600.0</c:v>
                </c:pt>
                <c:pt idx="23">
                  <c:v>69600.0</c:v>
                </c:pt>
              </c:numCache>
            </c:numRef>
          </c:val>
        </c:ser>
        <c:ser>
          <c:idx val="3"/>
          <c:order val="3"/>
          <c:tx>
            <c:v>Sales</c:v>
          </c:tx>
          <c:spPr>
            <a:solidFill>
              <a:schemeClr val="accent6">
                <a:lumMod val="60000"/>
                <a:lumOff val="40000"/>
              </a:schemeClr>
            </a:solidFill>
            <a:ln w="25400">
              <a:noFill/>
            </a:ln>
          </c:spPr>
          <c:val>
            <c:numRef>
              <c:f>(Costs!$J$72:$U$72,Costs!$W$72:$AH$72)</c:f>
              <c:numCache>
                <c:formatCode>#,##0</c:formatCode>
                <c:ptCount val="24"/>
                <c:pt idx="0">
                  <c:v>83000.0</c:v>
                </c:pt>
                <c:pt idx="1">
                  <c:v>189000.0</c:v>
                </c:pt>
                <c:pt idx="2">
                  <c:v>207000.0</c:v>
                </c:pt>
                <c:pt idx="3">
                  <c:v>207000.0</c:v>
                </c:pt>
                <c:pt idx="4">
                  <c:v>207000.0</c:v>
                </c:pt>
                <c:pt idx="5">
                  <c:v>207000.0</c:v>
                </c:pt>
                <c:pt idx="6">
                  <c:v>207000.0</c:v>
                </c:pt>
                <c:pt idx="7">
                  <c:v>207000.0</c:v>
                </c:pt>
                <c:pt idx="8">
                  <c:v>207000.0</c:v>
                </c:pt>
                <c:pt idx="9">
                  <c:v>207000.0</c:v>
                </c:pt>
                <c:pt idx="10">
                  <c:v>207000.0</c:v>
                </c:pt>
                <c:pt idx="11">
                  <c:v>207000.0</c:v>
                </c:pt>
                <c:pt idx="12">
                  <c:v>207000.0</c:v>
                </c:pt>
                <c:pt idx="13">
                  <c:v>207000.0</c:v>
                </c:pt>
                <c:pt idx="14">
                  <c:v>207000.0</c:v>
                </c:pt>
                <c:pt idx="15">
                  <c:v>207000.0</c:v>
                </c:pt>
                <c:pt idx="16">
                  <c:v>207000.0</c:v>
                </c:pt>
                <c:pt idx="17">
                  <c:v>236000.0</c:v>
                </c:pt>
                <c:pt idx="18">
                  <c:v>236000.0</c:v>
                </c:pt>
                <c:pt idx="19">
                  <c:v>272000.0</c:v>
                </c:pt>
                <c:pt idx="20">
                  <c:v>301000.0</c:v>
                </c:pt>
                <c:pt idx="21">
                  <c:v>301000.0</c:v>
                </c:pt>
                <c:pt idx="22">
                  <c:v>301000.0</c:v>
                </c:pt>
                <c:pt idx="23">
                  <c:v>301000.0</c:v>
                </c:pt>
              </c:numCache>
            </c:numRef>
          </c:val>
        </c:ser>
        <c:ser>
          <c:idx val="4"/>
          <c:order val="4"/>
          <c:tx>
            <c:v>CS</c:v>
          </c:tx>
          <c:spPr>
            <a:solidFill>
              <a:schemeClr val="accent2">
                <a:lumMod val="60000"/>
                <a:lumOff val="40000"/>
              </a:schemeClr>
            </a:solidFill>
            <a:ln w="25400">
              <a:noFill/>
            </a:ln>
          </c:spPr>
          <c:val>
            <c:numRef>
              <c:f>(Costs!$J$81:$U$81,Costs!$W$81:$AH$81)</c:f>
              <c:numCache>
                <c:formatCode>#,##0</c:formatCode>
                <c:ptCount val="24"/>
                <c:pt idx="0">
                  <c:v>19200.0</c:v>
                </c:pt>
                <c:pt idx="1">
                  <c:v>24000.0</c:v>
                </c:pt>
                <c:pt idx="2">
                  <c:v>24000.0</c:v>
                </c:pt>
                <c:pt idx="3">
                  <c:v>34800.0</c:v>
                </c:pt>
                <c:pt idx="4">
                  <c:v>34800.0</c:v>
                </c:pt>
                <c:pt idx="5">
                  <c:v>39600.0</c:v>
                </c:pt>
                <c:pt idx="6">
                  <c:v>44400.0</c:v>
                </c:pt>
                <c:pt idx="7">
                  <c:v>49200.0</c:v>
                </c:pt>
                <c:pt idx="8">
                  <c:v>80400.0</c:v>
                </c:pt>
                <c:pt idx="9">
                  <c:v>85200.0</c:v>
                </c:pt>
                <c:pt idx="10">
                  <c:v>90000.0</c:v>
                </c:pt>
                <c:pt idx="11">
                  <c:v>94800.0</c:v>
                </c:pt>
                <c:pt idx="12">
                  <c:v>110400.0</c:v>
                </c:pt>
                <c:pt idx="13">
                  <c:v>115200.0</c:v>
                </c:pt>
                <c:pt idx="14">
                  <c:v>133200.0</c:v>
                </c:pt>
                <c:pt idx="15">
                  <c:v>138000.0</c:v>
                </c:pt>
                <c:pt idx="16">
                  <c:v>147600.0</c:v>
                </c:pt>
                <c:pt idx="17">
                  <c:v>157200.0</c:v>
                </c:pt>
                <c:pt idx="18">
                  <c:v>180000.0</c:v>
                </c:pt>
                <c:pt idx="19">
                  <c:v>195600.0</c:v>
                </c:pt>
                <c:pt idx="20">
                  <c:v>210000.0</c:v>
                </c:pt>
                <c:pt idx="21">
                  <c:v>232800.0</c:v>
                </c:pt>
                <c:pt idx="22">
                  <c:v>247200.0</c:v>
                </c:pt>
                <c:pt idx="23">
                  <c:v>270000.0</c:v>
                </c:pt>
              </c:numCache>
            </c:numRef>
          </c:val>
        </c:ser>
        <c:dLbls>
          <c:showLegendKey val="0"/>
          <c:showVal val="0"/>
          <c:showCatName val="0"/>
          <c:showSerName val="0"/>
          <c:showPercent val="0"/>
          <c:showBubbleSize val="0"/>
        </c:dLbls>
        <c:axId val="-2093680008"/>
        <c:axId val="-2093676888"/>
      </c:areaChart>
      <c:catAx>
        <c:axId val="-2093680008"/>
        <c:scaling>
          <c:orientation val="minMax"/>
        </c:scaling>
        <c:delete val="0"/>
        <c:axPos val="b"/>
        <c:numFmt formatCode="[$-409]mmm\-yy;@" sourceLinked="1"/>
        <c:majorTickMark val="out"/>
        <c:minorTickMark val="none"/>
        <c:tickLblPos val="low"/>
        <c:crossAx val="-2093676888"/>
        <c:crosses val="autoZero"/>
        <c:auto val="1"/>
        <c:lblAlgn val="ctr"/>
        <c:lblOffset val="100"/>
        <c:noMultiLvlLbl val="0"/>
      </c:catAx>
      <c:valAx>
        <c:axId val="-2093676888"/>
        <c:scaling>
          <c:orientation val="minMax"/>
        </c:scaling>
        <c:delete val="0"/>
        <c:axPos val="l"/>
        <c:majorGridlines/>
        <c:numFmt formatCode="[$$-409]#,##0" sourceLinked="0"/>
        <c:majorTickMark val="out"/>
        <c:minorTickMark val="none"/>
        <c:tickLblPos val="nextTo"/>
        <c:crossAx val="-2093680008"/>
        <c:crosses val="autoZero"/>
        <c:crossBetween val="midCat"/>
      </c:valAx>
    </c:plotArea>
    <c:legend>
      <c:legendPos val="b"/>
      <c:layout>
        <c:manualLayout>
          <c:xMode val="edge"/>
          <c:yMode val="edge"/>
          <c:x val="0.262011955963104"/>
          <c:y val="0.904561838402043"/>
          <c:w val="0.537310719792258"/>
          <c:h val="0.0546542272061175"/>
        </c:manualLayout>
      </c:layout>
      <c:overlay val="1"/>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Monthly</a:t>
            </a:r>
            <a:r>
              <a:rPr lang="de-DE" sz="1200" baseline="0"/>
              <a:t> costs by P&amp;L category</a:t>
            </a:r>
            <a:endParaRPr lang="de-DE" sz="1200"/>
          </a:p>
        </c:rich>
      </c:tx>
      <c:layout/>
      <c:overlay val="0"/>
    </c:title>
    <c:autoTitleDeleted val="0"/>
    <c:plotArea>
      <c:layout>
        <c:manualLayout>
          <c:layoutTarget val="inner"/>
          <c:xMode val="edge"/>
          <c:yMode val="edge"/>
          <c:x val="0.157822253674335"/>
          <c:y val="0.166249654648432"/>
          <c:w val="0.78411491489388"/>
          <c:h val="0.551686986707307"/>
        </c:manualLayout>
      </c:layout>
      <c:areaChart>
        <c:grouping val="stacked"/>
        <c:varyColors val="0"/>
        <c:ser>
          <c:idx val="0"/>
          <c:order val="0"/>
          <c:tx>
            <c:v>CoGS</c:v>
          </c:tx>
          <c:spPr>
            <a:solidFill>
              <a:schemeClr val="accent4">
                <a:lumMod val="60000"/>
                <a:lumOff val="40000"/>
              </a:schemeClr>
            </a:solidFill>
          </c:spPr>
          <c:cat>
            <c:strRef>
              <c:f>(Costs!$J$2:$U$3,Costs!$W$2:$AH$2)</c:f>
              <c:strCache>
                <c:ptCount val="24"/>
                <c:pt idx="0">
                  <c:v>Jan-16</c:v>
                </c:pt>
                <c:pt idx="1">
                  <c:v>Feb-16</c:v>
                </c:pt>
                <c:pt idx="2">
                  <c:v>Mar-16</c:v>
                </c:pt>
                <c:pt idx="3">
                  <c:v>Apr-16</c:v>
                </c:pt>
                <c:pt idx="4">
                  <c:v>May-16</c:v>
                </c:pt>
                <c:pt idx="5">
                  <c:v>Jun-16</c:v>
                </c:pt>
                <c:pt idx="6">
                  <c:v>Jul-16</c:v>
                </c:pt>
                <c:pt idx="7">
                  <c:v>Aug-16</c:v>
                </c:pt>
                <c:pt idx="8">
                  <c:v>Sep-16</c:v>
                </c:pt>
                <c:pt idx="9">
                  <c:v>Oct-16</c:v>
                </c:pt>
                <c:pt idx="10">
                  <c:v>Nov-16</c:v>
                </c:pt>
                <c:pt idx="11">
                  <c:v>Dec-16</c:v>
                </c:pt>
                <c:pt idx="12">
                  <c:v>Jan-17</c:v>
                </c:pt>
                <c:pt idx="13">
                  <c:v>Feb-17</c:v>
                </c:pt>
                <c:pt idx="14">
                  <c:v>Mar-17</c:v>
                </c:pt>
                <c:pt idx="15">
                  <c:v>Apr-17</c:v>
                </c:pt>
                <c:pt idx="16">
                  <c:v>May-17</c:v>
                </c:pt>
                <c:pt idx="17">
                  <c:v>Jun-17</c:v>
                </c:pt>
                <c:pt idx="18">
                  <c:v>Jul-17</c:v>
                </c:pt>
                <c:pt idx="19">
                  <c:v>Aug-17</c:v>
                </c:pt>
                <c:pt idx="20">
                  <c:v>Sep-17</c:v>
                </c:pt>
                <c:pt idx="21">
                  <c:v>Oct-17</c:v>
                </c:pt>
                <c:pt idx="22">
                  <c:v>Nov-17</c:v>
                </c:pt>
                <c:pt idx="23">
                  <c:v>Dec-17</c:v>
                </c:pt>
              </c:strCache>
            </c:strRef>
          </c:cat>
          <c:val>
            <c:numRef>
              <c:f>(Costs!$J$173:$U$173,Costs!$W$173:$AH$173)</c:f>
              <c:numCache>
                <c:formatCode>#,##0</c:formatCode>
                <c:ptCount val="24"/>
                <c:pt idx="0">
                  <c:v>38891.75</c:v>
                </c:pt>
                <c:pt idx="1">
                  <c:v>50981.75875</c:v>
                </c:pt>
                <c:pt idx="2">
                  <c:v>48695.61199375</c:v>
                </c:pt>
                <c:pt idx="3">
                  <c:v>70810.26300015625</c:v>
                </c:pt>
                <c:pt idx="4">
                  <c:v>64727.17944813515</c:v>
                </c:pt>
                <c:pt idx="5">
                  <c:v>77552.20086401212</c:v>
                </c:pt>
                <c:pt idx="6">
                  <c:v>85547.47752637058</c:v>
                </c:pt>
                <c:pt idx="7">
                  <c:v>93706.41689812596</c:v>
                </c:pt>
                <c:pt idx="8">
                  <c:v>139146.0173599512</c:v>
                </c:pt>
                <c:pt idx="9">
                  <c:v>139922.5992748904</c:v>
                </c:pt>
                <c:pt idx="10">
                  <c:v>147147.0577253803</c:v>
                </c:pt>
                <c:pt idx="11">
                  <c:v>156568.8516483973</c:v>
                </c:pt>
                <c:pt idx="12">
                  <c:v>188984.0529315178</c:v>
                </c:pt>
                <c:pt idx="13">
                  <c:v>192514.9659103354</c:v>
                </c:pt>
                <c:pt idx="14">
                  <c:v>225045.7834156136</c:v>
                </c:pt>
                <c:pt idx="15">
                  <c:v>227096.6743670911</c:v>
                </c:pt>
                <c:pt idx="16">
                  <c:v>246906.9561792148</c:v>
                </c:pt>
                <c:pt idx="17">
                  <c:v>265255.465718</c:v>
                </c:pt>
                <c:pt idx="18">
                  <c:v>304653.0500879607</c:v>
                </c:pt>
                <c:pt idx="19">
                  <c:v>325644.4667780333</c:v>
                </c:pt>
                <c:pt idx="20">
                  <c:v>349762.0550433431</c:v>
                </c:pt>
                <c:pt idx="21">
                  <c:v>386474.6006198504</c:v>
                </c:pt>
                <c:pt idx="22">
                  <c:v>405711.9891586615</c:v>
                </c:pt>
                <c:pt idx="23">
                  <c:v>444770.4197493964</c:v>
                </c:pt>
              </c:numCache>
            </c:numRef>
          </c:val>
        </c:ser>
        <c:ser>
          <c:idx val="1"/>
          <c:order val="1"/>
          <c:tx>
            <c:v>R&amp;D</c:v>
          </c:tx>
          <c:spPr>
            <a:solidFill>
              <a:schemeClr val="accent1">
                <a:lumMod val="60000"/>
                <a:lumOff val="40000"/>
              </a:schemeClr>
            </a:solidFill>
            <a:ln w="25400">
              <a:noFill/>
            </a:ln>
          </c:spPr>
          <c:cat>
            <c:strRef>
              <c:f>(Costs!$J$2:$U$3,Costs!$W$2:$AH$2)</c:f>
              <c:strCache>
                <c:ptCount val="24"/>
                <c:pt idx="0">
                  <c:v>Jan-16</c:v>
                </c:pt>
                <c:pt idx="1">
                  <c:v>Feb-16</c:v>
                </c:pt>
                <c:pt idx="2">
                  <c:v>Mar-16</c:v>
                </c:pt>
                <c:pt idx="3">
                  <c:v>Apr-16</c:v>
                </c:pt>
                <c:pt idx="4">
                  <c:v>May-16</c:v>
                </c:pt>
                <c:pt idx="5">
                  <c:v>Jun-16</c:v>
                </c:pt>
                <c:pt idx="6">
                  <c:v>Jul-16</c:v>
                </c:pt>
                <c:pt idx="7">
                  <c:v>Aug-16</c:v>
                </c:pt>
                <c:pt idx="8">
                  <c:v>Sep-16</c:v>
                </c:pt>
                <c:pt idx="9">
                  <c:v>Oct-16</c:v>
                </c:pt>
                <c:pt idx="10">
                  <c:v>Nov-16</c:v>
                </c:pt>
                <c:pt idx="11">
                  <c:v>Dec-16</c:v>
                </c:pt>
                <c:pt idx="12">
                  <c:v>Jan-17</c:v>
                </c:pt>
                <c:pt idx="13">
                  <c:v>Feb-17</c:v>
                </c:pt>
                <c:pt idx="14">
                  <c:v>Mar-17</c:v>
                </c:pt>
                <c:pt idx="15">
                  <c:v>Apr-17</c:v>
                </c:pt>
                <c:pt idx="16">
                  <c:v>May-17</c:v>
                </c:pt>
                <c:pt idx="17">
                  <c:v>Jun-17</c:v>
                </c:pt>
                <c:pt idx="18">
                  <c:v>Jul-17</c:v>
                </c:pt>
                <c:pt idx="19">
                  <c:v>Aug-17</c:v>
                </c:pt>
                <c:pt idx="20">
                  <c:v>Sep-17</c:v>
                </c:pt>
                <c:pt idx="21">
                  <c:v>Oct-17</c:v>
                </c:pt>
                <c:pt idx="22">
                  <c:v>Nov-17</c:v>
                </c:pt>
                <c:pt idx="23">
                  <c:v>Dec-17</c:v>
                </c:pt>
              </c:strCache>
            </c:strRef>
          </c:cat>
          <c:val>
            <c:numRef>
              <c:f>(Costs!$J$174:$U$174,Costs!$W$174:$AH$174)</c:f>
              <c:numCache>
                <c:formatCode>#,##0</c:formatCode>
                <c:ptCount val="24"/>
                <c:pt idx="0">
                  <c:v>54900.0</c:v>
                </c:pt>
                <c:pt idx="1">
                  <c:v>54900.0</c:v>
                </c:pt>
                <c:pt idx="2">
                  <c:v>77600.0</c:v>
                </c:pt>
                <c:pt idx="3">
                  <c:v>82750.0</c:v>
                </c:pt>
                <c:pt idx="4">
                  <c:v>90100.0</c:v>
                </c:pt>
                <c:pt idx="5">
                  <c:v>86100.0</c:v>
                </c:pt>
                <c:pt idx="6">
                  <c:v>134550.0</c:v>
                </c:pt>
                <c:pt idx="7">
                  <c:v>135700.0</c:v>
                </c:pt>
                <c:pt idx="8">
                  <c:v>156200.0</c:v>
                </c:pt>
                <c:pt idx="9">
                  <c:v>148200.0</c:v>
                </c:pt>
                <c:pt idx="10">
                  <c:v>159550.0</c:v>
                </c:pt>
                <c:pt idx="11">
                  <c:v>166900.0</c:v>
                </c:pt>
                <c:pt idx="12">
                  <c:v>208950.0</c:v>
                </c:pt>
                <c:pt idx="13">
                  <c:v>196950.0</c:v>
                </c:pt>
                <c:pt idx="14">
                  <c:v>208300.0</c:v>
                </c:pt>
                <c:pt idx="15">
                  <c:v>217450.0</c:v>
                </c:pt>
                <c:pt idx="16">
                  <c:v>224800.0</c:v>
                </c:pt>
                <c:pt idx="17">
                  <c:v>244100.0</c:v>
                </c:pt>
                <c:pt idx="18">
                  <c:v>250450.0</c:v>
                </c:pt>
                <c:pt idx="19">
                  <c:v>246450.0</c:v>
                </c:pt>
                <c:pt idx="20">
                  <c:v>246450.0</c:v>
                </c:pt>
                <c:pt idx="21">
                  <c:v>246450.0</c:v>
                </c:pt>
                <c:pt idx="22">
                  <c:v>259600.0</c:v>
                </c:pt>
                <c:pt idx="23">
                  <c:v>255600.0</c:v>
                </c:pt>
              </c:numCache>
            </c:numRef>
          </c:val>
        </c:ser>
        <c:ser>
          <c:idx val="2"/>
          <c:order val="2"/>
          <c:tx>
            <c:v>S&amp;M</c:v>
          </c:tx>
          <c:spPr>
            <a:solidFill>
              <a:schemeClr val="accent3">
                <a:lumMod val="60000"/>
                <a:lumOff val="40000"/>
              </a:schemeClr>
            </a:solidFill>
            <a:ln w="25400">
              <a:noFill/>
            </a:ln>
          </c:spPr>
          <c:val>
            <c:numRef>
              <c:f>(Costs!$J$175:$U$175,Costs!$W$175:$AH$175)</c:f>
              <c:numCache>
                <c:formatCode>#,##0</c:formatCode>
                <c:ptCount val="24"/>
                <c:pt idx="0">
                  <c:v>120250.0</c:v>
                </c:pt>
                <c:pt idx="1">
                  <c:v>302400.0</c:v>
                </c:pt>
                <c:pt idx="2">
                  <c:v>291650.0</c:v>
                </c:pt>
                <c:pt idx="3">
                  <c:v>297650.0</c:v>
                </c:pt>
                <c:pt idx="4">
                  <c:v>330900.0</c:v>
                </c:pt>
                <c:pt idx="5">
                  <c:v>349350.0</c:v>
                </c:pt>
                <c:pt idx="6">
                  <c:v>355350.0</c:v>
                </c:pt>
                <c:pt idx="7">
                  <c:v>365350.0</c:v>
                </c:pt>
                <c:pt idx="8">
                  <c:v>375350.0</c:v>
                </c:pt>
                <c:pt idx="9">
                  <c:v>385350.0</c:v>
                </c:pt>
                <c:pt idx="10">
                  <c:v>395350.0</c:v>
                </c:pt>
                <c:pt idx="11">
                  <c:v>405350.0</c:v>
                </c:pt>
                <c:pt idx="12">
                  <c:v>415350.0</c:v>
                </c:pt>
                <c:pt idx="13">
                  <c:v>440200.0</c:v>
                </c:pt>
                <c:pt idx="14">
                  <c:v>457450.0</c:v>
                </c:pt>
                <c:pt idx="15">
                  <c:v>463450.0</c:v>
                </c:pt>
                <c:pt idx="16">
                  <c:v>473450.0</c:v>
                </c:pt>
                <c:pt idx="17">
                  <c:v>539450.0</c:v>
                </c:pt>
                <c:pt idx="18">
                  <c:v>533450.0</c:v>
                </c:pt>
                <c:pt idx="19">
                  <c:v>595200.0</c:v>
                </c:pt>
                <c:pt idx="20">
                  <c:v>637950.0</c:v>
                </c:pt>
                <c:pt idx="21">
                  <c:v>649600.0</c:v>
                </c:pt>
                <c:pt idx="22">
                  <c:v>655600.0</c:v>
                </c:pt>
                <c:pt idx="23">
                  <c:v>665600.0</c:v>
                </c:pt>
              </c:numCache>
            </c:numRef>
          </c:val>
        </c:ser>
        <c:ser>
          <c:idx val="3"/>
          <c:order val="3"/>
          <c:tx>
            <c:v>G&amp;A</c:v>
          </c:tx>
          <c:spPr>
            <a:solidFill>
              <a:schemeClr val="accent6">
                <a:lumMod val="60000"/>
                <a:lumOff val="40000"/>
              </a:schemeClr>
            </a:solidFill>
            <a:ln w="25400">
              <a:noFill/>
            </a:ln>
          </c:spPr>
          <c:val>
            <c:numRef>
              <c:f>(Costs!$J$176:$U$176,Costs!$W$176:$AH$176)</c:f>
              <c:numCache>
                <c:formatCode>#,##0</c:formatCode>
                <c:ptCount val="24"/>
                <c:pt idx="0">
                  <c:v>244677.5</c:v>
                </c:pt>
                <c:pt idx="1">
                  <c:v>110783.3875</c:v>
                </c:pt>
                <c:pt idx="2">
                  <c:v>111932.7129375</c:v>
                </c:pt>
                <c:pt idx="3">
                  <c:v>98141.3311765625</c:v>
                </c:pt>
                <c:pt idx="4">
                  <c:v>99410.10555772657</c:v>
                </c:pt>
                <c:pt idx="5">
                  <c:v>160992.4710964777</c:v>
                </c:pt>
                <c:pt idx="6">
                  <c:v>140316.1632508062</c:v>
                </c:pt>
                <c:pt idx="7">
                  <c:v>179036.127587133</c:v>
                </c:pt>
                <c:pt idx="8">
                  <c:v>136082.9513882066</c:v>
                </c:pt>
                <c:pt idx="9">
                  <c:v>172660.3525146414</c:v>
                </c:pt>
                <c:pt idx="10">
                  <c:v>168924.739838459</c:v>
                </c:pt>
                <c:pt idx="11">
                  <c:v>227466.9715578808</c:v>
                </c:pt>
                <c:pt idx="12">
                  <c:v>189722.9723126575</c:v>
                </c:pt>
                <c:pt idx="13">
                  <c:v>237372.0387707855</c:v>
                </c:pt>
                <c:pt idx="14">
                  <c:v>195132.8137738904</c:v>
                </c:pt>
                <c:pt idx="15">
                  <c:v>228023.0437453477</c:v>
                </c:pt>
                <c:pt idx="16">
                  <c:v>305686.4448113028</c:v>
                </c:pt>
                <c:pt idx="17">
                  <c:v>260129.6857164706</c:v>
                </c:pt>
                <c:pt idx="18">
                  <c:v>278713.558875271</c:v>
                </c:pt>
                <c:pt idx="19">
                  <c:v>282720.2745753137</c:v>
                </c:pt>
                <c:pt idx="20">
                  <c:v>271918.8559078489</c:v>
                </c:pt>
                <c:pt idx="21">
                  <c:v>276320.3533057944</c:v>
                </c:pt>
                <c:pt idx="22">
                  <c:v>277202.6406815657</c:v>
                </c:pt>
                <c:pt idx="23">
                  <c:v>218538.4822055273</c:v>
                </c:pt>
              </c:numCache>
            </c:numRef>
          </c:val>
        </c:ser>
        <c:dLbls>
          <c:showLegendKey val="0"/>
          <c:showVal val="0"/>
          <c:showCatName val="0"/>
          <c:showSerName val="0"/>
          <c:showPercent val="0"/>
          <c:showBubbleSize val="0"/>
        </c:dLbls>
        <c:axId val="-2090749432"/>
        <c:axId val="-2090746248"/>
      </c:areaChart>
      <c:catAx>
        <c:axId val="-2090749432"/>
        <c:scaling>
          <c:orientation val="minMax"/>
        </c:scaling>
        <c:delete val="0"/>
        <c:axPos val="b"/>
        <c:numFmt formatCode="[$-409]mmm\-yy;@" sourceLinked="1"/>
        <c:majorTickMark val="out"/>
        <c:minorTickMark val="none"/>
        <c:tickLblPos val="low"/>
        <c:crossAx val="-2090746248"/>
        <c:crosses val="autoZero"/>
        <c:auto val="1"/>
        <c:lblAlgn val="ctr"/>
        <c:lblOffset val="100"/>
        <c:noMultiLvlLbl val="0"/>
      </c:catAx>
      <c:valAx>
        <c:axId val="-2090746248"/>
        <c:scaling>
          <c:orientation val="minMax"/>
        </c:scaling>
        <c:delete val="0"/>
        <c:axPos val="l"/>
        <c:majorGridlines/>
        <c:numFmt formatCode="[$$-409]#,##0" sourceLinked="0"/>
        <c:majorTickMark val="out"/>
        <c:minorTickMark val="none"/>
        <c:tickLblPos val="nextTo"/>
        <c:crossAx val="-2090749432"/>
        <c:crosses val="autoZero"/>
        <c:crossBetween val="midCat"/>
      </c:valAx>
    </c:plotArea>
    <c:legend>
      <c:legendPos val="b"/>
      <c:layout>
        <c:manualLayout>
          <c:xMode val="edge"/>
          <c:yMode val="edge"/>
          <c:x val="0.262011955963104"/>
          <c:y val="0.904561838402043"/>
          <c:w val="0.537310719792258"/>
          <c:h val="0.0546542272061175"/>
        </c:manualLayout>
      </c:layout>
      <c:overlay val="1"/>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New signups</a:t>
            </a:r>
            <a:r>
              <a:rPr lang="de-DE" sz="1200" baseline="0"/>
              <a:t> &amp; new customers</a:t>
            </a:r>
            <a:endParaRPr lang="de-DE" sz="1200"/>
          </a:p>
        </c:rich>
      </c:tx>
      <c:layout>
        <c:manualLayout>
          <c:xMode val="edge"/>
          <c:yMode val="edge"/>
          <c:x val="0.305961186921794"/>
          <c:y val="0.0372903743402472"/>
        </c:manualLayout>
      </c:layout>
      <c:overlay val="0"/>
    </c:title>
    <c:autoTitleDeleted val="0"/>
    <c:plotArea>
      <c:layout>
        <c:manualLayout>
          <c:layoutTarget val="inner"/>
          <c:xMode val="edge"/>
          <c:yMode val="edge"/>
          <c:x val="0.113418619708168"/>
          <c:y val="0.171986549264853"/>
          <c:w val="0.817474383955572"/>
          <c:h val="0.551686986707307"/>
        </c:manualLayout>
      </c:layout>
      <c:lineChart>
        <c:grouping val="standard"/>
        <c:varyColors val="0"/>
        <c:ser>
          <c:idx val="1"/>
          <c:order val="0"/>
          <c:tx>
            <c:v>New customers</c:v>
          </c:tx>
          <c:spPr>
            <a:ln w="28575" cmpd="sng">
              <a:solidFill>
                <a:schemeClr val="accent1">
                  <a:lumMod val="75000"/>
                </a:schemeClr>
              </a:solidFill>
            </a:ln>
          </c:spPr>
          <c:marker>
            <c:symbol val="none"/>
          </c:marker>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(Revenues!$I$102:$T$102,Revenues!$V$102:$AG$102)</c:f>
              <c:numCache>
                <c:formatCode>#,##0</c:formatCode>
                <c:ptCount val="24"/>
                <c:pt idx="0">
                  <c:v>76.0</c:v>
                </c:pt>
                <c:pt idx="1">
                  <c:v>90.0</c:v>
                </c:pt>
                <c:pt idx="2">
                  <c:v>104.0</c:v>
                </c:pt>
                <c:pt idx="3">
                  <c:v>120.0</c:v>
                </c:pt>
                <c:pt idx="4">
                  <c:v>137.0</c:v>
                </c:pt>
                <c:pt idx="5">
                  <c:v>157.0</c:v>
                </c:pt>
                <c:pt idx="6">
                  <c:v>175.0</c:v>
                </c:pt>
                <c:pt idx="7">
                  <c:v>198.0</c:v>
                </c:pt>
                <c:pt idx="8">
                  <c:v>223.0</c:v>
                </c:pt>
                <c:pt idx="9">
                  <c:v>248.0</c:v>
                </c:pt>
                <c:pt idx="10">
                  <c:v>277.0</c:v>
                </c:pt>
                <c:pt idx="11">
                  <c:v>308.0</c:v>
                </c:pt>
                <c:pt idx="12">
                  <c:v>341.0</c:v>
                </c:pt>
                <c:pt idx="13">
                  <c:v>375.0</c:v>
                </c:pt>
                <c:pt idx="14">
                  <c:v>408.0</c:v>
                </c:pt>
                <c:pt idx="15">
                  <c:v>444.0</c:v>
                </c:pt>
                <c:pt idx="16">
                  <c:v>483.0</c:v>
                </c:pt>
                <c:pt idx="17">
                  <c:v>526.0</c:v>
                </c:pt>
                <c:pt idx="18">
                  <c:v>571.0</c:v>
                </c:pt>
                <c:pt idx="19">
                  <c:v>620.0</c:v>
                </c:pt>
                <c:pt idx="20">
                  <c:v>674.0</c:v>
                </c:pt>
                <c:pt idx="21">
                  <c:v>730.0</c:v>
                </c:pt>
                <c:pt idx="22">
                  <c:v>791.0</c:v>
                </c:pt>
                <c:pt idx="23">
                  <c:v>858.0</c:v>
                </c:pt>
              </c:numCache>
            </c:numRef>
          </c:val>
          <c:smooth val="0"/>
        </c:ser>
        <c:ser>
          <c:idx val="2"/>
          <c:order val="1"/>
          <c:tx>
            <c:v>New signups</c:v>
          </c:tx>
          <c:spPr>
            <a:ln w="31750">
              <a:solidFill>
                <a:schemeClr val="accent3">
                  <a:lumMod val="75000"/>
                </a:schemeClr>
              </a:solidFill>
            </a:ln>
          </c:spPr>
          <c:marker>
            <c:symbol val="none"/>
          </c:marker>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(Revenues!$I$13:$T$13,Revenues!$V$13:$AG$13)</c:f>
              <c:numCache>
                <c:formatCode>#,##0</c:formatCode>
                <c:ptCount val="24"/>
                <c:pt idx="0">
                  <c:v>600.0</c:v>
                </c:pt>
                <c:pt idx="1">
                  <c:v>710.0</c:v>
                </c:pt>
                <c:pt idx="2">
                  <c:v>827.2</c:v>
                </c:pt>
                <c:pt idx="3">
                  <c:v>952.4640000000002</c:v>
                </c:pt>
                <c:pt idx="4">
                  <c:v>1086.75968</c:v>
                </c:pt>
                <c:pt idx="5">
                  <c:v>1231.1708416</c:v>
                </c:pt>
                <c:pt idx="6">
                  <c:v>1386.911342592</c:v>
                </c:pt>
                <c:pt idx="7">
                  <c:v>1555.340703703041</c:v>
                </c:pt>
                <c:pt idx="8">
                  <c:v>1737.981588147406</c:v>
                </c:pt>
                <c:pt idx="9">
                  <c:v>1936.539378725094</c:v>
                </c:pt>
                <c:pt idx="10">
                  <c:v>2152.924104172106</c:v>
                </c:pt>
                <c:pt idx="11">
                  <c:v>2389.274996672759</c:v>
                </c:pt>
                <c:pt idx="12">
                  <c:v>2595.809746373307</c:v>
                </c:pt>
                <c:pt idx="13">
                  <c:v>2816.432623546905</c:v>
                </c:pt>
                <c:pt idx="14">
                  <c:v>3052.411559666127</c:v>
                </c:pt>
                <c:pt idx="15">
                  <c:v>3305.128600036078</c:v>
                </c:pt>
                <c:pt idx="16">
                  <c:v>3576.090174039325</c:v>
                </c:pt>
                <c:pt idx="17">
                  <c:v>3866.938289702865</c:v>
                </c:pt>
                <c:pt idx="18">
                  <c:v>4179.462735776123</c:v>
                </c:pt>
                <c:pt idx="19">
                  <c:v>4515.614381995974</c:v>
                </c:pt>
                <c:pt idx="20">
                  <c:v>4877.519676375612</c:v>
                </c:pt>
                <c:pt idx="21">
                  <c:v>5267.496447249418</c:v>
                </c:pt>
                <c:pt idx="22">
                  <c:v>5688.071127501865</c:v>
                </c:pt>
                <c:pt idx="23">
                  <c:v>6141.997528977034</c:v>
                </c:pt>
              </c:numCache>
            </c:numRef>
          </c:val>
          <c:smooth val="0"/>
        </c:ser>
        <c:dLbls>
          <c:showLegendKey val="0"/>
          <c:showVal val="0"/>
          <c:showCatName val="0"/>
          <c:showSerName val="0"/>
          <c:showPercent val="0"/>
          <c:showBubbleSize val="0"/>
        </c:dLbls>
        <c:marker val="1"/>
        <c:smooth val="0"/>
        <c:axId val="-2089336584"/>
        <c:axId val="-2089333576"/>
      </c:lineChart>
      <c:dateAx>
        <c:axId val="-2089336584"/>
        <c:scaling>
          <c:orientation val="minMax"/>
        </c:scaling>
        <c:delete val="0"/>
        <c:axPos val="b"/>
        <c:numFmt formatCode="[$-409]mmm\-yy;@" sourceLinked="1"/>
        <c:majorTickMark val="out"/>
        <c:minorTickMark val="none"/>
        <c:tickLblPos val="low"/>
        <c:crossAx val="-2089333576"/>
        <c:crosses val="autoZero"/>
        <c:auto val="1"/>
        <c:lblOffset val="100"/>
        <c:baseTimeUnit val="months"/>
      </c:dateAx>
      <c:valAx>
        <c:axId val="-2089333576"/>
        <c:scaling>
          <c:orientation val="minMax"/>
        </c:scaling>
        <c:delete val="0"/>
        <c:axPos val="l"/>
        <c:majorGridlines/>
        <c:numFmt formatCode="#,##0" sourceLinked="1"/>
        <c:majorTickMark val="out"/>
        <c:minorTickMark val="none"/>
        <c:tickLblPos val="nextTo"/>
        <c:crossAx val="-2089336584"/>
        <c:crosses val="autoZero"/>
        <c:crossBetween val="between"/>
      </c:valAx>
    </c:plotArea>
    <c:legend>
      <c:legendPos val="b"/>
      <c:layout>
        <c:manualLayout>
          <c:xMode val="edge"/>
          <c:yMode val="edge"/>
          <c:x val="0.17367532500555"/>
          <c:y val="0.87300854493908"/>
          <c:w val="0.713380799175726"/>
          <c:h val="0.0987693498871576"/>
        </c:manualLayout>
      </c:layout>
      <c:overlay val="1"/>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MRR by pricing plan</a:t>
            </a:r>
          </a:p>
        </c:rich>
      </c:tx>
      <c:layout>
        <c:manualLayout>
          <c:xMode val="edge"/>
          <c:yMode val="edge"/>
          <c:x val="0.38023718714135"/>
          <c:y val="0.0372903743402472"/>
        </c:manualLayout>
      </c:layout>
      <c:overlay val="0"/>
    </c:title>
    <c:autoTitleDeleted val="0"/>
    <c:plotArea>
      <c:layout>
        <c:manualLayout>
          <c:layoutTarget val="inner"/>
          <c:xMode val="edge"/>
          <c:yMode val="edge"/>
          <c:x val="0.157822253674335"/>
          <c:y val="0.166249654648432"/>
          <c:w val="0.78411491489388"/>
          <c:h val="0.551686986707307"/>
        </c:manualLayout>
      </c:layout>
      <c:areaChart>
        <c:grouping val="stacked"/>
        <c:varyColors val="0"/>
        <c:ser>
          <c:idx val="0"/>
          <c:order val="0"/>
          <c:tx>
            <c:v>Basic</c:v>
          </c:tx>
          <c:spPr>
            <a:solidFill>
              <a:schemeClr val="accent4">
                <a:lumMod val="60000"/>
                <a:lumOff val="40000"/>
              </a:schemeClr>
            </a:solidFill>
          </c:spPr>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(Revenues!$I$40:$T$40,Revenues!$V$40:$AG$40)</c:f>
              <c:numCache>
                <c:formatCode>#,##0</c:formatCode>
                <c:ptCount val="24"/>
                <c:pt idx="0">
                  <c:v>8050.0</c:v>
                </c:pt>
                <c:pt idx="1">
                  <c:v>11607.75</c:v>
                </c:pt>
                <c:pt idx="2">
                  <c:v>15756.38999999999</c:v>
                </c:pt>
                <c:pt idx="3">
                  <c:v>20555.27128125</c:v>
                </c:pt>
                <c:pt idx="4">
                  <c:v>26013.83776593749</c:v>
                </c:pt>
                <c:pt idx="5">
                  <c:v>32192.8893482231</c:v>
                </c:pt>
                <c:pt idx="6">
                  <c:v>39154.34535696305</c:v>
                </c:pt>
                <c:pt idx="7">
                  <c:v>46961.25815126225</c:v>
                </c:pt>
                <c:pt idx="8">
                  <c:v>55729.86220220714</c:v>
                </c:pt>
                <c:pt idx="9">
                  <c:v>65526.29778343824</c:v>
                </c:pt>
                <c:pt idx="10">
                  <c:v>76470.44460596739</c:v>
                </c:pt>
                <c:pt idx="11">
                  <c:v>88578.79057197824</c:v>
                </c:pt>
                <c:pt idx="12">
                  <c:v>102080.3216107714</c:v>
                </c:pt>
                <c:pt idx="13">
                  <c:v>116781.6396911121</c:v>
                </c:pt>
                <c:pt idx="14">
                  <c:v>132806.9721893372</c:v>
                </c:pt>
                <c:pt idx="15">
                  <c:v>150228.9736197785</c:v>
                </c:pt>
                <c:pt idx="16">
                  <c:v>169175.7138293145</c:v>
                </c:pt>
                <c:pt idx="17">
                  <c:v>189723.1981757475</c:v>
                </c:pt>
                <c:pt idx="18">
                  <c:v>212112.8213821505</c:v>
                </c:pt>
                <c:pt idx="19">
                  <c:v>236425.6655462745</c:v>
                </c:pt>
                <c:pt idx="20">
                  <c:v>262744.1682550038</c:v>
                </c:pt>
                <c:pt idx="21">
                  <c:v>291263.180445559</c:v>
                </c:pt>
                <c:pt idx="22">
                  <c:v>322292.7584645094</c:v>
                </c:pt>
                <c:pt idx="23">
                  <c:v>355924.532317194</c:v>
                </c:pt>
              </c:numCache>
            </c:numRef>
          </c:val>
        </c:ser>
        <c:ser>
          <c:idx val="1"/>
          <c:order val="1"/>
          <c:tx>
            <c:v>Pro</c:v>
          </c:tx>
          <c:spPr>
            <a:solidFill>
              <a:schemeClr val="accent1">
                <a:lumMod val="60000"/>
                <a:lumOff val="40000"/>
              </a:schemeClr>
            </a:solidFill>
            <a:ln w="25400">
              <a:noFill/>
            </a:ln>
          </c:spPr>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(Revenues!$I$68:$T$68,Revenues!$V$68:$AG$68)</c:f>
              <c:numCache>
                <c:formatCode>#,##0</c:formatCode>
                <c:ptCount val="24"/>
                <c:pt idx="0">
                  <c:v>9500.0</c:v>
                </c:pt>
                <c:pt idx="1">
                  <c:v>1206</c:v>
                </c:pt>
                <c:pt idx="2">
                  <c:v>14897.86875</c:v>
                </c:pt>
                <c:pt idx="3">
                  <c:v>18271.35225</c:v>
                </c:pt>
                <c:pt idx="4">
                  <c:v>22188.27338859374</c:v>
                </c:pt>
                <c:pt idx="5">
                  <c:v>26656.53258133123</c:v>
                </c:pt>
                <c:pt idx="6">
                  <c:v>31168.91965916139</c:v>
                </c:pt>
                <c:pt idx="7">
                  <c:v>36761.29359139605</c:v>
                </c:pt>
                <c:pt idx="8">
                  <c:v>42929.1655619243</c:v>
                </c:pt>
                <c:pt idx="9">
                  <c:v>49680.75250939057</c:v>
                </c:pt>
                <c:pt idx="10">
                  <c:v>57024.35216321285</c:v>
                </c:pt>
                <c:pt idx="11">
                  <c:v>65760.64058563685</c:v>
                </c:pt>
                <c:pt idx="12">
                  <c:v>75379.1246423794</c:v>
                </c:pt>
                <c:pt idx="13">
                  <c:v>86159.13572459854</c:v>
                </c:pt>
                <c:pt idx="14">
                  <c:v>97849.30328847014</c:v>
                </c:pt>
                <c:pt idx="15">
                  <c:v>110731.9012871754</c:v>
                </c:pt>
                <c:pt idx="16">
                  <c:v>124553.1823967425</c:v>
                </c:pt>
                <c:pt idx="17">
                  <c:v>139870.5161536637</c:v>
                </c:pt>
                <c:pt idx="18">
                  <c:v>156158.3561232698</c:v>
                </c:pt>
                <c:pt idx="19">
                  <c:v>173979.8259599998</c:v>
                </c:pt>
                <c:pt idx="20">
                  <c:v>193632.9499019742</c:v>
                </c:pt>
                <c:pt idx="21">
                  <c:v>215143.8856703283</c:v>
                </c:pt>
                <c:pt idx="22">
                  <c:v>238260.0551668034</c:v>
                </c:pt>
                <c:pt idx="23">
                  <c:v>263845.1117933511</c:v>
                </c:pt>
              </c:numCache>
            </c:numRef>
          </c:val>
        </c:ser>
        <c:ser>
          <c:idx val="2"/>
          <c:order val="2"/>
          <c:tx>
            <c:v>Enterprise</c:v>
          </c:tx>
          <c:spPr>
            <a:solidFill>
              <a:srgbClr val="C3D69B"/>
            </a:solidFill>
            <a:ln w="25400">
              <a:noFill/>
            </a:ln>
          </c:spPr>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(Revenues!$I$94:$T$94,Revenues!$V$94:$AG$94)</c:f>
              <c:numCache>
                <c:formatCode>#,##0</c:formatCode>
                <c:ptCount val="24"/>
                <c:pt idx="0">
                  <c:v>161000.0</c:v>
                </c:pt>
                <c:pt idx="1">
                  <c:v>177000.0</c:v>
                </c:pt>
                <c:pt idx="2">
                  <c:v>193000.0</c:v>
                </c:pt>
                <c:pt idx="3">
                  <c:v>209000.0</c:v>
                </c:pt>
                <c:pt idx="4">
                  <c:v>225000.0</c:v>
                </c:pt>
                <c:pt idx="5">
                  <c:v>246000.0</c:v>
                </c:pt>
                <c:pt idx="6">
                  <c:v>267000.0</c:v>
                </c:pt>
                <c:pt idx="7">
                  <c:v>288000.0</c:v>
                </c:pt>
                <c:pt idx="8">
                  <c:v>314000.0</c:v>
                </c:pt>
                <c:pt idx="9">
                  <c:v>340000.0</c:v>
                </c:pt>
                <c:pt idx="10">
                  <c:v>370000.0</c:v>
                </c:pt>
                <c:pt idx="11">
                  <c:v>400000.0</c:v>
                </c:pt>
                <c:pt idx="12">
                  <c:v>422000.0</c:v>
                </c:pt>
                <c:pt idx="13">
                  <c:v>449500.0</c:v>
                </c:pt>
                <c:pt idx="14">
                  <c:v>477000.0</c:v>
                </c:pt>
                <c:pt idx="15">
                  <c:v>504500.0</c:v>
                </c:pt>
                <c:pt idx="16">
                  <c:v>532000.0</c:v>
                </c:pt>
                <c:pt idx="17">
                  <c:v>565000.0</c:v>
                </c:pt>
                <c:pt idx="18">
                  <c:v>598000.0</c:v>
                </c:pt>
                <c:pt idx="19">
                  <c:v>636000.0</c:v>
                </c:pt>
                <c:pt idx="20">
                  <c:v>674000.0</c:v>
                </c:pt>
                <c:pt idx="21">
                  <c:v>712000.0</c:v>
                </c:pt>
                <c:pt idx="22">
                  <c:v>754500.0</c:v>
                </c:pt>
                <c:pt idx="23">
                  <c:v>802000.0</c:v>
                </c:pt>
              </c:numCache>
            </c:numRef>
          </c:val>
        </c:ser>
        <c:dLbls>
          <c:showLegendKey val="0"/>
          <c:showVal val="0"/>
          <c:showCatName val="0"/>
          <c:showSerName val="0"/>
          <c:showPercent val="0"/>
          <c:showBubbleSize val="0"/>
        </c:dLbls>
        <c:axId val="-2097682328"/>
        <c:axId val="-2097512424"/>
      </c:areaChart>
      <c:dateAx>
        <c:axId val="-2097682328"/>
        <c:scaling>
          <c:orientation val="minMax"/>
        </c:scaling>
        <c:delete val="0"/>
        <c:axPos val="b"/>
        <c:numFmt formatCode="[$-409]mmm\-yy;@" sourceLinked="1"/>
        <c:majorTickMark val="out"/>
        <c:minorTickMark val="none"/>
        <c:tickLblPos val="low"/>
        <c:crossAx val="-2097512424"/>
        <c:crosses val="autoZero"/>
        <c:auto val="1"/>
        <c:lblOffset val="100"/>
        <c:baseTimeUnit val="months"/>
      </c:dateAx>
      <c:valAx>
        <c:axId val="-2097512424"/>
        <c:scaling>
          <c:orientation val="minMax"/>
        </c:scaling>
        <c:delete val="0"/>
        <c:axPos val="l"/>
        <c:majorGridlines/>
        <c:numFmt formatCode="[$$-409]#,##0" sourceLinked="0"/>
        <c:majorTickMark val="out"/>
        <c:minorTickMark val="none"/>
        <c:tickLblPos val="nextTo"/>
        <c:crossAx val="-2097682328"/>
        <c:crosses val="autoZero"/>
        <c:crossBetween val="midCat"/>
      </c:valAx>
    </c:plotArea>
    <c:legend>
      <c:legendPos val="b"/>
      <c:layout>
        <c:manualLayout>
          <c:xMode val="edge"/>
          <c:yMode val="edge"/>
          <c:x val="0.17367532500555"/>
          <c:y val="0.870140054605214"/>
          <c:w val="0.713380799175726"/>
          <c:h val="0.101637840221023"/>
        </c:manualLayout>
      </c:layout>
      <c:overlay val="1"/>
      <c:txPr>
        <a:bodyPr/>
        <a:lstStyle/>
        <a:p>
          <a:pPr>
            <a:defRPr sz="1000"/>
          </a:pPr>
          <a:endParaRPr lang="de-DE"/>
        </a:p>
      </c:txPr>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MRR movements</a:t>
            </a:r>
          </a:p>
        </c:rich>
      </c:tx>
      <c:layout>
        <c:manualLayout>
          <c:xMode val="edge"/>
          <c:yMode val="edge"/>
          <c:x val="0.398746314618564"/>
          <c:y val="0.0327126304883004"/>
        </c:manualLayout>
      </c:layout>
      <c:overlay val="0"/>
    </c:title>
    <c:autoTitleDeleted val="0"/>
    <c:plotArea>
      <c:layout>
        <c:manualLayout>
          <c:layoutTarget val="inner"/>
          <c:xMode val="edge"/>
          <c:yMode val="edge"/>
          <c:x val="0.148405128205128"/>
          <c:y val="0.166249654648432"/>
          <c:w val="0.790337606837607"/>
          <c:h val="0.522823410457246"/>
        </c:manualLayout>
      </c:layout>
      <c:barChart>
        <c:barDir val="col"/>
        <c:grouping val="stacked"/>
        <c:varyColors val="0"/>
        <c:ser>
          <c:idx val="2"/>
          <c:order val="0"/>
          <c:tx>
            <c:v>New MRR from new customers</c:v>
          </c:tx>
          <c:spPr>
            <a:solidFill>
              <a:srgbClr val="008000"/>
            </a:solidFill>
            <a:ln w="25400">
              <a:noFill/>
            </a:ln>
          </c:spPr>
          <c:invertIfNegative val="0"/>
          <c:val>
            <c:numRef>
              <c:f>(Revenues!$I$108:$T$108,Revenues!$V$108:$AG$108)</c:f>
              <c:numCache>
                <c:formatCode>#,##0_ ;\-#,##0\ </c:formatCode>
                <c:ptCount val="24"/>
                <c:pt idx="0">
                  <c:v>20650.0</c:v>
                </c:pt>
                <c:pt idx="1">
                  <c:v>26733.5</c:v>
                </c:pt>
                <c:pt idx="2">
                  <c:v>27676.19</c:v>
                </c:pt>
                <c:pt idx="3">
                  <c:v>28932.6611</c:v>
                </c:pt>
                <c:pt idx="4">
                  <c:v>30456.54263140625</c:v>
                </c:pt>
                <c:pt idx="5">
                  <c:v>36892.91453628624</c:v>
                </c:pt>
                <c:pt idx="6">
                  <c:v>33343.38874664925</c:v>
                </c:pt>
                <c:pt idx="7">
                  <c:v>35429.38801441693</c:v>
                </c:pt>
                <c:pt idx="8">
                  <c:v>42379.8076335548</c:v>
                </c:pt>
                <c:pt idx="9">
                  <c:v>44401.64124314094</c:v>
                </c:pt>
                <c:pt idx="10">
                  <c:v>46863.71474644841</c:v>
                </c:pt>
                <c:pt idx="11">
                  <c:v>49666.8426935682</c:v>
                </c:pt>
                <c:pt idx="12">
                  <c:v>47444.37143669727</c:v>
                </c:pt>
                <c:pt idx="13">
                  <c:v>55409.10672632887</c:v>
                </c:pt>
                <c:pt idx="14">
                  <c:v>53456.4193161673</c:v>
                </c:pt>
                <c:pt idx="15">
                  <c:v>56856.74962551238</c:v>
                </c:pt>
                <c:pt idx="16">
                  <c:v>60236.0932699042</c:v>
                </c:pt>
                <c:pt idx="17">
                  <c:v>69029.27920946064</c:v>
                </c:pt>
                <c:pt idx="18">
                  <c:v>68296.96268190793</c:v>
                </c:pt>
                <c:pt idx="19">
                  <c:v>77716.162115526</c:v>
                </c:pt>
                <c:pt idx="20">
                  <c:v>87675.5491291472</c:v>
                </c:pt>
                <c:pt idx="21">
                  <c:v>88127.3801308808</c:v>
                </c:pt>
                <c:pt idx="22">
                  <c:v>93855.48198497313</c:v>
                </c:pt>
                <c:pt idx="23">
                  <c:v>105143.9850803592</c:v>
                </c:pt>
              </c:numCache>
            </c:numRef>
          </c:val>
        </c:ser>
        <c:ser>
          <c:idx val="3"/>
          <c:order val="1"/>
          <c:tx>
            <c:v>Net Expansion MRR</c:v>
          </c:tx>
          <c:spPr>
            <a:solidFill>
              <a:schemeClr val="accent3"/>
            </a:solidFill>
          </c:spPr>
          <c:invertIfNegative val="0"/>
          <c:val>
            <c:numRef>
              <c:f>(Revenues!$I$109:$T$109,Revenues!$V$109:$AG$109)</c:f>
              <c:numCache>
                <c:formatCode>#,##0_ ;\-#,##0\ </c:formatCode>
                <c:ptCount val="24"/>
                <c:pt idx="0">
                  <c:v>800.0</c:v>
                </c:pt>
                <c:pt idx="1">
                  <c:v>884.249999999998</c:v>
                </c:pt>
                <c:pt idx="2">
                  <c:v>913.3187499999964</c:v>
                </c:pt>
                <c:pt idx="3">
                  <c:v>946.7211812499966</c:v>
                </c:pt>
                <c:pt idx="4">
                  <c:v>781.7588481249963</c:v>
                </c:pt>
                <c:pt idx="5">
                  <c:v>1029.584364518116</c:v>
                </c:pt>
                <c:pt idx="6">
                  <c:v>5617.068656956636</c:v>
                </c:pt>
                <c:pt idx="7">
                  <c:v>5670.021602616638</c:v>
                </c:pt>
                <c:pt idx="8">
                  <c:v>5731.280121493875</c:v>
                </c:pt>
                <c:pt idx="9">
                  <c:v>5592.04283878122</c:v>
                </c:pt>
                <c:pt idx="10">
                  <c:v>4457.1724094237</c:v>
                </c:pt>
                <c:pt idx="11">
                  <c:v>4541.440117397183</c:v>
                </c:pt>
                <c:pt idx="12">
                  <c:v>6637.128031467193</c:v>
                </c:pt>
                <c:pt idx="13">
                  <c:v>7243.604808434703</c:v>
                </c:pt>
                <c:pt idx="14">
                  <c:v>11880.6145103637</c:v>
                </c:pt>
                <c:pt idx="15">
                  <c:v>11791.99997264422</c:v>
                </c:pt>
                <c:pt idx="16">
                  <c:v>11713.56102224507</c:v>
                </c:pt>
                <c:pt idx="17">
                  <c:v>12362.88339526184</c:v>
                </c:pt>
                <c:pt idx="18">
                  <c:v>16816.27092360223</c:v>
                </c:pt>
                <c:pt idx="19">
                  <c:v>16771.24431863071</c:v>
                </c:pt>
                <c:pt idx="20">
                  <c:v>16960.24378893094</c:v>
                </c:pt>
                <c:pt idx="21">
                  <c:v>21669.70572506713</c:v>
                </c:pt>
                <c:pt idx="22">
                  <c:v>20948.74318306345</c:v>
                </c:pt>
                <c:pt idx="23">
                  <c:v>20968.88620286243</c:v>
                </c:pt>
              </c:numCache>
            </c:numRef>
          </c:val>
        </c:ser>
        <c:ser>
          <c:idx val="1"/>
          <c:order val="2"/>
          <c:tx>
            <c:v>Churn MRR</c:v>
          </c:tx>
          <c:spPr>
            <a:solidFill>
              <a:srgbClr val="FF0000"/>
            </a:solidFill>
            <a:ln w="28575"/>
            <a:effectLst/>
          </c:spPr>
          <c:invertIfNegative val="0"/>
          <c:val>
            <c:numRef>
              <c:f>(Revenues!$I$219:$T$219,Revenues!$V$219:$AG$219)</c:f>
              <c:numCache>
                <c:formatCode>#,##0</c:formatCode>
                <c:ptCount val="24"/>
                <c:pt idx="0">
                  <c:v>-5400.0</c:v>
                </c:pt>
                <c:pt idx="1">
                  <c:v>-5500.0</c:v>
                </c:pt>
                <c:pt idx="2">
                  <c:v>-5603.0</c:v>
                </c:pt>
                <c:pt idx="3">
                  <c:v>-5707.0175</c:v>
                </c:pt>
                <c:pt idx="4">
                  <c:v>-5862.81385625</c:v>
                </c:pt>
                <c:pt idx="5">
                  <c:v>-6275.18812578125</c:v>
                </c:pt>
                <c:pt idx="6">
                  <c:v>-6486.61431703578</c:v>
                </c:pt>
                <c:pt idx="7">
                  <c:v>-6700.12289049971</c:v>
                </c:pt>
                <c:pt idx="8">
                  <c:v>-7174.61173357554</c:v>
                </c:pt>
                <c:pt idx="9">
                  <c:v>-7445.661553224776</c:v>
                </c:pt>
                <c:pt idx="10">
                  <c:v>-3033.140679520686</c:v>
                </c:pt>
                <c:pt idx="11">
                  <c:v>-3363.648422530526</c:v>
                </c:pt>
                <c:pt idx="12">
                  <c:v>-8961.484372628723</c:v>
                </c:pt>
                <c:pt idx="13">
                  <c:v>-9671.382372203791</c:v>
                </c:pt>
                <c:pt idx="14">
                  <c:v>-10121.53376443434</c:v>
                </c:pt>
                <c:pt idx="15">
                  <c:v>-10844.15016900999</c:v>
                </c:pt>
                <c:pt idx="16">
                  <c:v>-11681.6329730461</c:v>
                </c:pt>
                <c:pt idx="17">
                  <c:v>-12527.34450136835</c:v>
                </c:pt>
                <c:pt idx="18">
                  <c:v>-13435.77042950111</c:v>
                </c:pt>
                <c:pt idx="19">
                  <c:v>-14353.09243330267</c:v>
                </c:pt>
                <c:pt idx="20">
                  <c:v>-20664.16626737439</c:v>
                </c:pt>
                <c:pt idx="21">
                  <c:v>-21767.13789703865</c:v>
                </c:pt>
                <c:pt idx="22">
                  <c:v>-18158.47765261104</c:v>
                </c:pt>
                <c:pt idx="23">
                  <c:v>-19396.04080398952</c:v>
                </c:pt>
              </c:numCache>
            </c:numRef>
          </c:val>
        </c:ser>
        <c:dLbls>
          <c:showLegendKey val="0"/>
          <c:showVal val="0"/>
          <c:showCatName val="0"/>
          <c:showSerName val="0"/>
          <c:showPercent val="0"/>
          <c:showBubbleSize val="0"/>
        </c:dLbls>
        <c:gapWidth val="150"/>
        <c:overlap val="100"/>
        <c:axId val="-2091713592"/>
        <c:axId val="-2091712184"/>
      </c:barChart>
      <c:lineChart>
        <c:grouping val="standard"/>
        <c:varyColors val="0"/>
        <c:ser>
          <c:idx val="4"/>
          <c:order val="3"/>
          <c:tx>
            <c:v>Net new MRR</c:v>
          </c:tx>
          <c:spPr>
            <a:ln w="31750">
              <a:solidFill>
                <a:schemeClr val="accent1"/>
              </a:solidFill>
            </a:ln>
          </c:spPr>
          <c:marker>
            <c:symbol val="none"/>
          </c:marker>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(Revenues!$I$111:$T$111,Revenues!$V$111:$AG$111)</c:f>
              <c:numCache>
                <c:formatCode>#,##0_ ;\-#,##0\ </c:formatCode>
                <c:ptCount val="24"/>
                <c:pt idx="0">
                  <c:v>16050.0</c:v>
                </c:pt>
                <c:pt idx="1">
                  <c:v>22117.75</c:v>
                </c:pt>
                <c:pt idx="2">
                  <c:v>22986.50875000001</c:v>
                </c:pt>
                <c:pt idx="3">
                  <c:v>24172.36478125001</c:v>
                </c:pt>
                <c:pt idx="4">
                  <c:v>25375.48762328122</c:v>
                </c:pt>
                <c:pt idx="5">
                  <c:v>31647.31077502313</c:v>
                </c:pt>
                <c:pt idx="6">
                  <c:v>32473.84308657015</c:v>
                </c:pt>
                <c:pt idx="7">
                  <c:v>34399.28672653384</c:v>
                </c:pt>
                <c:pt idx="8">
                  <c:v>40936.47602147312</c:v>
                </c:pt>
                <c:pt idx="9">
                  <c:v>42548.02252869739</c:v>
                </c:pt>
                <c:pt idx="10">
                  <c:v>48287.7464763514</c:v>
                </c:pt>
                <c:pt idx="11">
                  <c:v>50844.63438843487</c:v>
                </c:pt>
                <c:pt idx="12">
                  <c:v>45120.01509553578</c:v>
                </c:pt>
                <c:pt idx="13">
                  <c:v>52981.32916255982</c:v>
                </c:pt>
                <c:pt idx="14">
                  <c:v>55215.50006209663</c:v>
                </c:pt>
                <c:pt idx="15">
                  <c:v>57804.59942914662</c:v>
                </c:pt>
                <c:pt idx="16">
                  <c:v>60268.02131910308</c:v>
                </c:pt>
                <c:pt idx="17">
                  <c:v>68864.81810335407</c:v>
                </c:pt>
                <c:pt idx="18">
                  <c:v>71677.46317600913</c:v>
                </c:pt>
                <c:pt idx="19">
                  <c:v>80134.31400085415</c:v>
                </c:pt>
                <c:pt idx="20">
                  <c:v>83971.62665070407</c:v>
                </c:pt>
                <c:pt idx="21">
                  <c:v>88029.94795890921</c:v>
                </c:pt>
                <c:pt idx="22">
                  <c:v>96645.74751542555</c:v>
                </c:pt>
                <c:pt idx="23">
                  <c:v>106716.8304792321</c:v>
                </c:pt>
              </c:numCache>
            </c:numRef>
          </c:val>
          <c:smooth val="0"/>
        </c:ser>
        <c:dLbls>
          <c:showLegendKey val="0"/>
          <c:showVal val="0"/>
          <c:showCatName val="0"/>
          <c:showSerName val="0"/>
          <c:showPercent val="0"/>
          <c:showBubbleSize val="0"/>
        </c:dLbls>
        <c:marker val="1"/>
        <c:smooth val="0"/>
        <c:axId val="-2091713592"/>
        <c:axId val="-2091712184"/>
      </c:lineChart>
      <c:catAx>
        <c:axId val="-2091713592"/>
        <c:scaling>
          <c:orientation val="minMax"/>
        </c:scaling>
        <c:delete val="0"/>
        <c:axPos val="b"/>
        <c:numFmt formatCode="[$-409]mmm\-yy;@" sourceLinked="1"/>
        <c:majorTickMark val="out"/>
        <c:minorTickMark val="none"/>
        <c:tickLblPos val="low"/>
        <c:crossAx val="-2091712184"/>
        <c:crosses val="autoZero"/>
        <c:auto val="1"/>
        <c:lblAlgn val="ctr"/>
        <c:lblOffset val="100"/>
        <c:noMultiLvlLbl val="0"/>
      </c:catAx>
      <c:valAx>
        <c:axId val="-2091712184"/>
        <c:scaling>
          <c:orientation val="minMax"/>
        </c:scaling>
        <c:delete val="0"/>
        <c:axPos val="l"/>
        <c:majorGridlines/>
        <c:numFmt formatCode="[$$-409]#,##0" sourceLinked="0"/>
        <c:majorTickMark val="out"/>
        <c:minorTickMark val="none"/>
        <c:tickLblPos val="nextTo"/>
        <c:crossAx val="-2091713592"/>
        <c:crosses val="autoZero"/>
        <c:crossBetween val="between"/>
      </c:valAx>
    </c:plotArea>
    <c:legend>
      <c:legendPos val="b"/>
      <c:layout>
        <c:manualLayout>
          <c:xMode val="edge"/>
          <c:yMode val="edge"/>
          <c:x val="0.159128397057735"/>
          <c:y val="0.838719262485806"/>
          <c:w val="0.77197396514699"/>
          <c:h val="0.126644227221729"/>
        </c:manualLayout>
      </c:layout>
      <c:overlay val="1"/>
      <c:txPr>
        <a:bodyPr/>
        <a:lstStyle/>
        <a:p>
          <a:pPr>
            <a:defRPr sz="900"/>
          </a:pPr>
          <a:endParaRPr lang="de-DE"/>
        </a:p>
      </c:txPr>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MRR growth</a:t>
            </a:r>
          </a:p>
        </c:rich>
      </c:tx>
      <c:layout>
        <c:manualLayout>
          <c:xMode val="edge"/>
          <c:yMode val="edge"/>
          <c:x val="0.424490795094357"/>
          <c:y val="0.0299865779476087"/>
        </c:manualLayout>
      </c:layout>
      <c:overlay val="0"/>
    </c:title>
    <c:autoTitleDeleted val="0"/>
    <c:plotArea>
      <c:layout>
        <c:manualLayout>
          <c:layoutTarget val="inner"/>
          <c:xMode val="edge"/>
          <c:yMode val="edge"/>
          <c:x val="0.127204693555155"/>
          <c:y val="0.166249625675985"/>
          <c:w val="0.727641744625182"/>
          <c:h val="0.52827549701626"/>
        </c:manualLayout>
      </c:layout>
      <c:barChart>
        <c:barDir val="col"/>
        <c:grouping val="clustered"/>
        <c:varyColors val="0"/>
        <c:ser>
          <c:idx val="4"/>
          <c:order val="0"/>
          <c:tx>
            <c:v>Net new MRR</c:v>
          </c:tx>
          <c:spPr>
            <a:solidFill>
              <a:srgbClr val="008000"/>
            </a:solidFill>
            <a:ln w="31750">
              <a:noFill/>
            </a:ln>
          </c:spPr>
          <c:invertIfNegative val="0"/>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(Revenues!$I$111:$T$111,Revenues!$V$111:$AG$111)</c:f>
              <c:numCache>
                <c:formatCode>#,##0_ ;\-#,##0\ </c:formatCode>
                <c:ptCount val="24"/>
                <c:pt idx="0">
                  <c:v>16050.0</c:v>
                </c:pt>
                <c:pt idx="1">
                  <c:v>22117.75</c:v>
                </c:pt>
                <c:pt idx="2">
                  <c:v>22986.50875000001</c:v>
                </c:pt>
                <c:pt idx="3">
                  <c:v>24172.36478125001</c:v>
                </c:pt>
                <c:pt idx="4">
                  <c:v>25375.48762328122</c:v>
                </c:pt>
                <c:pt idx="5">
                  <c:v>31647.31077502313</c:v>
                </c:pt>
                <c:pt idx="6">
                  <c:v>32473.84308657015</c:v>
                </c:pt>
                <c:pt idx="7">
                  <c:v>34399.28672653384</c:v>
                </c:pt>
                <c:pt idx="8">
                  <c:v>40936.47602147312</c:v>
                </c:pt>
                <c:pt idx="9">
                  <c:v>42548.02252869739</c:v>
                </c:pt>
                <c:pt idx="10">
                  <c:v>48287.7464763514</c:v>
                </c:pt>
                <c:pt idx="11">
                  <c:v>50844.63438843487</c:v>
                </c:pt>
                <c:pt idx="12">
                  <c:v>45120.01509553578</c:v>
                </c:pt>
                <c:pt idx="13">
                  <c:v>52981.32916255982</c:v>
                </c:pt>
                <c:pt idx="14">
                  <c:v>55215.50006209663</c:v>
                </c:pt>
                <c:pt idx="15">
                  <c:v>57804.59942914662</c:v>
                </c:pt>
                <c:pt idx="16">
                  <c:v>60268.02131910308</c:v>
                </c:pt>
                <c:pt idx="17">
                  <c:v>68864.81810335407</c:v>
                </c:pt>
                <c:pt idx="18">
                  <c:v>71677.46317600913</c:v>
                </c:pt>
                <c:pt idx="19">
                  <c:v>80134.31400085415</c:v>
                </c:pt>
                <c:pt idx="20">
                  <c:v>83971.62665070407</c:v>
                </c:pt>
                <c:pt idx="21">
                  <c:v>88029.94795890921</c:v>
                </c:pt>
                <c:pt idx="22">
                  <c:v>96645.74751542555</c:v>
                </c:pt>
                <c:pt idx="23">
                  <c:v>106716.8304792321</c:v>
                </c:pt>
              </c:numCache>
            </c:numRef>
          </c:val>
        </c:ser>
        <c:dLbls>
          <c:showLegendKey val="0"/>
          <c:showVal val="0"/>
          <c:showCatName val="0"/>
          <c:showSerName val="0"/>
          <c:showPercent val="0"/>
          <c:showBubbleSize val="0"/>
        </c:dLbls>
        <c:gapWidth val="150"/>
        <c:axId val="-2089415208"/>
        <c:axId val="-2097563592"/>
      </c:barChart>
      <c:lineChart>
        <c:grouping val="standard"/>
        <c:varyColors val="0"/>
        <c:ser>
          <c:idx val="0"/>
          <c:order val="1"/>
          <c:tx>
            <c:v>m/m growth</c:v>
          </c:tx>
          <c:spPr>
            <a:ln w="31750">
              <a:solidFill>
                <a:srgbClr val="4F81BD"/>
              </a:solidFill>
            </a:ln>
          </c:spPr>
          <c:marker>
            <c:symbol val="none"/>
          </c:marker>
          <c:val>
            <c:numRef>
              <c:f>(Revenues!$I$113:$T$113,Revenues!$V$113:$AG$113)</c:f>
              <c:numCache>
                <c:formatCode>0.00%</c:formatCode>
                <c:ptCount val="24"/>
                <c:pt idx="0">
                  <c:v>0.0987692307692307</c:v>
                </c:pt>
                <c:pt idx="1">
                  <c:v>0.123874264911789</c:v>
                </c:pt>
                <c:pt idx="2">
                  <c:v>0.11455008963822</c:v>
                </c:pt>
                <c:pt idx="3">
                  <c:v>0.108079161632553</c:v>
                </c:pt>
                <c:pt idx="4">
                  <c:v>0.102392096788106</c:v>
                </c:pt>
                <c:pt idx="5">
                  <c:v>0.11583845615718</c:v>
                </c:pt>
                <c:pt idx="6">
                  <c:v>0.10652420752851</c:v>
                </c:pt>
                <c:pt idx="7">
                  <c:v>0.101977213830447</c:v>
                </c:pt>
                <c:pt idx="8">
                  <c:v>0.11012642582367</c:v>
                </c:pt>
                <c:pt idx="9">
                  <c:v>0.103106971291119</c:v>
                </c:pt>
                <c:pt idx="10">
                  <c:v>0.106078643653011</c:v>
                </c:pt>
                <c:pt idx="11">
                  <c:v>0.100983435607864</c:v>
                </c:pt>
                <c:pt idx="12">
                  <c:v>0.0813942010246547</c:v>
                </c:pt>
                <c:pt idx="13">
                  <c:v>0.0883818404959888</c:v>
                </c:pt>
                <c:pt idx="14">
                  <c:v>0.0846291374522314</c:v>
                </c:pt>
                <c:pt idx="15">
                  <c:v>0.0816845712137819</c:v>
                </c:pt>
                <c:pt idx="16">
                  <c:v>0.0787342936716773</c:v>
                </c:pt>
                <c:pt idx="17">
                  <c:v>0.0833988230496674</c:v>
                </c:pt>
                <c:pt idx="18">
                  <c:v>0.0801229228731377</c:v>
                </c:pt>
                <c:pt idx="19">
                  <c:v>0.0829314956984781</c:v>
                </c:pt>
                <c:pt idx="20">
                  <c:v>0.0802476930141382</c:v>
                </c:pt>
                <c:pt idx="21">
                  <c:v>0.0778766188247313</c:v>
                </c:pt>
                <c:pt idx="22">
                  <c:v>0.0793213944691891</c:v>
                </c:pt>
                <c:pt idx="23">
                  <c:v>0.0811502240617623</c:v>
                </c:pt>
              </c:numCache>
            </c:numRef>
          </c:val>
          <c:smooth val="0"/>
        </c:ser>
        <c:dLbls>
          <c:showLegendKey val="0"/>
          <c:showVal val="0"/>
          <c:showCatName val="0"/>
          <c:showSerName val="0"/>
          <c:showPercent val="0"/>
          <c:showBubbleSize val="0"/>
        </c:dLbls>
        <c:marker val="1"/>
        <c:smooth val="0"/>
        <c:axId val="-2097395224"/>
        <c:axId val="-2097398520"/>
      </c:lineChart>
      <c:dateAx>
        <c:axId val="-2089415208"/>
        <c:scaling>
          <c:orientation val="minMax"/>
        </c:scaling>
        <c:delete val="0"/>
        <c:axPos val="b"/>
        <c:numFmt formatCode="[$-409]mmm\-yy;@" sourceLinked="1"/>
        <c:majorTickMark val="out"/>
        <c:minorTickMark val="none"/>
        <c:tickLblPos val="low"/>
        <c:crossAx val="-2097563592"/>
        <c:crosses val="autoZero"/>
        <c:auto val="1"/>
        <c:lblOffset val="100"/>
        <c:baseTimeUnit val="months"/>
      </c:dateAx>
      <c:valAx>
        <c:axId val="-2097563592"/>
        <c:scaling>
          <c:orientation val="minMax"/>
        </c:scaling>
        <c:delete val="0"/>
        <c:axPos val="l"/>
        <c:majorGridlines/>
        <c:numFmt formatCode="[$$-409]#,##0" sourceLinked="0"/>
        <c:majorTickMark val="out"/>
        <c:minorTickMark val="none"/>
        <c:tickLblPos val="nextTo"/>
        <c:crossAx val="-2089415208"/>
        <c:crosses val="autoZero"/>
        <c:crossBetween val="between"/>
      </c:valAx>
      <c:valAx>
        <c:axId val="-2097398520"/>
        <c:scaling>
          <c:orientation val="minMax"/>
        </c:scaling>
        <c:delete val="0"/>
        <c:axPos val="r"/>
        <c:numFmt formatCode="0.00%" sourceLinked="1"/>
        <c:majorTickMark val="out"/>
        <c:minorTickMark val="none"/>
        <c:tickLblPos val="nextTo"/>
        <c:crossAx val="-2097395224"/>
        <c:crosses val="max"/>
        <c:crossBetween val="between"/>
      </c:valAx>
      <c:catAx>
        <c:axId val="-2097395224"/>
        <c:scaling>
          <c:orientation val="minMax"/>
        </c:scaling>
        <c:delete val="1"/>
        <c:axPos val="b"/>
        <c:majorTickMark val="out"/>
        <c:minorTickMark val="none"/>
        <c:tickLblPos val="nextTo"/>
        <c:crossAx val="-2097398520"/>
        <c:crosses val="autoZero"/>
        <c:auto val="1"/>
        <c:lblAlgn val="ctr"/>
        <c:lblOffset val="100"/>
        <c:noMultiLvlLbl val="0"/>
      </c:catAx>
    </c:plotArea>
    <c:legend>
      <c:legendPos val="b"/>
      <c:layout>
        <c:manualLayout>
          <c:xMode val="edge"/>
          <c:yMode val="edge"/>
          <c:x val="0.317827503748224"/>
          <c:y val="0.855075534193607"/>
          <c:w val="0.357515546546271"/>
          <c:h val="0.0489313552065779"/>
        </c:manualLayout>
      </c:layout>
      <c:overlay val="1"/>
      <c:txPr>
        <a:bodyPr/>
        <a:lstStyle/>
        <a:p>
          <a:pPr>
            <a:defRPr sz="900"/>
          </a:pPr>
          <a:endParaRPr lang="de-DE"/>
        </a:p>
      </c:txPr>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Enterprise customer</a:t>
            </a:r>
            <a:r>
              <a:rPr lang="de-DE" sz="1200" baseline="0"/>
              <a:t> wins/losses</a:t>
            </a:r>
            <a:endParaRPr lang="de-DE" sz="1200"/>
          </a:p>
        </c:rich>
      </c:tx>
      <c:layout>
        <c:manualLayout>
          <c:xMode val="edge"/>
          <c:yMode val="edge"/>
          <c:x val="0.310523181454219"/>
          <c:y val="0.0355789597539686"/>
        </c:manualLayout>
      </c:layout>
      <c:overlay val="0"/>
    </c:title>
    <c:autoTitleDeleted val="0"/>
    <c:plotArea>
      <c:layout>
        <c:manualLayout>
          <c:layoutTarget val="inner"/>
          <c:xMode val="edge"/>
          <c:yMode val="edge"/>
          <c:x val="0.111177177557088"/>
          <c:y val="0.166249654648432"/>
          <c:w val="0.827565496035756"/>
          <c:h val="0.561139242170312"/>
        </c:manualLayout>
      </c:layout>
      <c:barChart>
        <c:barDir val="col"/>
        <c:grouping val="stacked"/>
        <c:varyColors val="0"/>
        <c:ser>
          <c:idx val="2"/>
          <c:order val="0"/>
          <c:tx>
            <c:v>New Enterprise customers</c:v>
          </c:tx>
          <c:spPr>
            <a:solidFill>
              <a:srgbClr val="008000"/>
            </a:solidFill>
            <a:ln w="25400">
              <a:noFill/>
            </a:ln>
          </c:spPr>
          <c:invertIfNegative val="0"/>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(Revenues!$I$75:$T$75,Revenues!$V$75:$AG$75)</c:f>
              <c:numCache>
                <c:formatCode>#,##0</c:formatCode>
                <c:ptCount val="24"/>
                <c:pt idx="0">
                  <c:v>3.0</c:v>
                </c:pt>
                <c:pt idx="1">
                  <c:v>4.0</c:v>
                </c:pt>
                <c:pt idx="2">
                  <c:v>4.0</c:v>
                </c:pt>
                <c:pt idx="3">
                  <c:v>4.0</c:v>
                </c:pt>
                <c:pt idx="4">
                  <c:v>4.0</c:v>
                </c:pt>
                <c:pt idx="5">
                  <c:v>5.0</c:v>
                </c:pt>
                <c:pt idx="6">
                  <c:v>4.0</c:v>
                </c:pt>
                <c:pt idx="7">
                  <c:v>4.0</c:v>
                </c:pt>
                <c:pt idx="8">
                  <c:v>5.0</c:v>
                </c:pt>
                <c:pt idx="9">
                  <c:v>5.0</c:v>
                </c:pt>
                <c:pt idx="10">
                  <c:v>5.0</c:v>
                </c:pt>
                <c:pt idx="11">
                  <c:v>5.0</c:v>
                </c:pt>
                <c:pt idx="12" formatCode="General">
                  <c:v>4.0</c:v>
                </c:pt>
                <c:pt idx="13" formatCode="General">
                  <c:v>5.0</c:v>
                </c:pt>
                <c:pt idx="14" formatCode="General">
                  <c:v>4.0</c:v>
                </c:pt>
                <c:pt idx="15" formatCode="General">
                  <c:v>4.0</c:v>
                </c:pt>
                <c:pt idx="16" formatCode="General">
                  <c:v>4.0</c:v>
                </c:pt>
                <c:pt idx="17" formatCode="General">
                  <c:v>5.0</c:v>
                </c:pt>
                <c:pt idx="18" formatCode="General">
                  <c:v>4.0</c:v>
                </c:pt>
                <c:pt idx="19" formatCode="General">
                  <c:v>5.0</c:v>
                </c:pt>
                <c:pt idx="20" formatCode="General">
                  <c:v>6.0</c:v>
                </c:pt>
                <c:pt idx="21" formatCode="General">
                  <c:v>5.0</c:v>
                </c:pt>
                <c:pt idx="22" formatCode="General">
                  <c:v>5.0</c:v>
                </c:pt>
                <c:pt idx="23" formatCode="General">
                  <c:v>6.0</c:v>
                </c:pt>
              </c:numCache>
            </c:numRef>
          </c:val>
        </c:ser>
        <c:ser>
          <c:idx val="3"/>
          <c:order val="1"/>
          <c:tx>
            <c:v>Upgrades from Pro</c:v>
          </c:tx>
          <c:spPr>
            <a:solidFill>
              <a:schemeClr val="accent3"/>
            </a:solidFill>
          </c:spPr>
          <c:invertIfNegative val="0"/>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(Revenues!$I$76:$T$76,Revenues!$V$76:$AG$76)</c:f>
              <c:numCache>
                <c:formatCode>#,##0</c:formatCode>
                <c:ptCount val="24"/>
                <c:pt idx="0">
                  <c:v>0.0</c:v>
                </c:pt>
                <c:pt idx="1">
                  <c:v>0.0</c:v>
                </c:pt>
                <c:pt idx="2">
                  <c:v>0.0</c:v>
                </c:pt>
                <c:pt idx="3">
                  <c:v>0.0</c:v>
                </c:pt>
                <c:pt idx="4">
                  <c:v>0.0</c:v>
                </c:pt>
                <c:pt idx="5">
                  <c:v>0.0</c:v>
                </c:pt>
                <c:pt idx="6">
                  <c:v>1.0</c:v>
                </c:pt>
                <c:pt idx="7">
                  <c:v>1.0</c:v>
                </c:pt>
                <c:pt idx="8">
                  <c:v>1.0</c:v>
                </c:pt>
                <c:pt idx="9">
                  <c:v>1.0</c:v>
                </c:pt>
                <c:pt idx="10">
                  <c:v>1.0</c:v>
                </c:pt>
                <c:pt idx="11">
                  <c:v>1.0</c:v>
                </c:pt>
                <c:pt idx="12">
                  <c:v>1.0</c:v>
                </c:pt>
                <c:pt idx="13">
                  <c:v>1.0</c:v>
                </c:pt>
                <c:pt idx="14">
                  <c:v>2.0</c:v>
                </c:pt>
                <c:pt idx="15">
                  <c:v>2.0</c:v>
                </c:pt>
                <c:pt idx="16">
                  <c:v>2.0</c:v>
                </c:pt>
                <c:pt idx="17">
                  <c:v>2.0</c:v>
                </c:pt>
                <c:pt idx="18">
                  <c:v>3.0</c:v>
                </c:pt>
                <c:pt idx="19">
                  <c:v>3.0</c:v>
                </c:pt>
                <c:pt idx="20">
                  <c:v>3.0</c:v>
                </c:pt>
                <c:pt idx="21">
                  <c:v>4.0</c:v>
                </c:pt>
                <c:pt idx="22">
                  <c:v>4.0</c:v>
                </c:pt>
                <c:pt idx="23">
                  <c:v>4.0</c:v>
                </c:pt>
              </c:numCache>
            </c:numRef>
          </c:val>
        </c:ser>
        <c:ser>
          <c:idx val="1"/>
          <c:order val="2"/>
          <c:tx>
            <c:v>Lost customers</c:v>
          </c:tx>
          <c:spPr>
            <a:solidFill>
              <a:srgbClr val="FF0000"/>
            </a:solidFill>
            <a:ln w="28575"/>
            <a:effectLst/>
          </c:spPr>
          <c:invertIfNegative val="0"/>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(Revenues!$I$220:$T$220,Revenues!$V$220:$AG$220)</c:f>
              <c:numCache>
                <c:formatCode>#,##0_ ;\-#,##0\ </c:formatCode>
                <c:ptCount val="24"/>
                <c:pt idx="0">
                  <c:v>-1.0</c:v>
                </c:pt>
                <c:pt idx="1">
                  <c:v>-1.0</c:v>
                </c:pt>
                <c:pt idx="2">
                  <c:v>-1.0</c:v>
                </c:pt>
                <c:pt idx="3">
                  <c:v>-1.0</c:v>
                </c:pt>
                <c:pt idx="4">
                  <c:v>-1.0</c:v>
                </c:pt>
                <c:pt idx="5">
                  <c:v>-1.0</c:v>
                </c:pt>
                <c:pt idx="6">
                  <c:v>-1.0</c:v>
                </c:pt>
                <c:pt idx="7">
                  <c:v>-1.0</c:v>
                </c:pt>
                <c:pt idx="8">
                  <c:v>-1.0</c:v>
                </c:pt>
                <c:pt idx="9">
                  <c:v>-1.0</c:v>
                </c:pt>
                <c:pt idx="10">
                  <c:v>0.0</c:v>
                </c:pt>
                <c:pt idx="11">
                  <c:v>0.0</c:v>
                </c:pt>
                <c:pt idx="12">
                  <c:v>-1.0</c:v>
                </c:pt>
                <c:pt idx="13">
                  <c:v>-1.0</c:v>
                </c:pt>
                <c:pt idx="14">
                  <c:v>-1.0</c:v>
                </c:pt>
                <c:pt idx="15">
                  <c:v>-1.0</c:v>
                </c:pt>
                <c:pt idx="16">
                  <c:v>-1.0</c:v>
                </c:pt>
                <c:pt idx="17">
                  <c:v>-1.0</c:v>
                </c:pt>
                <c:pt idx="18">
                  <c:v>-1.0</c:v>
                </c:pt>
                <c:pt idx="19">
                  <c:v>-1.0</c:v>
                </c:pt>
                <c:pt idx="20">
                  <c:v>-2.0</c:v>
                </c:pt>
                <c:pt idx="21">
                  <c:v>-2.0</c:v>
                </c:pt>
                <c:pt idx="22">
                  <c:v>-1.0</c:v>
                </c:pt>
                <c:pt idx="23">
                  <c:v>-1.0</c:v>
                </c:pt>
              </c:numCache>
            </c:numRef>
          </c:val>
        </c:ser>
        <c:dLbls>
          <c:showLegendKey val="0"/>
          <c:showVal val="0"/>
          <c:showCatName val="0"/>
          <c:showSerName val="0"/>
          <c:showPercent val="0"/>
          <c:showBubbleSize val="0"/>
        </c:dLbls>
        <c:gapWidth val="150"/>
        <c:overlap val="100"/>
        <c:axId val="-2098066680"/>
        <c:axId val="-2098063672"/>
      </c:barChart>
      <c:dateAx>
        <c:axId val="-2098066680"/>
        <c:scaling>
          <c:orientation val="minMax"/>
        </c:scaling>
        <c:delete val="0"/>
        <c:axPos val="b"/>
        <c:numFmt formatCode="[$-409]mmm\-yy;@" sourceLinked="1"/>
        <c:majorTickMark val="out"/>
        <c:minorTickMark val="none"/>
        <c:tickLblPos val="low"/>
        <c:crossAx val="-2098063672"/>
        <c:crosses val="autoZero"/>
        <c:auto val="1"/>
        <c:lblOffset val="100"/>
        <c:baseTimeUnit val="months"/>
      </c:dateAx>
      <c:valAx>
        <c:axId val="-2098063672"/>
        <c:scaling>
          <c:orientation val="minMax"/>
        </c:scaling>
        <c:delete val="0"/>
        <c:axPos val="l"/>
        <c:majorGridlines/>
        <c:numFmt formatCode="#,##0" sourceLinked="1"/>
        <c:majorTickMark val="out"/>
        <c:minorTickMark val="none"/>
        <c:tickLblPos val="nextTo"/>
        <c:crossAx val="-2098066680"/>
        <c:crosses val="autoZero"/>
        <c:crossBetween val="between"/>
      </c:valAx>
    </c:plotArea>
    <c:legend>
      <c:legendPos val="b"/>
      <c:layout>
        <c:manualLayout>
          <c:xMode val="edge"/>
          <c:yMode val="edge"/>
          <c:x val="0.143453482039406"/>
          <c:y val="0.847328639282696"/>
          <c:w val="0.787648900209668"/>
          <c:h val="0.115025782630506"/>
        </c:manualLayout>
      </c:layout>
      <c:overlay val="1"/>
      <c:txPr>
        <a:bodyPr/>
        <a:lstStyle/>
        <a:p>
          <a:pPr>
            <a:defRPr sz="1000"/>
          </a:pPr>
          <a:endParaRPr lang="de-DE"/>
        </a:p>
      </c:txPr>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Customers by pricing plan</a:t>
            </a:r>
          </a:p>
        </c:rich>
      </c:tx>
      <c:layout>
        <c:manualLayout>
          <c:xMode val="edge"/>
          <c:yMode val="edge"/>
          <c:x val="0.345205229675208"/>
          <c:y val="0.0401588646741124"/>
        </c:manualLayout>
      </c:layout>
      <c:overlay val="0"/>
    </c:title>
    <c:autoTitleDeleted val="0"/>
    <c:plotArea>
      <c:layout>
        <c:manualLayout>
          <c:layoutTarget val="inner"/>
          <c:xMode val="edge"/>
          <c:yMode val="edge"/>
          <c:x val="0.113418619708168"/>
          <c:y val="0.171986549264853"/>
          <c:w val="0.817474383955572"/>
          <c:h val="0.551686986707307"/>
        </c:manualLayout>
      </c:layout>
      <c:areaChart>
        <c:grouping val="stacked"/>
        <c:varyColors val="0"/>
        <c:ser>
          <c:idx val="0"/>
          <c:order val="0"/>
          <c:tx>
            <c:v>Basic</c:v>
          </c:tx>
          <c:spPr>
            <a:solidFill>
              <a:schemeClr val="accent4">
                <a:lumMod val="60000"/>
                <a:lumOff val="40000"/>
              </a:schemeClr>
            </a:solidFill>
          </c:spPr>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(Revenues!$I$28:$T$28,Revenues!$V$28:$AG$28)</c:f>
              <c:numCache>
                <c:formatCode>#,##0</c:formatCode>
                <c:ptCount val="24"/>
                <c:pt idx="0">
                  <c:v>161.0</c:v>
                </c:pt>
                <c:pt idx="1">
                  <c:v>231.0</c:v>
                </c:pt>
                <c:pt idx="2">
                  <c:v>312.0</c:v>
                </c:pt>
                <c:pt idx="3">
                  <c:v>405.0</c:v>
                </c:pt>
                <c:pt idx="4">
                  <c:v>510.0</c:v>
                </c:pt>
                <c:pt idx="5">
                  <c:v>628.0</c:v>
                </c:pt>
                <c:pt idx="6">
                  <c:v>760.0</c:v>
                </c:pt>
                <c:pt idx="7">
                  <c:v>907.0</c:v>
                </c:pt>
                <c:pt idx="8">
                  <c:v>1071.0</c:v>
                </c:pt>
                <c:pt idx="9">
                  <c:v>1253.0</c:v>
                </c:pt>
                <c:pt idx="10">
                  <c:v>1455.0</c:v>
                </c:pt>
                <c:pt idx="11">
                  <c:v>1677.0</c:v>
                </c:pt>
                <c:pt idx="12">
                  <c:v>1923.0</c:v>
                </c:pt>
                <c:pt idx="13">
                  <c:v>2189.0</c:v>
                </c:pt>
                <c:pt idx="14">
                  <c:v>2477.0</c:v>
                </c:pt>
                <c:pt idx="15">
                  <c:v>2788.0</c:v>
                </c:pt>
                <c:pt idx="16">
                  <c:v>3124.0</c:v>
                </c:pt>
                <c:pt idx="17">
                  <c:v>3486.0</c:v>
                </c:pt>
                <c:pt idx="18">
                  <c:v>3878.0</c:v>
                </c:pt>
                <c:pt idx="19">
                  <c:v>4301.0</c:v>
                </c:pt>
                <c:pt idx="20">
                  <c:v>4756.0</c:v>
                </c:pt>
                <c:pt idx="21">
                  <c:v>5246.0</c:v>
                </c:pt>
                <c:pt idx="22">
                  <c:v>5776.0</c:v>
                </c:pt>
                <c:pt idx="23">
                  <c:v>6347.0</c:v>
                </c:pt>
              </c:numCache>
            </c:numRef>
          </c:val>
        </c:ser>
        <c:ser>
          <c:idx val="1"/>
          <c:order val="1"/>
          <c:tx>
            <c:v>Pro</c:v>
          </c:tx>
          <c:spPr>
            <a:solidFill>
              <a:schemeClr val="accent1">
                <a:lumMod val="60000"/>
                <a:lumOff val="40000"/>
              </a:schemeClr>
            </a:solidFill>
            <a:ln w="25400">
              <a:noFill/>
            </a:ln>
          </c:spPr>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(Revenues!$I$55:$T$55,Revenues!$V$55:$AG$55)</c:f>
              <c:numCache>
                <c:formatCode>#,##0</c:formatCode>
                <c:ptCount val="24"/>
                <c:pt idx="0">
                  <c:v>38.0</c:v>
                </c:pt>
                <c:pt idx="1">
                  <c:v>48.0</c:v>
                </c:pt>
                <c:pt idx="2">
                  <c:v>59.0</c:v>
                </c:pt>
                <c:pt idx="3">
                  <c:v>72.0</c:v>
                </c:pt>
                <c:pt idx="4">
                  <c:v>87.0</c:v>
                </c:pt>
                <c:pt idx="5">
                  <c:v>104.0</c:v>
                </c:pt>
                <c:pt idx="6">
                  <c:v>121.0</c:v>
                </c:pt>
                <c:pt idx="7">
                  <c:v>142.0</c:v>
                </c:pt>
                <c:pt idx="8">
                  <c:v>165.0</c:v>
                </c:pt>
                <c:pt idx="9">
                  <c:v>190.0</c:v>
                </c:pt>
                <c:pt idx="10">
                  <c:v>217.0</c:v>
                </c:pt>
                <c:pt idx="11">
                  <c:v>249.0</c:v>
                </c:pt>
                <c:pt idx="12">
                  <c:v>284.0</c:v>
                </c:pt>
                <c:pt idx="13">
                  <c:v>323.0</c:v>
                </c:pt>
                <c:pt idx="14">
                  <c:v>365.0</c:v>
                </c:pt>
                <c:pt idx="15">
                  <c:v>411.0</c:v>
                </c:pt>
                <c:pt idx="16">
                  <c:v>460.0</c:v>
                </c:pt>
                <c:pt idx="17">
                  <c:v>514.0</c:v>
                </c:pt>
                <c:pt idx="18">
                  <c:v>571.0</c:v>
                </c:pt>
                <c:pt idx="19">
                  <c:v>633.0</c:v>
                </c:pt>
                <c:pt idx="20">
                  <c:v>701.0</c:v>
                </c:pt>
                <c:pt idx="21">
                  <c:v>775.0</c:v>
                </c:pt>
                <c:pt idx="22">
                  <c:v>854.0</c:v>
                </c:pt>
                <c:pt idx="23">
                  <c:v>941.0</c:v>
                </c:pt>
              </c:numCache>
            </c:numRef>
          </c:val>
        </c:ser>
        <c:ser>
          <c:idx val="2"/>
          <c:order val="2"/>
          <c:tx>
            <c:v>Enterprise</c:v>
          </c:tx>
          <c:spPr>
            <a:solidFill>
              <a:schemeClr val="accent3">
                <a:lumMod val="60000"/>
                <a:lumOff val="40000"/>
              </a:schemeClr>
            </a:solidFill>
            <a:ln w="25400">
              <a:noFill/>
            </a:ln>
          </c:spPr>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(Revenues!$I$80:$T$80,Revenues!$V$80:$AG$80)</c:f>
              <c:numCache>
                <c:formatCode>#,##0</c:formatCode>
                <c:ptCount val="24"/>
                <c:pt idx="0">
                  <c:v>32.0</c:v>
                </c:pt>
                <c:pt idx="1">
                  <c:v>35.0</c:v>
                </c:pt>
                <c:pt idx="2">
                  <c:v>38.0</c:v>
                </c:pt>
                <c:pt idx="3">
                  <c:v>41.0</c:v>
                </c:pt>
                <c:pt idx="4">
                  <c:v>44.0</c:v>
                </c:pt>
                <c:pt idx="5">
                  <c:v>48.0</c:v>
                </c:pt>
                <c:pt idx="6">
                  <c:v>52.0</c:v>
                </c:pt>
                <c:pt idx="7">
                  <c:v>56.0</c:v>
                </c:pt>
                <c:pt idx="8">
                  <c:v>61.0</c:v>
                </c:pt>
                <c:pt idx="9">
                  <c:v>66.0</c:v>
                </c:pt>
                <c:pt idx="10">
                  <c:v>72.0</c:v>
                </c:pt>
                <c:pt idx="11">
                  <c:v>78.0</c:v>
                </c:pt>
                <c:pt idx="12">
                  <c:v>82.0</c:v>
                </c:pt>
                <c:pt idx="13">
                  <c:v>87.0</c:v>
                </c:pt>
                <c:pt idx="14">
                  <c:v>92.0</c:v>
                </c:pt>
                <c:pt idx="15">
                  <c:v>97.0</c:v>
                </c:pt>
                <c:pt idx="16">
                  <c:v>102.0</c:v>
                </c:pt>
                <c:pt idx="17">
                  <c:v>108.0</c:v>
                </c:pt>
                <c:pt idx="18">
                  <c:v>114.0</c:v>
                </c:pt>
                <c:pt idx="19">
                  <c:v>121.0</c:v>
                </c:pt>
                <c:pt idx="20">
                  <c:v>128.0</c:v>
                </c:pt>
                <c:pt idx="21">
                  <c:v>135.0</c:v>
                </c:pt>
                <c:pt idx="22">
                  <c:v>143.0</c:v>
                </c:pt>
                <c:pt idx="23">
                  <c:v>152.0</c:v>
                </c:pt>
              </c:numCache>
            </c:numRef>
          </c:val>
        </c:ser>
        <c:dLbls>
          <c:showLegendKey val="0"/>
          <c:showVal val="0"/>
          <c:showCatName val="0"/>
          <c:showSerName val="0"/>
          <c:showPercent val="0"/>
          <c:showBubbleSize val="0"/>
        </c:dLbls>
        <c:axId val="-2134932520"/>
        <c:axId val="-2090769832"/>
      </c:areaChart>
      <c:dateAx>
        <c:axId val="-2134932520"/>
        <c:scaling>
          <c:orientation val="minMax"/>
        </c:scaling>
        <c:delete val="0"/>
        <c:axPos val="b"/>
        <c:numFmt formatCode="[$-409]mmm\-yy;@" sourceLinked="1"/>
        <c:majorTickMark val="out"/>
        <c:minorTickMark val="none"/>
        <c:tickLblPos val="low"/>
        <c:crossAx val="-2090769832"/>
        <c:crosses val="autoZero"/>
        <c:auto val="1"/>
        <c:lblOffset val="100"/>
        <c:baseTimeUnit val="months"/>
      </c:dateAx>
      <c:valAx>
        <c:axId val="-2090769832"/>
        <c:scaling>
          <c:orientation val="minMax"/>
        </c:scaling>
        <c:delete val="0"/>
        <c:axPos val="l"/>
        <c:majorGridlines/>
        <c:numFmt formatCode="#,##0" sourceLinked="1"/>
        <c:majorTickMark val="out"/>
        <c:minorTickMark val="none"/>
        <c:tickLblPos val="nextTo"/>
        <c:crossAx val="-2134932520"/>
        <c:crosses val="autoZero"/>
        <c:crossBetween val="midCat"/>
      </c:valAx>
    </c:plotArea>
    <c:legend>
      <c:legendPos val="b"/>
      <c:layout>
        <c:manualLayout>
          <c:xMode val="edge"/>
          <c:yMode val="edge"/>
          <c:x val="0.17367532500555"/>
          <c:y val="0.87300854493908"/>
          <c:w val="0.713380799175726"/>
          <c:h val="0.0987693498871576"/>
        </c:manualLayout>
      </c:layout>
      <c:overlay val="1"/>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Monthly</a:t>
            </a:r>
            <a:r>
              <a:rPr lang="de-DE" sz="1200" baseline="0"/>
              <a:t> costs by </a:t>
            </a:r>
            <a:r>
              <a:rPr lang="de-DE" sz="1200"/>
              <a:t>category</a:t>
            </a:r>
          </a:p>
        </c:rich>
      </c:tx>
      <c:overlay val="0"/>
    </c:title>
    <c:autoTitleDeleted val="0"/>
    <c:plotArea>
      <c:layout>
        <c:manualLayout>
          <c:layoutTarget val="inner"/>
          <c:xMode val="edge"/>
          <c:yMode val="edge"/>
          <c:x val="0.163597927712487"/>
          <c:y val="0.194934515964733"/>
          <c:w val="0.78411491489388"/>
          <c:h val="0.551686986707307"/>
        </c:manualLayout>
      </c:layout>
      <c:areaChart>
        <c:grouping val="stacked"/>
        <c:varyColors val="0"/>
        <c:ser>
          <c:idx val="0"/>
          <c:order val="0"/>
          <c:tx>
            <c:v>Salaries</c:v>
          </c:tx>
          <c:spPr>
            <a:solidFill>
              <a:schemeClr val="accent4">
                <a:lumMod val="60000"/>
                <a:lumOff val="40000"/>
              </a:schemeClr>
            </a:solidFill>
          </c:spPr>
          <c:cat>
            <c:strRef>
              <c:f>(Costs!$J$2:$U$3,Costs!$W$2:$AH$2)</c:f>
              <c:strCache>
                <c:ptCount val="24"/>
                <c:pt idx="0">
                  <c:v>Jan-16</c:v>
                </c:pt>
                <c:pt idx="1">
                  <c:v>Feb-16</c:v>
                </c:pt>
                <c:pt idx="2">
                  <c:v>Mar-16</c:v>
                </c:pt>
                <c:pt idx="3">
                  <c:v>Apr-16</c:v>
                </c:pt>
                <c:pt idx="4">
                  <c:v>May-16</c:v>
                </c:pt>
                <c:pt idx="5">
                  <c:v>Jun-16</c:v>
                </c:pt>
                <c:pt idx="6">
                  <c:v>Jul-16</c:v>
                </c:pt>
                <c:pt idx="7">
                  <c:v>Aug-16</c:v>
                </c:pt>
                <c:pt idx="8">
                  <c:v>Sep-16</c:v>
                </c:pt>
                <c:pt idx="9">
                  <c:v>Oct-16</c:v>
                </c:pt>
                <c:pt idx="10">
                  <c:v>Nov-16</c:v>
                </c:pt>
                <c:pt idx="11">
                  <c:v>Dec-16</c:v>
                </c:pt>
                <c:pt idx="12">
                  <c:v>Jan-17</c:v>
                </c:pt>
                <c:pt idx="13">
                  <c:v>Feb-17</c:v>
                </c:pt>
                <c:pt idx="14">
                  <c:v>Mar-17</c:v>
                </c:pt>
                <c:pt idx="15">
                  <c:v>Apr-17</c:v>
                </c:pt>
                <c:pt idx="16">
                  <c:v>May-17</c:v>
                </c:pt>
                <c:pt idx="17">
                  <c:v>Jun-17</c:v>
                </c:pt>
                <c:pt idx="18">
                  <c:v>Jul-17</c:v>
                </c:pt>
                <c:pt idx="19">
                  <c:v>Aug-17</c:v>
                </c:pt>
                <c:pt idx="20">
                  <c:v>Sep-17</c:v>
                </c:pt>
                <c:pt idx="21">
                  <c:v>Oct-17</c:v>
                </c:pt>
                <c:pt idx="22">
                  <c:v>Nov-17</c:v>
                </c:pt>
                <c:pt idx="23">
                  <c:v>Dec-17</c:v>
                </c:pt>
              </c:strCache>
            </c:strRef>
          </c:cat>
          <c:val>
            <c:numRef>
              <c:f>(Costs!$J$85:$U$85,Costs!$W$85:$AH$85)</c:f>
              <c:numCache>
                <c:formatCode>#,##0</c:formatCode>
                <c:ptCount val="24"/>
                <c:pt idx="0">
                  <c:v>182600.0</c:v>
                </c:pt>
                <c:pt idx="1">
                  <c:v>301800.0</c:v>
                </c:pt>
                <c:pt idx="2">
                  <c:v>333000.0</c:v>
                </c:pt>
                <c:pt idx="3">
                  <c:v>352200.0</c:v>
                </c:pt>
                <c:pt idx="4">
                  <c:v>376800.0</c:v>
                </c:pt>
                <c:pt idx="5">
                  <c:v>388800.0</c:v>
                </c:pt>
                <c:pt idx="6">
                  <c:v>453000.0</c:v>
                </c:pt>
                <c:pt idx="7">
                  <c:v>466200.0</c:v>
                </c:pt>
                <c:pt idx="8">
                  <c:v>512400.0</c:v>
                </c:pt>
                <c:pt idx="9">
                  <c:v>530400.0</c:v>
                </c:pt>
                <c:pt idx="10">
                  <c:v>548400.0</c:v>
                </c:pt>
                <c:pt idx="11">
                  <c:v>559800.0</c:v>
                </c:pt>
                <c:pt idx="12">
                  <c:v>607200.0</c:v>
                </c:pt>
                <c:pt idx="13">
                  <c:v>621600.0</c:v>
                </c:pt>
                <c:pt idx="14">
                  <c:v>652200.0</c:v>
                </c:pt>
                <c:pt idx="15">
                  <c:v>665400.0</c:v>
                </c:pt>
                <c:pt idx="16">
                  <c:v>690000.0</c:v>
                </c:pt>
                <c:pt idx="17">
                  <c:v>748400.0</c:v>
                </c:pt>
                <c:pt idx="18">
                  <c:v>780800.0</c:v>
                </c:pt>
                <c:pt idx="19">
                  <c:v>832400.0</c:v>
                </c:pt>
                <c:pt idx="20">
                  <c:v>875800.0</c:v>
                </c:pt>
                <c:pt idx="21">
                  <c:v>907000.0</c:v>
                </c:pt>
                <c:pt idx="22">
                  <c:v>934600.0</c:v>
                </c:pt>
                <c:pt idx="23">
                  <c:v>957400.0</c:v>
                </c:pt>
              </c:numCache>
            </c:numRef>
          </c:val>
        </c:ser>
        <c:ser>
          <c:idx val="1"/>
          <c:order val="1"/>
          <c:tx>
            <c:v>Staff related</c:v>
          </c:tx>
          <c:spPr>
            <a:solidFill>
              <a:schemeClr val="accent1">
                <a:lumMod val="60000"/>
                <a:lumOff val="40000"/>
              </a:schemeClr>
            </a:solidFill>
            <a:ln w="25400">
              <a:noFill/>
            </a:ln>
          </c:spPr>
          <c:cat>
            <c:strRef>
              <c:f>(Costs!$J$2:$U$3,Costs!$W$2:$AH$2)</c:f>
              <c:strCache>
                <c:ptCount val="24"/>
                <c:pt idx="0">
                  <c:v>Jan-16</c:v>
                </c:pt>
                <c:pt idx="1">
                  <c:v>Feb-16</c:v>
                </c:pt>
                <c:pt idx="2">
                  <c:v>Mar-16</c:v>
                </c:pt>
                <c:pt idx="3">
                  <c:v>Apr-16</c:v>
                </c:pt>
                <c:pt idx="4">
                  <c:v>May-16</c:v>
                </c:pt>
                <c:pt idx="5">
                  <c:v>Jun-16</c:v>
                </c:pt>
                <c:pt idx="6">
                  <c:v>Jul-16</c:v>
                </c:pt>
                <c:pt idx="7">
                  <c:v>Aug-16</c:v>
                </c:pt>
                <c:pt idx="8">
                  <c:v>Sep-16</c:v>
                </c:pt>
                <c:pt idx="9">
                  <c:v>Oct-16</c:v>
                </c:pt>
                <c:pt idx="10">
                  <c:v>Nov-16</c:v>
                </c:pt>
                <c:pt idx="11">
                  <c:v>Dec-16</c:v>
                </c:pt>
                <c:pt idx="12">
                  <c:v>Jan-17</c:v>
                </c:pt>
                <c:pt idx="13">
                  <c:v>Feb-17</c:v>
                </c:pt>
                <c:pt idx="14">
                  <c:v>Mar-17</c:v>
                </c:pt>
                <c:pt idx="15">
                  <c:v>Apr-17</c:v>
                </c:pt>
                <c:pt idx="16">
                  <c:v>May-17</c:v>
                </c:pt>
                <c:pt idx="17">
                  <c:v>Jun-17</c:v>
                </c:pt>
                <c:pt idx="18">
                  <c:v>Jul-17</c:v>
                </c:pt>
                <c:pt idx="19">
                  <c:v>Aug-17</c:v>
                </c:pt>
                <c:pt idx="20">
                  <c:v>Sep-17</c:v>
                </c:pt>
                <c:pt idx="21">
                  <c:v>Oct-17</c:v>
                </c:pt>
                <c:pt idx="22">
                  <c:v>Nov-17</c:v>
                </c:pt>
                <c:pt idx="23">
                  <c:v>Dec-17</c:v>
                </c:pt>
              </c:strCache>
            </c:strRef>
          </c:cat>
          <c:val>
            <c:numRef>
              <c:f>(Costs!$J$117:$U$117,Costs!$W$117:$AH$117)</c:f>
              <c:numCache>
                <c:formatCode>#,##0</c:formatCode>
                <c:ptCount val="24"/>
                <c:pt idx="0">
                  <c:v>24750.0</c:v>
                </c:pt>
                <c:pt idx="1">
                  <c:v>87250.0</c:v>
                </c:pt>
                <c:pt idx="2">
                  <c:v>54000.0</c:v>
                </c:pt>
                <c:pt idx="3">
                  <c:v>56250.0</c:v>
                </c:pt>
                <c:pt idx="4">
                  <c:v>54250.0</c:v>
                </c:pt>
                <c:pt idx="5">
                  <c:v>56250.0</c:v>
                </c:pt>
                <c:pt idx="6">
                  <c:v>79750.0</c:v>
                </c:pt>
                <c:pt idx="7">
                  <c:v>65250.0</c:v>
                </c:pt>
                <c:pt idx="8">
                  <c:v>81000.0</c:v>
                </c:pt>
                <c:pt idx="9">
                  <c:v>72000.0</c:v>
                </c:pt>
                <c:pt idx="10">
                  <c:v>79750.0</c:v>
                </c:pt>
                <c:pt idx="11">
                  <c:v>77250.0</c:v>
                </c:pt>
                <c:pt idx="12">
                  <c:v>97750.0</c:v>
                </c:pt>
                <c:pt idx="13">
                  <c:v>83750.0</c:v>
                </c:pt>
                <c:pt idx="14">
                  <c:v>100000.0</c:v>
                </c:pt>
                <c:pt idx="15">
                  <c:v>89500.0</c:v>
                </c:pt>
                <c:pt idx="16">
                  <c:v>102000.0</c:v>
                </c:pt>
                <c:pt idx="17">
                  <c:v>126000.0</c:v>
                </c:pt>
                <c:pt idx="18">
                  <c:v>117750.0</c:v>
                </c:pt>
                <c:pt idx="19">
                  <c:v>127750.0</c:v>
                </c:pt>
                <c:pt idx="20">
                  <c:v>133750.0</c:v>
                </c:pt>
                <c:pt idx="21">
                  <c:v>134000.0</c:v>
                </c:pt>
                <c:pt idx="22">
                  <c:v>139250.0</c:v>
                </c:pt>
                <c:pt idx="23">
                  <c:v>138250.0</c:v>
                </c:pt>
              </c:numCache>
            </c:numRef>
          </c:val>
        </c:ser>
        <c:ser>
          <c:idx val="2"/>
          <c:order val="2"/>
          <c:tx>
            <c:v>Various</c:v>
          </c:tx>
          <c:spPr>
            <a:solidFill>
              <a:schemeClr val="accent3">
                <a:lumMod val="60000"/>
                <a:lumOff val="40000"/>
              </a:schemeClr>
            </a:solidFill>
            <a:ln w="25400">
              <a:noFill/>
            </a:ln>
          </c:spPr>
          <c:val>
            <c:numRef>
              <c:f>(Costs!$J$127:$U$127,Costs!$W$127:$AH$127)</c:f>
              <c:numCache>
                <c:formatCode>#,##0</c:formatCode>
                <c:ptCount val="24"/>
                <c:pt idx="0">
                  <c:v>251369.25</c:v>
                </c:pt>
                <c:pt idx="1">
                  <c:v>130015.14625</c:v>
                </c:pt>
                <c:pt idx="2">
                  <c:v>142878.32493125</c:v>
                </c:pt>
                <c:pt idx="3">
                  <c:v>140901.5941767188</c:v>
                </c:pt>
                <c:pt idx="4">
                  <c:v>154087.2850058617</c:v>
                </c:pt>
                <c:pt idx="5">
                  <c:v>228944.6719604898</c:v>
                </c:pt>
                <c:pt idx="6">
                  <c:v>183013.6407771768</c:v>
                </c:pt>
                <c:pt idx="7">
                  <c:v>242342.5444852589</c:v>
                </c:pt>
                <c:pt idx="8">
                  <c:v>213378.9687481577</c:v>
                </c:pt>
                <c:pt idx="9">
                  <c:v>243732.9517895319</c:v>
                </c:pt>
                <c:pt idx="10">
                  <c:v>242821.7975638393</c:v>
                </c:pt>
                <c:pt idx="11">
                  <c:v>319235.823206278</c:v>
                </c:pt>
                <c:pt idx="12">
                  <c:v>298057.0252441753</c:v>
                </c:pt>
                <c:pt idx="13">
                  <c:v>361687.004681121</c:v>
                </c:pt>
                <c:pt idx="14">
                  <c:v>333728.597189504</c:v>
                </c:pt>
                <c:pt idx="15">
                  <c:v>381119.7181124388</c:v>
                </c:pt>
                <c:pt idx="16">
                  <c:v>458843.4009905177</c:v>
                </c:pt>
                <c:pt idx="17">
                  <c:v>434535.1514344706</c:v>
                </c:pt>
                <c:pt idx="18">
                  <c:v>468716.6089632317</c:v>
                </c:pt>
                <c:pt idx="19">
                  <c:v>489864.741353347</c:v>
                </c:pt>
                <c:pt idx="20">
                  <c:v>496530.9109511921</c:v>
                </c:pt>
                <c:pt idx="21">
                  <c:v>517844.9539256449</c:v>
                </c:pt>
                <c:pt idx="22">
                  <c:v>524264.6298402273</c:v>
                </c:pt>
                <c:pt idx="23">
                  <c:v>488858.9019549236</c:v>
                </c:pt>
              </c:numCache>
            </c:numRef>
          </c:val>
        </c:ser>
        <c:dLbls>
          <c:showLegendKey val="0"/>
          <c:showVal val="0"/>
          <c:showCatName val="0"/>
          <c:showSerName val="0"/>
          <c:showPercent val="0"/>
          <c:showBubbleSize val="0"/>
        </c:dLbls>
        <c:axId val="-2090513720"/>
        <c:axId val="-2090510680"/>
      </c:areaChart>
      <c:catAx>
        <c:axId val="-2090513720"/>
        <c:scaling>
          <c:orientation val="minMax"/>
        </c:scaling>
        <c:delete val="0"/>
        <c:axPos val="b"/>
        <c:numFmt formatCode="[$-409]mmm\-yy;@" sourceLinked="1"/>
        <c:majorTickMark val="out"/>
        <c:minorTickMark val="none"/>
        <c:tickLblPos val="low"/>
        <c:crossAx val="-2090510680"/>
        <c:crosses val="autoZero"/>
        <c:auto val="1"/>
        <c:lblAlgn val="ctr"/>
        <c:lblOffset val="100"/>
        <c:noMultiLvlLbl val="0"/>
      </c:catAx>
      <c:valAx>
        <c:axId val="-2090510680"/>
        <c:scaling>
          <c:orientation val="minMax"/>
        </c:scaling>
        <c:delete val="0"/>
        <c:axPos val="l"/>
        <c:majorGridlines/>
        <c:numFmt formatCode="_-[$$-409]* #,##0_-;\-[$$-409]* #,##0_-;_-[$$-409]* &quot;-&quot;_-;_-@_-" sourceLinked="0"/>
        <c:majorTickMark val="out"/>
        <c:minorTickMark val="none"/>
        <c:tickLblPos val="nextTo"/>
        <c:crossAx val="-2090513720"/>
        <c:crosses val="autoZero"/>
        <c:crossBetween val="midCat"/>
      </c:valAx>
    </c:plotArea>
    <c:legend>
      <c:legendPos val="b"/>
      <c:layout>
        <c:manualLayout>
          <c:xMode val="edge"/>
          <c:yMode val="edge"/>
          <c:x val="0.262011955963104"/>
          <c:y val="0.904561838402043"/>
          <c:w val="0.537310719792258"/>
          <c:h val="0.0546542272061175"/>
        </c:manualLayout>
      </c:layout>
      <c:overlay val="1"/>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Monthly</a:t>
            </a:r>
            <a:r>
              <a:rPr lang="de-DE" sz="1200" baseline="0"/>
              <a:t> salaries </a:t>
            </a:r>
            <a:r>
              <a:rPr lang="de-DE" sz="1200"/>
              <a:t>by department</a:t>
            </a:r>
          </a:p>
        </c:rich>
      </c:tx>
      <c:overlay val="0"/>
    </c:title>
    <c:autoTitleDeleted val="0"/>
    <c:plotArea>
      <c:layout>
        <c:manualLayout>
          <c:layoutTarget val="inner"/>
          <c:xMode val="edge"/>
          <c:yMode val="edge"/>
          <c:x val="0.157822253674335"/>
          <c:y val="0.166249654648432"/>
          <c:w val="0.78411491489388"/>
          <c:h val="0.551686986707307"/>
        </c:manualLayout>
      </c:layout>
      <c:areaChart>
        <c:grouping val="stacked"/>
        <c:varyColors val="0"/>
        <c:ser>
          <c:idx val="0"/>
          <c:order val="0"/>
          <c:tx>
            <c:v>G&amp;A</c:v>
          </c:tx>
          <c:spPr>
            <a:solidFill>
              <a:schemeClr val="accent4">
                <a:lumMod val="60000"/>
                <a:lumOff val="40000"/>
              </a:schemeClr>
            </a:solidFill>
          </c:spPr>
          <c:cat>
            <c:strRef>
              <c:f>(Costs!$J$2:$U$3,Costs!$W$2:$AH$2)</c:f>
              <c:strCache>
                <c:ptCount val="24"/>
                <c:pt idx="0">
                  <c:v>Jan-16</c:v>
                </c:pt>
                <c:pt idx="1">
                  <c:v>Feb-16</c:v>
                </c:pt>
                <c:pt idx="2">
                  <c:v>Mar-16</c:v>
                </c:pt>
                <c:pt idx="3">
                  <c:v>Apr-16</c:v>
                </c:pt>
                <c:pt idx="4">
                  <c:v>May-16</c:v>
                </c:pt>
                <c:pt idx="5">
                  <c:v>Jun-16</c:v>
                </c:pt>
                <c:pt idx="6">
                  <c:v>Jul-16</c:v>
                </c:pt>
                <c:pt idx="7">
                  <c:v>Aug-16</c:v>
                </c:pt>
                <c:pt idx="8">
                  <c:v>Sep-16</c:v>
                </c:pt>
                <c:pt idx="9">
                  <c:v>Oct-16</c:v>
                </c:pt>
                <c:pt idx="10">
                  <c:v>Nov-16</c:v>
                </c:pt>
                <c:pt idx="11">
                  <c:v>Dec-16</c:v>
                </c:pt>
                <c:pt idx="12">
                  <c:v>Jan-17</c:v>
                </c:pt>
                <c:pt idx="13">
                  <c:v>Feb-17</c:v>
                </c:pt>
                <c:pt idx="14">
                  <c:v>Mar-17</c:v>
                </c:pt>
                <c:pt idx="15">
                  <c:v>Apr-17</c:v>
                </c:pt>
                <c:pt idx="16">
                  <c:v>May-17</c:v>
                </c:pt>
                <c:pt idx="17">
                  <c:v>Jun-17</c:v>
                </c:pt>
                <c:pt idx="18">
                  <c:v>Jul-17</c:v>
                </c:pt>
                <c:pt idx="19">
                  <c:v>Aug-17</c:v>
                </c:pt>
                <c:pt idx="20">
                  <c:v>Sep-17</c:v>
                </c:pt>
                <c:pt idx="21">
                  <c:v>Oct-17</c:v>
                </c:pt>
                <c:pt idx="22">
                  <c:v>Nov-17</c:v>
                </c:pt>
                <c:pt idx="23">
                  <c:v>Dec-17</c:v>
                </c:pt>
              </c:strCache>
            </c:strRef>
          </c:cat>
          <c:val>
            <c:numRef>
              <c:f>(Costs!$J$16:$U$16,Costs!$W$16:$AH$16)</c:f>
              <c:numCache>
                <c:formatCode>#,##0</c:formatCode>
                <c:ptCount val="24"/>
                <c:pt idx="0">
                  <c:v>24000.0</c:v>
                </c:pt>
                <c:pt idx="1">
                  <c:v>24000.0</c:v>
                </c:pt>
                <c:pt idx="2">
                  <c:v>24000.0</c:v>
                </c:pt>
                <c:pt idx="3">
                  <c:v>24000.0</c:v>
                </c:pt>
                <c:pt idx="4">
                  <c:v>24000.0</c:v>
                </c:pt>
                <c:pt idx="5">
                  <c:v>24000.0</c:v>
                </c:pt>
                <c:pt idx="6">
                  <c:v>49200.0</c:v>
                </c:pt>
                <c:pt idx="7">
                  <c:v>49200.0</c:v>
                </c:pt>
                <c:pt idx="8">
                  <c:v>49200.0</c:v>
                </c:pt>
                <c:pt idx="9">
                  <c:v>62400.0</c:v>
                </c:pt>
                <c:pt idx="10">
                  <c:v>69000.0</c:v>
                </c:pt>
                <c:pt idx="11">
                  <c:v>69000.0</c:v>
                </c:pt>
                <c:pt idx="12">
                  <c:v>69000.0</c:v>
                </c:pt>
                <c:pt idx="13">
                  <c:v>69000.0</c:v>
                </c:pt>
                <c:pt idx="14">
                  <c:v>69000.0</c:v>
                </c:pt>
                <c:pt idx="15">
                  <c:v>69000.0</c:v>
                </c:pt>
                <c:pt idx="16">
                  <c:v>77400.0</c:v>
                </c:pt>
                <c:pt idx="17">
                  <c:v>77400.0</c:v>
                </c:pt>
                <c:pt idx="18">
                  <c:v>77400.0</c:v>
                </c:pt>
                <c:pt idx="19">
                  <c:v>77400.0</c:v>
                </c:pt>
                <c:pt idx="20">
                  <c:v>77400.0</c:v>
                </c:pt>
                <c:pt idx="21">
                  <c:v>77400.0</c:v>
                </c:pt>
                <c:pt idx="22">
                  <c:v>82200.0</c:v>
                </c:pt>
                <c:pt idx="23">
                  <c:v>82200.0</c:v>
                </c:pt>
              </c:numCache>
            </c:numRef>
          </c:val>
        </c:ser>
        <c:ser>
          <c:idx val="1"/>
          <c:order val="1"/>
          <c:tx>
            <c:v>R&amp;D</c:v>
          </c:tx>
          <c:spPr>
            <a:solidFill>
              <a:schemeClr val="accent1">
                <a:lumMod val="60000"/>
                <a:lumOff val="40000"/>
              </a:schemeClr>
            </a:solidFill>
            <a:ln w="25400">
              <a:noFill/>
            </a:ln>
          </c:spPr>
          <c:cat>
            <c:strRef>
              <c:f>(Costs!$J$2:$U$3,Costs!$W$2:$AH$2)</c:f>
              <c:strCache>
                <c:ptCount val="24"/>
                <c:pt idx="0">
                  <c:v>Jan-16</c:v>
                </c:pt>
                <c:pt idx="1">
                  <c:v>Feb-16</c:v>
                </c:pt>
                <c:pt idx="2">
                  <c:v>Mar-16</c:v>
                </c:pt>
                <c:pt idx="3">
                  <c:v>Apr-16</c:v>
                </c:pt>
                <c:pt idx="4">
                  <c:v>May-16</c:v>
                </c:pt>
                <c:pt idx="5">
                  <c:v>Jun-16</c:v>
                </c:pt>
                <c:pt idx="6">
                  <c:v>Jul-16</c:v>
                </c:pt>
                <c:pt idx="7">
                  <c:v>Aug-16</c:v>
                </c:pt>
                <c:pt idx="8">
                  <c:v>Sep-16</c:v>
                </c:pt>
                <c:pt idx="9">
                  <c:v>Oct-16</c:v>
                </c:pt>
                <c:pt idx="10">
                  <c:v>Nov-16</c:v>
                </c:pt>
                <c:pt idx="11">
                  <c:v>Dec-16</c:v>
                </c:pt>
                <c:pt idx="12">
                  <c:v>Jan-17</c:v>
                </c:pt>
                <c:pt idx="13">
                  <c:v>Feb-17</c:v>
                </c:pt>
                <c:pt idx="14">
                  <c:v>Mar-17</c:v>
                </c:pt>
                <c:pt idx="15">
                  <c:v>Apr-17</c:v>
                </c:pt>
                <c:pt idx="16">
                  <c:v>May-17</c:v>
                </c:pt>
                <c:pt idx="17">
                  <c:v>Jun-17</c:v>
                </c:pt>
                <c:pt idx="18">
                  <c:v>Jul-17</c:v>
                </c:pt>
                <c:pt idx="19">
                  <c:v>Aug-17</c:v>
                </c:pt>
                <c:pt idx="20">
                  <c:v>Sep-17</c:v>
                </c:pt>
                <c:pt idx="21">
                  <c:v>Oct-17</c:v>
                </c:pt>
                <c:pt idx="22">
                  <c:v>Nov-17</c:v>
                </c:pt>
                <c:pt idx="23">
                  <c:v>Dec-17</c:v>
                </c:pt>
              </c:strCache>
            </c:strRef>
          </c:cat>
          <c:val>
            <c:numRef>
              <c:f>(Costs!$J$49:$U$49,Costs!$W$49:$AH$49)</c:f>
              <c:numCache>
                <c:formatCode>#,##0</c:formatCode>
                <c:ptCount val="24"/>
                <c:pt idx="0">
                  <c:v>50400.0</c:v>
                </c:pt>
                <c:pt idx="1">
                  <c:v>50400.0</c:v>
                </c:pt>
                <c:pt idx="2">
                  <c:v>63600.0</c:v>
                </c:pt>
                <c:pt idx="3">
                  <c:v>72000.0</c:v>
                </c:pt>
                <c:pt idx="4">
                  <c:v>78600.0</c:v>
                </c:pt>
                <c:pt idx="5">
                  <c:v>78600.0</c:v>
                </c:pt>
                <c:pt idx="6">
                  <c:v>112800.0</c:v>
                </c:pt>
                <c:pt idx="7">
                  <c:v>121200.0</c:v>
                </c:pt>
                <c:pt idx="8">
                  <c:v>136200.0</c:v>
                </c:pt>
                <c:pt idx="9">
                  <c:v>136200.0</c:v>
                </c:pt>
                <c:pt idx="10">
                  <c:v>142800.0</c:v>
                </c:pt>
                <c:pt idx="11">
                  <c:v>149400.0</c:v>
                </c:pt>
                <c:pt idx="12">
                  <c:v>181200.0</c:v>
                </c:pt>
                <c:pt idx="13">
                  <c:v>181200.0</c:v>
                </c:pt>
                <c:pt idx="14">
                  <c:v>187800.0</c:v>
                </c:pt>
                <c:pt idx="15">
                  <c:v>196200.0</c:v>
                </c:pt>
                <c:pt idx="16">
                  <c:v>202800.0</c:v>
                </c:pt>
                <c:pt idx="17">
                  <c:v>216600.0</c:v>
                </c:pt>
                <c:pt idx="18">
                  <c:v>226200.0</c:v>
                </c:pt>
                <c:pt idx="19">
                  <c:v>226200.0</c:v>
                </c:pt>
                <c:pt idx="20">
                  <c:v>226200.0</c:v>
                </c:pt>
                <c:pt idx="21">
                  <c:v>226200.0</c:v>
                </c:pt>
                <c:pt idx="22">
                  <c:v>234600.0</c:v>
                </c:pt>
                <c:pt idx="23">
                  <c:v>234600.0</c:v>
                </c:pt>
              </c:numCache>
            </c:numRef>
          </c:val>
        </c:ser>
        <c:ser>
          <c:idx val="2"/>
          <c:order val="2"/>
          <c:tx>
            <c:v>Marketing</c:v>
          </c:tx>
          <c:spPr>
            <a:solidFill>
              <a:schemeClr val="accent3">
                <a:lumMod val="60000"/>
                <a:lumOff val="40000"/>
              </a:schemeClr>
            </a:solidFill>
            <a:ln w="25400">
              <a:noFill/>
            </a:ln>
          </c:spPr>
          <c:val>
            <c:numRef>
              <c:f>(Costs!$J$62:$U$62,Costs!$W$62:$AH$62)</c:f>
              <c:numCache>
                <c:formatCode>#,##0</c:formatCode>
                <c:ptCount val="24"/>
                <c:pt idx="0">
                  <c:v>6000.0</c:v>
                </c:pt>
                <c:pt idx="1">
                  <c:v>14400.0</c:v>
                </c:pt>
                <c:pt idx="2">
                  <c:v>14400.0</c:v>
                </c:pt>
                <c:pt idx="3">
                  <c:v>14400.0</c:v>
                </c:pt>
                <c:pt idx="4">
                  <c:v>32400.0</c:v>
                </c:pt>
                <c:pt idx="5">
                  <c:v>39600.0</c:v>
                </c:pt>
                <c:pt idx="6">
                  <c:v>39600.0</c:v>
                </c:pt>
                <c:pt idx="7">
                  <c:v>39600.0</c:v>
                </c:pt>
                <c:pt idx="8">
                  <c:v>39600.0</c:v>
                </c:pt>
                <c:pt idx="9">
                  <c:v>39600.0</c:v>
                </c:pt>
                <c:pt idx="10">
                  <c:v>39600.0</c:v>
                </c:pt>
                <c:pt idx="11">
                  <c:v>39600.0</c:v>
                </c:pt>
                <c:pt idx="12">
                  <c:v>39600.0</c:v>
                </c:pt>
                <c:pt idx="13">
                  <c:v>49200.0</c:v>
                </c:pt>
                <c:pt idx="14">
                  <c:v>55200.0</c:v>
                </c:pt>
                <c:pt idx="15">
                  <c:v>55200.0</c:v>
                </c:pt>
                <c:pt idx="16">
                  <c:v>55200.0</c:v>
                </c:pt>
                <c:pt idx="17">
                  <c:v>61200.0</c:v>
                </c:pt>
                <c:pt idx="18">
                  <c:v>61200.0</c:v>
                </c:pt>
                <c:pt idx="19">
                  <c:v>61200.0</c:v>
                </c:pt>
                <c:pt idx="20">
                  <c:v>61200.0</c:v>
                </c:pt>
                <c:pt idx="21">
                  <c:v>69600.0</c:v>
                </c:pt>
                <c:pt idx="22">
                  <c:v>69600.0</c:v>
                </c:pt>
                <c:pt idx="23">
                  <c:v>69600.0</c:v>
                </c:pt>
              </c:numCache>
            </c:numRef>
          </c:val>
        </c:ser>
        <c:ser>
          <c:idx val="3"/>
          <c:order val="3"/>
          <c:tx>
            <c:v>Sales</c:v>
          </c:tx>
          <c:spPr>
            <a:solidFill>
              <a:schemeClr val="accent6">
                <a:lumMod val="60000"/>
                <a:lumOff val="40000"/>
              </a:schemeClr>
            </a:solidFill>
            <a:ln w="25400">
              <a:noFill/>
            </a:ln>
          </c:spPr>
          <c:val>
            <c:numRef>
              <c:f>(Costs!$J$72:$U$72,Costs!$W$72:$AH$72)</c:f>
              <c:numCache>
                <c:formatCode>#,##0</c:formatCode>
                <c:ptCount val="24"/>
                <c:pt idx="0">
                  <c:v>83000.0</c:v>
                </c:pt>
                <c:pt idx="1">
                  <c:v>189000.0</c:v>
                </c:pt>
                <c:pt idx="2">
                  <c:v>207000.0</c:v>
                </c:pt>
                <c:pt idx="3">
                  <c:v>207000.0</c:v>
                </c:pt>
                <c:pt idx="4">
                  <c:v>207000.0</c:v>
                </c:pt>
                <c:pt idx="5">
                  <c:v>207000.0</c:v>
                </c:pt>
                <c:pt idx="6">
                  <c:v>207000.0</c:v>
                </c:pt>
                <c:pt idx="7">
                  <c:v>207000.0</c:v>
                </c:pt>
                <c:pt idx="8">
                  <c:v>207000.0</c:v>
                </c:pt>
                <c:pt idx="9">
                  <c:v>207000.0</c:v>
                </c:pt>
                <c:pt idx="10">
                  <c:v>207000.0</c:v>
                </c:pt>
                <c:pt idx="11">
                  <c:v>207000.0</c:v>
                </c:pt>
                <c:pt idx="12">
                  <c:v>207000.0</c:v>
                </c:pt>
                <c:pt idx="13">
                  <c:v>207000.0</c:v>
                </c:pt>
                <c:pt idx="14">
                  <c:v>207000.0</c:v>
                </c:pt>
                <c:pt idx="15">
                  <c:v>207000.0</c:v>
                </c:pt>
                <c:pt idx="16">
                  <c:v>207000.0</c:v>
                </c:pt>
                <c:pt idx="17">
                  <c:v>236000.0</c:v>
                </c:pt>
                <c:pt idx="18">
                  <c:v>236000.0</c:v>
                </c:pt>
                <c:pt idx="19">
                  <c:v>272000.0</c:v>
                </c:pt>
                <c:pt idx="20">
                  <c:v>301000.0</c:v>
                </c:pt>
                <c:pt idx="21">
                  <c:v>301000.0</c:v>
                </c:pt>
                <c:pt idx="22">
                  <c:v>301000.0</c:v>
                </c:pt>
                <c:pt idx="23">
                  <c:v>301000.0</c:v>
                </c:pt>
              </c:numCache>
            </c:numRef>
          </c:val>
        </c:ser>
        <c:ser>
          <c:idx val="4"/>
          <c:order val="4"/>
          <c:tx>
            <c:v>CS</c:v>
          </c:tx>
          <c:spPr>
            <a:solidFill>
              <a:schemeClr val="accent2">
                <a:lumMod val="60000"/>
                <a:lumOff val="40000"/>
              </a:schemeClr>
            </a:solidFill>
            <a:ln w="25400">
              <a:noFill/>
            </a:ln>
          </c:spPr>
          <c:val>
            <c:numRef>
              <c:f>(Costs!$J$81:$U$81,Costs!$W$81:$AH$81)</c:f>
              <c:numCache>
                <c:formatCode>#,##0</c:formatCode>
                <c:ptCount val="24"/>
                <c:pt idx="0">
                  <c:v>19200.0</c:v>
                </c:pt>
                <c:pt idx="1">
                  <c:v>24000.0</c:v>
                </c:pt>
                <c:pt idx="2">
                  <c:v>24000.0</c:v>
                </c:pt>
                <c:pt idx="3">
                  <c:v>34800.0</c:v>
                </c:pt>
                <c:pt idx="4">
                  <c:v>34800.0</c:v>
                </c:pt>
                <c:pt idx="5">
                  <c:v>39600.0</c:v>
                </c:pt>
                <c:pt idx="6">
                  <c:v>44400.0</c:v>
                </c:pt>
                <c:pt idx="7">
                  <c:v>49200.0</c:v>
                </c:pt>
                <c:pt idx="8">
                  <c:v>80400.0</c:v>
                </c:pt>
                <c:pt idx="9">
                  <c:v>85200.0</c:v>
                </c:pt>
                <c:pt idx="10">
                  <c:v>90000.0</c:v>
                </c:pt>
                <c:pt idx="11">
                  <c:v>94800.0</c:v>
                </c:pt>
                <c:pt idx="12">
                  <c:v>110400.0</c:v>
                </c:pt>
                <c:pt idx="13">
                  <c:v>115200.0</c:v>
                </c:pt>
                <c:pt idx="14">
                  <c:v>133200.0</c:v>
                </c:pt>
                <c:pt idx="15">
                  <c:v>138000.0</c:v>
                </c:pt>
                <c:pt idx="16">
                  <c:v>147600.0</c:v>
                </c:pt>
                <c:pt idx="17">
                  <c:v>157200.0</c:v>
                </c:pt>
                <c:pt idx="18">
                  <c:v>180000.0</c:v>
                </c:pt>
                <c:pt idx="19">
                  <c:v>195600.0</c:v>
                </c:pt>
                <c:pt idx="20">
                  <c:v>210000.0</c:v>
                </c:pt>
                <c:pt idx="21">
                  <c:v>232800.0</c:v>
                </c:pt>
                <c:pt idx="22">
                  <c:v>247200.0</c:v>
                </c:pt>
                <c:pt idx="23">
                  <c:v>270000.0</c:v>
                </c:pt>
              </c:numCache>
            </c:numRef>
          </c:val>
        </c:ser>
        <c:dLbls>
          <c:showLegendKey val="0"/>
          <c:showVal val="0"/>
          <c:showCatName val="0"/>
          <c:showSerName val="0"/>
          <c:showPercent val="0"/>
          <c:showBubbleSize val="0"/>
        </c:dLbls>
        <c:axId val="-2090683912"/>
        <c:axId val="-2090680792"/>
      </c:areaChart>
      <c:catAx>
        <c:axId val="-2090683912"/>
        <c:scaling>
          <c:orientation val="minMax"/>
        </c:scaling>
        <c:delete val="0"/>
        <c:axPos val="b"/>
        <c:numFmt formatCode="[$-409]mmm\-yy;@" sourceLinked="1"/>
        <c:majorTickMark val="out"/>
        <c:minorTickMark val="none"/>
        <c:tickLblPos val="low"/>
        <c:crossAx val="-2090680792"/>
        <c:crosses val="autoZero"/>
        <c:auto val="1"/>
        <c:lblAlgn val="ctr"/>
        <c:lblOffset val="100"/>
        <c:noMultiLvlLbl val="0"/>
      </c:catAx>
      <c:valAx>
        <c:axId val="-2090680792"/>
        <c:scaling>
          <c:orientation val="minMax"/>
        </c:scaling>
        <c:delete val="0"/>
        <c:axPos val="l"/>
        <c:majorGridlines/>
        <c:numFmt formatCode="[$$-409]#,##0" sourceLinked="0"/>
        <c:majorTickMark val="out"/>
        <c:minorTickMark val="none"/>
        <c:tickLblPos val="nextTo"/>
        <c:crossAx val="-2090683912"/>
        <c:crosses val="autoZero"/>
        <c:crossBetween val="midCat"/>
      </c:valAx>
    </c:plotArea>
    <c:legend>
      <c:legendPos val="b"/>
      <c:layout>
        <c:manualLayout>
          <c:xMode val="edge"/>
          <c:yMode val="edge"/>
          <c:x val="0.262011955963104"/>
          <c:y val="0.904561838402043"/>
          <c:w val="0.537310719792258"/>
          <c:h val="0.0546542272061175"/>
        </c:manualLayout>
      </c:layout>
      <c:overlay val="1"/>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Monthly</a:t>
            </a:r>
            <a:r>
              <a:rPr lang="de-DE" sz="1200" baseline="0"/>
              <a:t> costs by P&amp;L category</a:t>
            </a:r>
            <a:endParaRPr lang="de-DE" sz="1200"/>
          </a:p>
        </c:rich>
      </c:tx>
      <c:overlay val="0"/>
    </c:title>
    <c:autoTitleDeleted val="0"/>
    <c:plotArea>
      <c:layout>
        <c:manualLayout>
          <c:layoutTarget val="inner"/>
          <c:xMode val="edge"/>
          <c:yMode val="edge"/>
          <c:x val="0.157822253674335"/>
          <c:y val="0.166249654648432"/>
          <c:w val="0.78411491489388"/>
          <c:h val="0.551686986707307"/>
        </c:manualLayout>
      </c:layout>
      <c:areaChart>
        <c:grouping val="stacked"/>
        <c:varyColors val="0"/>
        <c:ser>
          <c:idx val="0"/>
          <c:order val="0"/>
          <c:tx>
            <c:v>CoGS</c:v>
          </c:tx>
          <c:spPr>
            <a:solidFill>
              <a:schemeClr val="accent4">
                <a:lumMod val="60000"/>
                <a:lumOff val="40000"/>
              </a:schemeClr>
            </a:solidFill>
          </c:spPr>
          <c:cat>
            <c:strRef>
              <c:f>(Costs!$J$2:$U$3,Costs!$W$2:$AH$2)</c:f>
              <c:strCache>
                <c:ptCount val="24"/>
                <c:pt idx="0">
                  <c:v>Jan-16</c:v>
                </c:pt>
                <c:pt idx="1">
                  <c:v>Feb-16</c:v>
                </c:pt>
                <c:pt idx="2">
                  <c:v>Mar-16</c:v>
                </c:pt>
                <c:pt idx="3">
                  <c:v>Apr-16</c:v>
                </c:pt>
                <c:pt idx="4">
                  <c:v>May-16</c:v>
                </c:pt>
                <c:pt idx="5">
                  <c:v>Jun-16</c:v>
                </c:pt>
                <c:pt idx="6">
                  <c:v>Jul-16</c:v>
                </c:pt>
                <c:pt idx="7">
                  <c:v>Aug-16</c:v>
                </c:pt>
                <c:pt idx="8">
                  <c:v>Sep-16</c:v>
                </c:pt>
                <c:pt idx="9">
                  <c:v>Oct-16</c:v>
                </c:pt>
                <c:pt idx="10">
                  <c:v>Nov-16</c:v>
                </c:pt>
                <c:pt idx="11">
                  <c:v>Dec-16</c:v>
                </c:pt>
                <c:pt idx="12">
                  <c:v>Jan-17</c:v>
                </c:pt>
                <c:pt idx="13">
                  <c:v>Feb-17</c:v>
                </c:pt>
                <c:pt idx="14">
                  <c:v>Mar-17</c:v>
                </c:pt>
                <c:pt idx="15">
                  <c:v>Apr-17</c:v>
                </c:pt>
                <c:pt idx="16">
                  <c:v>May-17</c:v>
                </c:pt>
                <c:pt idx="17">
                  <c:v>Jun-17</c:v>
                </c:pt>
                <c:pt idx="18">
                  <c:v>Jul-17</c:v>
                </c:pt>
                <c:pt idx="19">
                  <c:v>Aug-17</c:v>
                </c:pt>
                <c:pt idx="20">
                  <c:v>Sep-17</c:v>
                </c:pt>
                <c:pt idx="21">
                  <c:v>Oct-17</c:v>
                </c:pt>
                <c:pt idx="22">
                  <c:v>Nov-17</c:v>
                </c:pt>
                <c:pt idx="23">
                  <c:v>Dec-17</c:v>
                </c:pt>
              </c:strCache>
            </c:strRef>
          </c:cat>
          <c:val>
            <c:numRef>
              <c:f>(Costs!$J$173:$U$173,Costs!$W$173:$AH$173)</c:f>
              <c:numCache>
                <c:formatCode>#,##0</c:formatCode>
                <c:ptCount val="24"/>
                <c:pt idx="0">
                  <c:v>38891.75</c:v>
                </c:pt>
                <c:pt idx="1">
                  <c:v>50981.75875</c:v>
                </c:pt>
                <c:pt idx="2">
                  <c:v>48695.61199375</c:v>
                </c:pt>
                <c:pt idx="3">
                  <c:v>70810.26300015625</c:v>
                </c:pt>
                <c:pt idx="4">
                  <c:v>64727.17944813515</c:v>
                </c:pt>
                <c:pt idx="5">
                  <c:v>77552.20086401212</c:v>
                </c:pt>
                <c:pt idx="6">
                  <c:v>85547.47752637058</c:v>
                </c:pt>
                <c:pt idx="7">
                  <c:v>93706.41689812596</c:v>
                </c:pt>
                <c:pt idx="8">
                  <c:v>139146.0173599512</c:v>
                </c:pt>
                <c:pt idx="9">
                  <c:v>139922.5992748904</c:v>
                </c:pt>
                <c:pt idx="10">
                  <c:v>147147.0577253803</c:v>
                </c:pt>
                <c:pt idx="11">
                  <c:v>156568.8516483973</c:v>
                </c:pt>
                <c:pt idx="12">
                  <c:v>188984.0529315178</c:v>
                </c:pt>
                <c:pt idx="13">
                  <c:v>192514.9659103354</c:v>
                </c:pt>
                <c:pt idx="14">
                  <c:v>225045.7834156136</c:v>
                </c:pt>
                <c:pt idx="15">
                  <c:v>227096.6743670911</c:v>
                </c:pt>
                <c:pt idx="16">
                  <c:v>246906.9561792148</c:v>
                </c:pt>
                <c:pt idx="17">
                  <c:v>265255.465718</c:v>
                </c:pt>
                <c:pt idx="18">
                  <c:v>304653.0500879607</c:v>
                </c:pt>
                <c:pt idx="19">
                  <c:v>325644.4667780333</c:v>
                </c:pt>
                <c:pt idx="20">
                  <c:v>349762.0550433431</c:v>
                </c:pt>
                <c:pt idx="21">
                  <c:v>386474.6006198504</c:v>
                </c:pt>
                <c:pt idx="22">
                  <c:v>405711.9891586615</c:v>
                </c:pt>
                <c:pt idx="23">
                  <c:v>444770.4197493964</c:v>
                </c:pt>
              </c:numCache>
            </c:numRef>
          </c:val>
        </c:ser>
        <c:ser>
          <c:idx val="1"/>
          <c:order val="1"/>
          <c:tx>
            <c:v>R&amp;D</c:v>
          </c:tx>
          <c:spPr>
            <a:solidFill>
              <a:schemeClr val="accent1">
                <a:lumMod val="60000"/>
                <a:lumOff val="40000"/>
              </a:schemeClr>
            </a:solidFill>
            <a:ln w="25400">
              <a:noFill/>
            </a:ln>
          </c:spPr>
          <c:cat>
            <c:strRef>
              <c:f>(Costs!$J$2:$U$3,Costs!$W$2:$AH$2)</c:f>
              <c:strCache>
                <c:ptCount val="24"/>
                <c:pt idx="0">
                  <c:v>Jan-16</c:v>
                </c:pt>
                <c:pt idx="1">
                  <c:v>Feb-16</c:v>
                </c:pt>
                <c:pt idx="2">
                  <c:v>Mar-16</c:v>
                </c:pt>
                <c:pt idx="3">
                  <c:v>Apr-16</c:v>
                </c:pt>
                <c:pt idx="4">
                  <c:v>May-16</c:v>
                </c:pt>
                <c:pt idx="5">
                  <c:v>Jun-16</c:v>
                </c:pt>
                <c:pt idx="6">
                  <c:v>Jul-16</c:v>
                </c:pt>
                <c:pt idx="7">
                  <c:v>Aug-16</c:v>
                </c:pt>
                <c:pt idx="8">
                  <c:v>Sep-16</c:v>
                </c:pt>
                <c:pt idx="9">
                  <c:v>Oct-16</c:v>
                </c:pt>
                <c:pt idx="10">
                  <c:v>Nov-16</c:v>
                </c:pt>
                <c:pt idx="11">
                  <c:v>Dec-16</c:v>
                </c:pt>
                <c:pt idx="12">
                  <c:v>Jan-17</c:v>
                </c:pt>
                <c:pt idx="13">
                  <c:v>Feb-17</c:v>
                </c:pt>
                <c:pt idx="14">
                  <c:v>Mar-17</c:v>
                </c:pt>
                <c:pt idx="15">
                  <c:v>Apr-17</c:v>
                </c:pt>
                <c:pt idx="16">
                  <c:v>May-17</c:v>
                </c:pt>
                <c:pt idx="17">
                  <c:v>Jun-17</c:v>
                </c:pt>
                <c:pt idx="18">
                  <c:v>Jul-17</c:v>
                </c:pt>
                <c:pt idx="19">
                  <c:v>Aug-17</c:v>
                </c:pt>
                <c:pt idx="20">
                  <c:v>Sep-17</c:v>
                </c:pt>
                <c:pt idx="21">
                  <c:v>Oct-17</c:v>
                </c:pt>
                <c:pt idx="22">
                  <c:v>Nov-17</c:v>
                </c:pt>
                <c:pt idx="23">
                  <c:v>Dec-17</c:v>
                </c:pt>
              </c:strCache>
            </c:strRef>
          </c:cat>
          <c:val>
            <c:numRef>
              <c:f>(Costs!$J$174:$U$174,Costs!$W$174:$AH$174)</c:f>
              <c:numCache>
                <c:formatCode>#,##0</c:formatCode>
                <c:ptCount val="24"/>
                <c:pt idx="0">
                  <c:v>54900.0</c:v>
                </c:pt>
                <c:pt idx="1">
                  <c:v>54900.0</c:v>
                </c:pt>
                <c:pt idx="2">
                  <c:v>77600.0</c:v>
                </c:pt>
                <c:pt idx="3">
                  <c:v>82750.0</c:v>
                </c:pt>
                <c:pt idx="4">
                  <c:v>90100.0</c:v>
                </c:pt>
                <c:pt idx="5">
                  <c:v>86100.0</c:v>
                </c:pt>
                <c:pt idx="6">
                  <c:v>134550.0</c:v>
                </c:pt>
                <c:pt idx="7">
                  <c:v>135700.0</c:v>
                </c:pt>
                <c:pt idx="8">
                  <c:v>156200.0</c:v>
                </c:pt>
                <c:pt idx="9">
                  <c:v>148200.0</c:v>
                </c:pt>
                <c:pt idx="10">
                  <c:v>159550.0</c:v>
                </c:pt>
                <c:pt idx="11">
                  <c:v>166900.0</c:v>
                </c:pt>
                <c:pt idx="12">
                  <c:v>208950.0</c:v>
                </c:pt>
                <c:pt idx="13">
                  <c:v>196950.0</c:v>
                </c:pt>
                <c:pt idx="14">
                  <c:v>208300.0</c:v>
                </c:pt>
                <c:pt idx="15">
                  <c:v>217450.0</c:v>
                </c:pt>
                <c:pt idx="16">
                  <c:v>224800.0</c:v>
                </c:pt>
                <c:pt idx="17">
                  <c:v>244100.0</c:v>
                </c:pt>
                <c:pt idx="18">
                  <c:v>250450.0</c:v>
                </c:pt>
                <c:pt idx="19">
                  <c:v>246450.0</c:v>
                </c:pt>
                <c:pt idx="20">
                  <c:v>246450.0</c:v>
                </c:pt>
                <c:pt idx="21">
                  <c:v>246450.0</c:v>
                </c:pt>
                <c:pt idx="22">
                  <c:v>259600.0</c:v>
                </c:pt>
                <c:pt idx="23">
                  <c:v>255600.0</c:v>
                </c:pt>
              </c:numCache>
            </c:numRef>
          </c:val>
        </c:ser>
        <c:ser>
          <c:idx val="2"/>
          <c:order val="2"/>
          <c:tx>
            <c:v>S&amp;M</c:v>
          </c:tx>
          <c:spPr>
            <a:solidFill>
              <a:schemeClr val="accent3">
                <a:lumMod val="60000"/>
                <a:lumOff val="40000"/>
              </a:schemeClr>
            </a:solidFill>
            <a:ln w="25400">
              <a:noFill/>
            </a:ln>
          </c:spPr>
          <c:val>
            <c:numRef>
              <c:f>(Costs!$J$175:$U$175,Costs!$W$175:$AH$175)</c:f>
              <c:numCache>
                <c:formatCode>#,##0</c:formatCode>
                <c:ptCount val="24"/>
                <c:pt idx="0">
                  <c:v>120250.0</c:v>
                </c:pt>
                <c:pt idx="1">
                  <c:v>302400.0</c:v>
                </c:pt>
                <c:pt idx="2">
                  <c:v>291650.0</c:v>
                </c:pt>
                <c:pt idx="3">
                  <c:v>297650.0</c:v>
                </c:pt>
                <c:pt idx="4">
                  <c:v>330900.0</c:v>
                </c:pt>
                <c:pt idx="5">
                  <c:v>349350.0</c:v>
                </c:pt>
                <c:pt idx="6">
                  <c:v>355350.0</c:v>
                </c:pt>
                <c:pt idx="7">
                  <c:v>365350.0</c:v>
                </c:pt>
                <c:pt idx="8">
                  <c:v>375350.0</c:v>
                </c:pt>
                <c:pt idx="9">
                  <c:v>385350.0</c:v>
                </c:pt>
                <c:pt idx="10">
                  <c:v>395350.0</c:v>
                </c:pt>
                <c:pt idx="11">
                  <c:v>405350.0</c:v>
                </c:pt>
                <c:pt idx="12">
                  <c:v>415350.0</c:v>
                </c:pt>
                <c:pt idx="13">
                  <c:v>440200.0</c:v>
                </c:pt>
                <c:pt idx="14">
                  <c:v>457450.0</c:v>
                </c:pt>
                <c:pt idx="15">
                  <c:v>463450.0</c:v>
                </c:pt>
                <c:pt idx="16">
                  <c:v>473450.0</c:v>
                </c:pt>
                <c:pt idx="17">
                  <c:v>539450.0</c:v>
                </c:pt>
                <c:pt idx="18">
                  <c:v>533450.0</c:v>
                </c:pt>
                <c:pt idx="19">
                  <c:v>595200.0</c:v>
                </c:pt>
                <c:pt idx="20">
                  <c:v>637950.0</c:v>
                </c:pt>
                <c:pt idx="21">
                  <c:v>649600.0</c:v>
                </c:pt>
                <c:pt idx="22">
                  <c:v>655600.0</c:v>
                </c:pt>
                <c:pt idx="23">
                  <c:v>665600.0</c:v>
                </c:pt>
              </c:numCache>
            </c:numRef>
          </c:val>
        </c:ser>
        <c:ser>
          <c:idx val="3"/>
          <c:order val="3"/>
          <c:tx>
            <c:v>G&amp;A</c:v>
          </c:tx>
          <c:spPr>
            <a:solidFill>
              <a:schemeClr val="accent6">
                <a:lumMod val="60000"/>
                <a:lumOff val="40000"/>
              </a:schemeClr>
            </a:solidFill>
            <a:ln w="25400">
              <a:noFill/>
            </a:ln>
          </c:spPr>
          <c:val>
            <c:numRef>
              <c:f>(Costs!$J$176:$U$176,Costs!$W$176:$AH$176)</c:f>
              <c:numCache>
                <c:formatCode>#,##0</c:formatCode>
                <c:ptCount val="24"/>
                <c:pt idx="0">
                  <c:v>244677.5</c:v>
                </c:pt>
                <c:pt idx="1">
                  <c:v>110783.3875</c:v>
                </c:pt>
                <c:pt idx="2">
                  <c:v>111932.7129375</c:v>
                </c:pt>
                <c:pt idx="3">
                  <c:v>98141.3311765625</c:v>
                </c:pt>
                <c:pt idx="4">
                  <c:v>99410.10555772657</c:v>
                </c:pt>
                <c:pt idx="5">
                  <c:v>160992.4710964777</c:v>
                </c:pt>
                <c:pt idx="6">
                  <c:v>140316.1632508062</c:v>
                </c:pt>
                <c:pt idx="7">
                  <c:v>179036.127587133</c:v>
                </c:pt>
                <c:pt idx="8">
                  <c:v>136082.9513882066</c:v>
                </c:pt>
                <c:pt idx="9">
                  <c:v>172660.3525146414</c:v>
                </c:pt>
                <c:pt idx="10">
                  <c:v>168924.739838459</c:v>
                </c:pt>
                <c:pt idx="11">
                  <c:v>227466.9715578808</c:v>
                </c:pt>
                <c:pt idx="12">
                  <c:v>189722.9723126575</c:v>
                </c:pt>
                <c:pt idx="13">
                  <c:v>237372.0387707855</c:v>
                </c:pt>
                <c:pt idx="14">
                  <c:v>195132.8137738904</c:v>
                </c:pt>
                <c:pt idx="15">
                  <c:v>228023.0437453477</c:v>
                </c:pt>
                <c:pt idx="16">
                  <c:v>305686.4448113028</c:v>
                </c:pt>
                <c:pt idx="17">
                  <c:v>260129.6857164706</c:v>
                </c:pt>
                <c:pt idx="18">
                  <c:v>278713.558875271</c:v>
                </c:pt>
                <c:pt idx="19">
                  <c:v>282720.2745753137</c:v>
                </c:pt>
                <c:pt idx="20">
                  <c:v>271918.8559078489</c:v>
                </c:pt>
                <c:pt idx="21">
                  <c:v>276320.3533057944</c:v>
                </c:pt>
                <c:pt idx="22">
                  <c:v>277202.6406815657</c:v>
                </c:pt>
                <c:pt idx="23">
                  <c:v>218538.4822055273</c:v>
                </c:pt>
              </c:numCache>
            </c:numRef>
          </c:val>
        </c:ser>
        <c:dLbls>
          <c:showLegendKey val="0"/>
          <c:showVal val="0"/>
          <c:showCatName val="0"/>
          <c:showSerName val="0"/>
          <c:showPercent val="0"/>
          <c:showBubbleSize val="0"/>
        </c:dLbls>
        <c:axId val="2070388776"/>
        <c:axId val="-2133673928"/>
      </c:areaChart>
      <c:catAx>
        <c:axId val="2070388776"/>
        <c:scaling>
          <c:orientation val="minMax"/>
        </c:scaling>
        <c:delete val="0"/>
        <c:axPos val="b"/>
        <c:numFmt formatCode="[$-409]mmm\-yy;@" sourceLinked="1"/>
        <c:majorTickMark val="out"/>
        <c:minorTickMark val="none"/>
        <c:tickLblPos val="low"/>
        <c:crossAx val="-2133673928"/>
        <c:crosses val="autoZero"/>
        <c:auto val="1"/>
        <c:lblAlgn val="ctr"/>
        <c:lblOffset val="100"/>
        <c:noMultiLvlLbl val="0"/>
      </c:catAx>
      <c:valAx>
        <c:axId val="-2133673928"/>
        <c:scaling>
          <c:orientation val="minMax"/>
        </c:scaling>
        <c:delete val="0"/>
        <c:axPos val="l"/>
        <c:majorGridlines/>
        <c:numFmt formatCode="[$$-409]#,##0" sourceLinked="0"/>
        <c:majorTickMark val="out"/>
        <c:minorTickMark val="none"/>
        <c:tickLblPos val="nextTo"/>
        <c:crossAx val="2070388776"/>
        <c:crosses val="autoZero"/>
        <c:crossBetween val="midCat"/>
      </c:valAx>
    </c:plotArea>
    <c:legend>
      <c:legendPos val="b"/>
      <c:layout>
        <c:manualLayout>
          <c:xMode val="edge"/>
          <c:yMode val="edge"/>
          <c:x val="0.262011955963104"/>
          <c:y val="0.904561838402043"/>
          <c:w val="0.537310719792258"/>
          <c:h val="0.0546542272061175"/>
        </c:manualLayout>
      </c:layout>
      <c:overlay val="1"/>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Revenues</a:t>
            </a:r>
            <a:r>
              <a:rPr lang="de-DE" sz="1200" baseline="0"/>
              <a:t>, Costs &amp; EBIT</a:t>
            </a:r>
            <a:endParaRPr lang="de-DE" sz="1200"/>
          </a:p>
        </c:rich>
      </c:tx>
      <c:layout>
        <c:manualLayout>
          <c:xMode val="edge"/>
          <c:yMode val="edge"/>
          <c:x val="0.348839965395117"/>
          <c:y val="0.0402315886984715"/>
        </c:manualLayout>
      </c:layout>
      <c:overlay val="0"/>
    </c:title>
    <c:autoTitleDeleted val="0"/>
    <c:plotArea>
      <c:layout>
        <c:manualLayout>
          <c:layoutTarget val="inner"/>
          <c:xMode val="edge"/>
          <c:yMode val="edge"/>
          <c:x val="0.157822253674335"/>
          <c:y val="0.166249654648432"/>
          <c:w val="0.78411491489388"/>
          <c:h val="0.551686986707307"/>
        </c:manualLayout>
      </c:layout>
      <c:areaChart>
        <c:grouping val="stacked"/>
        <c:varyColors val="0"/>
        <c:ser>
          <c:idx val="0"/>
          <c:order val="1"/>
          <c:tx>
            <c:v>Revenues</c:v>
          </c:tx>
          <c:spPr>
            <a:solidFill>
              <a:schemeClr val="accent4">
                <a:lumMod val="60000"/>
                <a:lumOff val="40000"/>
              </a:schemeClr>
            </a:solidFill>
            <a:ln w="76200" cmpd="sng">
              <a:noFill/>
            </a:ln>
          </c:spPr>
          <c:cat>
            <c:numRef>
              <c:f>(Summary!$D$2:$O$2,Summary!$Q$2:$AB$2)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(Summary!$D$6:$O$6,Summary!$Q$6:$AB$6)</c:f>
              <c:numCache>
                <c:formatCode>#,##0</c:formatCode>
                <c:ptCount val="24"/>
                <c:pt idx="0">
                  <c:v>178550.0</c:v>
                </c:pt>
                <c:pt idx="1">
                  <c:v>200667.75</c:v>
                </c:pt>
                <c:pt idx="2">
                  <c:v>223654.25875</c:v>
                </c:pt>
                <c:pt idx="3">
                  <c:v>247826.62353125</c:v>
                </c:pt>
                <c:pt idx="4">
                  <c:v>273202.1111545312</c:v>
                </c:pt>
                <c:pt idx="5">
                  <c:v>304849.4219295544</c:v>
                </c:pt>
                <c:pt idx="6">
                  <c:v>337323.2650161245</c:v>
                </c:pt>
                <c:pt idx="7">
                  <c:v>371722.5517426584</c:v>
                </c:pt>
                <c:pt idx="8">
                  <c:v>412659.0277641315</c:v>
                </c:pt>
                <c:pt idx="9">
                  <c:v>455207.0502928289</c:v>
                </c:pt>
                <c:pt idx="10">
                  <c:v>503494.7967691803</c:v>
                </c:pt>
                <c:pt idx="11">
                  <c:v>554339.431157615</c:v>
                </c:pt>
                <c:pt idx="12">
                  <c:v>599459.4462531508</c:v>
                </c:pt>
                <c:pt idx="13">
                  <c:v>652440.7754157106</c:v>
                </c:pt>
                <c:pt idx="14">
                  <c:v>707656.2754778073</c:v>
                </c:pt>
                <c:pt idx="15">
                  <c:v>765460.8749069539</c:v>
                </c:pt>
                <c:pt idx="16">
                  <c:v>825728.896226057</c:v>
                </c:pt>
                <c:pt idx="17">
                  <c:v>894593.714329411</c:v>
                </c:pt>
                <c:pt idx="18">
                  <c:v>966271.1775054202</c:v>
                </c:pt>
                <c:pt idx="19">
                  <c:v>1.04640549150627E6</c:v>
                </c:pt>
                <c:pt idx="20">
                  <c:v>1.13037711815698E6</c:v>
                </c:pt>
                <c:pt idx="21">
                  <c:v>1.21840706611589E6</c:v>
                </c:pt>
                <c:pt idx="22">
                  <c:v>1.31505281363131E6</c:v>
                </c:pt>
                <c:pt idx="23">
                  <c:v>1.42176964411055E6</c:v>
                </c:pt>
              </c:numCache>
            </c:numRef>
          </c:val>
        </c:ser>
        <c:ser>
          <c:idx val="1"/>
          <c:order val="2"/>
          <c:tx>
            <c:v>CoGS</c:v>
          </c:tx>
          <c:spPr>
            <a:solidFill>
              <a:schemeClr val="accent6">
                <a:lumMod val="60000"/>
                <a:lumOff val="40000"/>
              </a:schemeClr>
            </a:solidFill>
            <a:ln w="25400">
              <a:noFill/>
            </a:ln>
            <a:effectLst/>
          </c:spPr>
          <c:val>
            <c:numRef>
              <c:f>(Summary!$D$106:$O$106,Summary!$Q$106:$AB$106)</c:f>
              <c:numCache>
                <c:formatCode>#,##0</c:formatCode>
                <c:ptCount val="24"/>
                <c:pt idx="0">
                  <c:v>-38891.75</c:v>
                </c:pt>
                <c:pt idx="1">
                  <c:v>-50981.75875</c:v>
                </c:pt>
                <c:pt idx="2">
                  <c:v>-48695.61199375</c:v>
                </c:pt>
                <c:pt idx="3">
                  <c:v>-70810.26300015625</c:v>
                </c:pt>
                <c:pt idx="4">
                  <c:v>-64727.17944813515</c:v>
                </c:pt>
                <c:pt idx="5">
                  <c:v>-77552.20086401212</c:v>
                </c:pt>
                <c:pt idx="6">
                  <c:v>-85547.47752637058</c:v>
                </c:pt>
                <c:pt idx="7">
                  <c:v>-93706.41689812596</c:v>
                </c:pt>
                <c:pt idx="8">
                  <c:v>-139146.0173599512</c:v>
                </c:pt>
                <c:pt idx="9">
                  <c:v>-139922.5992748904</c:v>
                </c:pt>
                <c:pt idx="10">
                  <c:v>-147147.0577253803</c:v>
                </c:pt>
                <c:pt idx="11">
                  <c:v>-156568.8516483973</c:v>
                </c:pt>
                <c:pt idx="12">
                  <c:v>-188984.0529315178</c:v>
                </c:pt>
                <c:pt idx="13">
                  <c:v>-192514.9659103354</c:v>
                </c:pt>
                <c:pt idx="14">
                  <c:v>-225045.7834156136</c:v>
                </c:pt>
                <c:pt idx="15">
                  <c:v>-227096.6743670911</c:v>
                </c:pt>
                <c:pt idx="16">
                  <c:v>-246906.9561792148</c:v>
                </c:pt>
                <c:pt idx="17">
                  <c:v>-265255.465718</c:v>
                </c:pt>
                <c:pt idx="18">
                  <c:v>-304653.0500879607</c:v>
                </c:pt>
                <c:pt idx="19">
                  <c:v>-325644.4667780333</c:v>
                </c:pt>
                <c:pt idx="20">
                  <c:v>-349762.0550433431</c:v>
                </c:pt>
                <c:pt idx="21">
                  <c:v>-386474.6006198504</c:v>
                </c:pt>
                <c:pt idx="22">
                  <c:v>-405711.9891586615</c:v>
                </c:pt>
                <c:pt idx="23">
                  <c:v>-444770.4197493964</c:v>
                </c:pt>
              </c:numCache>
            </c:numRef>
          </c:val>
        </c:ser>
        <c:ser>
          <c:idx val="2"/>
          <c:order val="3"/>
          <c:tx>
            <c:v>R&amp;D</c:v>
          </c:tx>
          <c:spPr>
            <a:solidFill>
              <a:schemeClr val="accent3">
                <a:lumMod val="60000"/>
                <a:lumOff val="40000"/>
              </a:schemeClr>
            </a:solidFill>
            <a:ln w="25400">
              <a:noFill/>
            </a:ln>
            <a:effectLst/>
          </c:spPr>
          <c:val>
            <c:numRef>
              <c:f>(Summary!$D$107:$O$107,Summary!$Q$107:$AB$107)</c:f>
              <c:numCache>
                <c:formatCode>#,##0</c:formatCode>
                <c:ptCount val="24"/>
                <c:pt idx="0">
                  <c:v>-54900.0</c:v>
                </c:pt>
                <c:pt idx="1">
                  <c:v>-54900.0</c:v>
                </c:pt>
                <c:pt idx="2">
                  <c:v>-77600.0</c:v>
                </c:pt>
                <c:pt idx="3">
                  <c:v>-82750.0</c:v>
                </c:pt>
                <c:pt idx="4">
                  <c:v>-90100.0</c:v>
                </c:pt>
                <c:pt idx="5">
                  <c:v>-86100.0</c:v>
                </c:pt>
                <c:pt idx="6">
                  <c:v>-134550.0</c:v>
                </c:pt>
                <c:pt idx="7">
                  <c:v>-135700.0</c:v>
                </c:pt>
                <c:pt idx="8">
                  <c:v>-156200.0</c:v>
                </c:pt>
                <c:pt idx="9">
                  <c:v>-148200.0</c:v>
                </c:pt>
                <c:pt idx="10">
                  <c:v>-159550.0</c:v>
                </c:pt>
                <c:pt idx="11">
                  <c:v>-166900.0</c:v>
                </c:pt>
                <c:pt idx="12">
                  <c:v>-208950.0</c:v>
                </c:pt>
                <c:pt idx="13">
                  <c:v>-196950.0</c:v>
                </c:pt>
                <c:pt idx="14">
                  <c:v>-208300.0</c:v>
                </c:pt>
                <c:pt idx="15">
                  <c:v>-217450.0</c:v>
                </c:pt>
                <c:pt idx="16">
                  <c:v>-224800.0</c:v>
                </c:pt>
                <c:pt idx="17">
                  <c:v>-244100.0</c:v>
                </c:pt>
                <c:pt idx="18">
                  <c:v>-250450.0</c:v>
                </c:pt>
                <c:pt idx="19">
                  <c:v>-246450.0</c:v>
                </c:pt>
                <c:pt idx="20">
                  <c:v>-246450.0</c:v>
                </c:pt>
                <c:pt idx="21">
                  <c:v>-246450.0</c:v>
                </c:pt>
                <c:pt idx="22">
                  <c:v>-259600.0</c:v>
                </c:pt>
                <c:pt idx="23">
                  <c:v>-255600.0</c:v>
                </c:pt>
              </c:numCache>
            </c:numRef>
          </c:val>
        </c:ser>
        <c:ser>
          <c:idx val="3"/>
          <c:order val="4"/>
          <c:tx>
            <c:v>S&amp;M</c:v>
          </c:tx>
          <c:spPr>
            <a:solidFill>
              <a:schemeClr val="accent1">
                <a:lumMod val="60000"/>
                <a:lumOff val="40000"/>
              </a:schemeClr>
            </a:solidFill>
            <a:ln w="25400">
              <a:noFill/>
            </a:ln>
            <a:effectLst/>
          </c:spPr>
          <c:val>
            <c:numRef>
              <c:f>(Summary!$D$108:$O$108,Summary!$Q$108:$AB$108)</c:f>
              <c:numCache>
                <c:formatCode>#,##0</c:formatCode>
                <c:ptCount val="24"/>
                <c:pt idx="0">
                  <c:v>-120250.0</c:v>
                </c:pt>
                <c:pt idx="1">
                  <c:v>-302400.0</c:v>
                </c:pt>
                <c:pt idx="2">
                  <c:v>-291650.0</c:v>
                </c:pt>
                <c:pt idx="3">
                  <c:v>-297650.0</c:v>
                </c:pt>
                <c:pt idx="4">
                  <c:v>-330900.0</c:v>
                </c:pt>
                <c:pt idx="5">
                  <c:v>-349350.0</c:v>
                </c:pt>
                <c:pt idx="6">
                  <c:v>-355350.0</c:v>
                </c:pt>
                <c:pt idx="7">
                  <c:v>-365350.0</c:v>
                </c:pt>
                <c:pt idx="8">
                  <c:v>-375350.0</c:v>
                </c:pt>
                <c:pt idx="9">
                  <c:v>-385350.0</c:v>
                </c:pt>
                <c:pt idx="10">
                  <c:v>-395350.0</c:v>
                </c:pt>
                <c:pt idx="11">
                  <c:v>-405350.0</c:v>
                </c:pt>
                <c:pt idx="12">
                  <c:v>-415350.0</c:v>
                </c:pt>
                <c:pt idx="13">
                  <c:v>-440200.0</c:v>
                </c:pt>
                <c:pt idx="14">
                  <c:v>-457450.0</c:v>
                </c:pt>
                <c:pt idx="15">
                  <c:v>-463450.0</c:v>
                </c:pt>
                <c:pt idx="16">
                  <c:v>-473450.0</c:v>
                </c:pt>
                <c:pt idx="17">
                  <c:v>-539450.0</c:v>
                </c:pt>
                <c:pt idx="18">
                  <c:v>-533450.0</c:v>
                </c:pt>
                <c:pt idx="19">
                  <c:v>-595200.0</c:v>
                </c:pt>
                <c:pt idx="20">
                  <c:v>-637950.0</c:v>
                </c:pt>
                <c:pt idx="21">
                  <c:v>-649600.0</c:v>
                </c:pt>
                <c:pt idx="22">
                  <c:v>-655600.0</c:v>
                </c:pt>
                <c:pt idx="23">
                  <c:v>-665600.0</c:v>
                </c:pt>
              </c:numCache>
            </c:numRef>
          </c:val>
        </c:ser>
        <c:ser>
          <c:idx val="4"/>
          <c:order val="5"/>
          <c:tx>
            <c:v>G&amp;A</c:v>
          </c:tx>
          <c:spPr>
            <a:solidFill>
              <a:schemeClr val="accent4">
                <a:lumMod val="60000"/>
                <a:lumOff val="40000"/>
              </a:schemeClr>
            </a:solidFill>
            <a:ln w="25400">
              <a:noFill/>
            </a:ln>
            <a:effectLst/>
          </c:spPr>
          <c:val>
            <c:numRef>
              <c:f>(Summary!$D$109:$O$109,Summary!$Q$109:$AB$109)</c:f>
              <c:numCache>
                <c:formatCode>#,##0</c:formatCode>
                <c:ptCount val="24"/>
                <c:pt idx="0">
                  <c:v>-244677.5</c:v>
                </c:pt>
                <c:pt idx="1">
                  <c:v>-110783.3875</c:v>
                </c:pt>
                <c:pt idx="2">
                  <c:v>-111932.7129375</c:v>
                </c:pt>
                <c:pt idx="3">
                  <c:v>-98141.3311765625</c:v>
                </c:pt>
                <c:pt idx="4">
                  <c:v>-99410.10555772657</c:v>
                </c:pt>
                <c:pt idx="5">
                  <c:v>-160992.4710964777</c:v>
                </c:pt>
                <c:pt idx="6">
                  <c:v>-140316.1632508062</c:v>
                </c:pt>
                <c:pt idx="7">
                  <c:v>-179036.127587133</c:v>
                </c:pt>
                <c:pt idx="8">
                  <c:v>-136082.9513882066</c:v>
                </c:pt>
                <c:pt idx="9">
                  <c:v>-172660.3525146414</c:v>
                </c:pt>
                <c:pt idx="10">
                  <c:v>-168924.739838459</c:v>
                </c:pt>
                <c:pt idx="11">
                  <c:v>-227466.9715578808</c:v>
                </c:pt>
                <c:pt idx="12">
                  <c:v>-189722.9723126575</c:v>
                </c:pt>
                <c:pt idx="13">
                  <c:v>-237372.0387707855</c:v>
                </c:pt>
                <c:pt idx="14">
                  <c:v>-195132.8137738904</c:v>
                </c:pt>
                <c:pt idx="15">
                  <c:v>-228023.0437453477</c:v>
                </c:pt>
                <c:pt idx="16">
                  <c:v>-305686.4448113028</c:v>
                </c:pt>
                <c:pt idx="17">
                  <c:v>-260129.6857164706</c:v>
                </c:pt>
                <c:pt idx="18">
                  <c:v>-278713.558875271</c:v>
                </c:pt>
                <c:pt idx="19">
                  <c:v>-282720.2745753137</c:v>
                </c:pt>
                <c:pt idx="20">
                  <c:v>-271918.8559078489</c:v>
                </c:pt>
                <c:pt idx="21">
                  <c:v>-276320.3533057944</c:v>
                </c:pt>
                <c:pt idx="22">
                  <c:v>-277202.6406815657</c:v>
                </c:pt>
                <c:pt idx="23">
                  <c:v>-218538.4822055273</c:v>
                </c:pt>
              </c:numCache>
            </c:numRef>
          </c:val>
        </c:ser>
        <c:dLbls>
          <c:showLegendKey val="0"/>
          <c:showVal val="0"/>
          <c:showCatName val="0"/>
          <c:showSerName val="0"/>
          <c:showPercent val="0"/>
          <c:showBubbleSize val="0"/>
        </c:dLbls>
        <c:axId val="-2098092072"/>
        <c:axId val="-2098089032"/>
      </c:areaChart>
      <c:lineChart>
        <c:grouping val="standard"/>
        <c:varyColors val="0"/>
        <c:ser>
          <c:idx val="6"/>
          <c:order val="0"/>
          <c:tx>
            <c:v>Revenues</c:v>
          </c:tx>
          <c:spPr>
            <a:ln>
              <a:solidFill>
                <a:srgbClr val="008000"/>
              </a:solidFill>
            </a:ln>
          </c:spPr>
          <c:marker>
            <c:symbol val="none"/>
          </c:marker>
          <c:val>
            <c:numRef>
              <c:f>(Summary!$D$6:$O$6,Summary!$Q$6:$AB$6)</c:f>
              <c:numCache>
                <c:formatCode>#,##0</c:formatCode>
                <c:ptCount val="24"/>
                <c:pt idx="0">
                  <c:v>178550.0</c:v>
                </c:pt>
                <c:pt idx="1">
                  <c:v>200667.75</c:v>
                </c:pt>
                <c:pt idx="2">
                  <c:v>223654.25875</c:v>
                </c:pt>
                <c:pt idx="3">
                  <c:v>247826.62353125</c:v>
                </c:pt>
                <c:pt idx="4">
                  <c:v>273202.1111545312</c:v>
                </c:pt>
                <c:pt idx="5">
                  <c:v>304849.4219295544</c:v>
                </c:pt>
                <c:pt idx="6">
                  <c:v>337323.2650161245</c:v>
                </c:pt>
                <c:pt idx="7">
                  <c:v>371722.5517426584</c:v>
                </c:pt>
                <c:pt idx="8">
                  <c:v>412659.0277641315</c:v>
                </c:pt>
                <c:pt idx="9">
                  <c:v>455207.0502928289</c:v>
                </c:pt>
                <c:pt idx="10">
                  <c:v>503494.7967691803</c:v>
                </c:pt>
                <c:pt idx="11">
                  <c:v>554339.431157615</c:v>
                </c:pt>
                <c:pt idx="12">
                  <c:v>599459.4462531508</c:v>
                </c:pt>
                <c:pt idx="13">
                  <c:v>652440.7754157106</c:v>
                </c:pt>
                <c:pt idx="14">
                  <c:v>707656.2754778073</c:v>
                </c:pt>
                <c:pt idx="15">
                  <c:v>765460.8749069539</c:v>
                </c:pt>
                <c:pt idx="16">
                  <c:v>825728.896226057</c:v>
                </c:pt>
                <c:pt idx="17">
                  <c:v>894593.714329411</c:v>
                </c:pt>
                <c:pt idx="18">
                  <c:v>966271.1775054202</c:v>
                </c:pt>
                <c:pt idx="19">
                  <c:v>1.04640549150627E6</c:v>
                </c:pt>
                <c:pt idx="20">
                  <c:v>1.13037711815698E6</c:v>
                </c:pt>
                <c:pt idx="21">
                  <c:v>1.21840706611589E6</c:v>
                </c:pt>
                <c:pt idx="22">
                  <c:v>1.31505281363131E6</c:v>
                </c:pt>
                <c:pt idx="23">
                  <c:v>1.42176964411055E6</c:v>
                </c:pt>
              </c:numCache>
            </c:numRef>
          </c:val>
          <c:smooth val="0"/>
        </c:ser>
        <c:ser>
          <c:idx val="5"/>
          <c:order val="6"/>
          <c:tx>
            <c:v>EBIT</c:v>
          </c:tx>
          <c:spPr>
            <a:ln>
              <a:solidFill>
                <a:schemeClr val="accent1"/>
              </a:solidFill>
            </a:ln>
          </c:spPr>
          <c:marker>
            <c:symbol val="none"/>
          </c:marker>
          <c:val>
            <c:numRef>
              <c:f>(Summary!$D$28:$O$28,Summary!$Q$28:$AB$28)</c:f>
              <c:numCache>
                <c:formatCode>#,##0</c:formatCode>
                <c:ptCount val="24"/>
                <c:pt idx="0">
                  <c:v>-280169.25</c:v>
                </c:pt>
                <c:pt idx="1">
                  <c:v>-318397.39625</c:v>
                </c:pt>
                <c:pt idx="2">
                  <c:v>-306224.06618125</c:v>
                </c:pt>
                <c:pt idx="3">
                  <c:v>-301524.9706454687</c:v>
                </c:pt>
                <c:pt idx="4">
                  <c:v>-311935.1738513305</c:v>
                </c:pt>
                <c:pt idx="5">
                  <c:v>-369145.2500309355</c:v>
                </c:pt>
                <c:pt idx="6">
                  <c:v>-378440.3757610524</c:v>
                </c:pt>
                <c:pt idx="7">
                  <c:v>-402069.9927426004</c:v>
                </c:pt>
                <c:pt idx="8">
                  <c:v>-394119.9409840262</c:v>
                </c:pt>
                <c:pt idx="9">
                  <c:v>-390925.901496703</c:v>
                </c:pt>
                <c:pt idx="10">
                  <c:v>-367477.0007946591</c:v>
                </c:pt>
                <c:pt idx="11">
                  <c:v>-401946.3920486629</c:v>
                </c:pt>
                <c:pt idx="12">
                  <c:v>-403547.5789910245</c:v>
                </c:pt>
                <c:pt idx="13">
                  <c:v>-414596.2292654103</c:v>
                </c:pt>
                <c:pt idx="14">
                  <c:v>-378272.3217116967</c:v>
                </c:pt>
                <c:pt idx="15">
                  <c:v>-370558.843205485</c:v>
                </c:pt>
                <c:pt idx="16">
                  <c:v>-425114.5047644607</c:v>
                </c:pt>
                <c:pt idx="17">
                  <c:v>-414341.4371050595</c:v>
                </c:pt>
                <c:pt idx="18">
                  <c:v>-400995.4314578117</c:v>
                </c:pt>
                <c:pt idx="19">
                  <c:v>-403609.2498470728</c:v>
                </c:pt>
                <c:pt idx="20">
                  <c:v>-375703.7927942139</c:v>
                </c:pt>
                <c:pt idx="21">
                  <c:v>-340437.8878097571</c:v>
                </c:pt>
                <c:pt idx="22">
                  <c:v>-283061.8162089141</c:v>
                </c:pt>
                <c:pt idx="23">
                  <c:v>-162739.2578443785</c:v>
                </c:pt>
              </c:numCache>
            </c:numRef>
          </c:val>
          <c:smooth val="0"/>
        </c:ser>
        <c:dLbls>
          <c:showLegendKey val="0"/>
          <c:showVal val="0"/>
          <c:showCatName val="0"/>
          <c:showSerName val="0"/>
          <c:showPercent val="0"/>
          <c:showBubbleSize val="0"/>
        </c:dLbls>
        <c:marker val="1"/>
        <c:smooth val="0"/>
        <c:axId val="-2098092072"/>
        <c:axId val="-2098089032"/>
      </c:lineChart>
      <c:dateAx>
        <c:axId val="-2098092072"/>
        <c:scaling>
          <c:orientation val="minMax"/>
        </c:scaling>
        <c:delete val="0"/>
        <c:axPos val="b"/>
        <c:numFmt formatCode="[$-409]mmm\-yy;@" sourceLinked="1"/>
        <c:majorTickMark val="out"/>
        <c:minorTickMark val="none"/>
        <c:tickLblPos val="low"/>
        <c:crossAx val="-2098089032"/>
        <c:crosses val="autoZero"/>
        <c:auto val="1"/>
        <c:lblOffset val="100"/>
        <c:baseTimeUnit val="months"/>
      </c:dateAx>
      <c:valAx>
        <c:axId val="-2098089032"/>
        <c:scaling>
          <c:orientation val="minMax"/>
        </c:scaling>
        <c:delete val="0"/>
        <c:axPos val="l"/>
        <c:majorGridlines/>
        <c:numFmt formatCode="[$$-409]#,##0" sourceLinked="0"/>
        <c:majorTickMark val="out"/>
        <c:minorTickMark val="none"/>
        <c:tickLblPos val="nextTo"/>
        <c:crossAx val="-2098092072"/>
        <c:crosses val="autoZero"/>
        <c:crossBetween val="between"/>
      </c:valAx>
    </c:plotArea>
    <c:legend>
      <c:legendPos val="b"/>
      <c:legendEntry>
        <c:idx val="0"/>
        <c:delete val="1"/>
      </c:legendEntry>
      <c:layout>
        <c:manualLayout>
          <c:xMode val="edge"/>
          <c:yMode val="edge"/>
          <c:x val="0.169750733901336"/>
          <c:y val="0.870140054605214"/>
          <c:w val="0.755196874373737"/>
          <c:h val="0.0560391384900417"/>
        </c:manualLayout>
      </c:layout>
      <c:overlay val="1"/>
      <c:txPr>
        <a:bodyPr/>
        <a:lstStyle/>
        <a:p>
          <a:pPr>
            <a:defRPr sz="1000"/>
          </a:pPr>
          <a:endParaRPr lang="de-DE"/>
        </a:p>
      </c:txPr>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Gross Profit Margin</a:t>
            </a:r>
          </a:p>
        </c:rich>
      </c:tx>
      <c:layout>
        <c:manualLayout>
          <c:xMode val="edge"/>
          <c:yMode val="edge"/>
          <c:x val="0.38023718714135"/>
          <c:y val="0.0372903743402472"/>
        </c:manualLayout>
      </c:layout>
      <c:overlay val="0"/>
    </c:title>
    <c:autoTitleDeleted val="0"/>
    <c:plotArea>
      <c:layout>
        <c:manualLayout>
          <c:layoutTarget val="inner"/>
          <c:xMode val="edge"/>
          <c:yMode val="edge"/>
          <c:x val="0.114563362812132"/>
          <c:y val="0.166249654648432"/>
          <c:w val="0.80775046652798"/>
          <c:h val="0.610510421491431"/>
        </c:manualLayout>
      </c:layout>
      <c:lineChart>
        <c:grouping val="standard"/>
        <c:varyColors val="0"/>
        <c:ser>
          <c:idx val="0"/>
          <c:order val="0"/>
          <c:tx>
            <c:v>Revenues</c:v>
          </c:tx>
          <c:spPr>
            <a:ln w="38100" cmpd="sng">
              <a:solidFill>
                <a:schemeClr val="accent1"/>
              </a:solidFill>
            </a:ln>
          </c:spPr>
          <c:marker>
            <c:symbol val="none"/>
          </c:marker>
          <c:cat>
            <c:numRef>
              <c:f>(Summary!$D$2:$O$2,Summary!$Q$2:$AB$2)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(Summary!$D$12:$O$12,Summary!$Q$12:$AB$12)</c:f>
              <c:numCache>
                <c:formatCode>0%</c:formatCode>
                <c:ptCount val="24"/>
                <c:pt idx="0">
                  <c:v>0.782180061607393</c:v>
                </c:pt>
                <c:pt idx="1">
                  <c:v>0.74593945090828</c:v>
                </c:pt>
                <c:pt idx="2">
                  <c:v>0.782272815792067</c:v>
                </c:pt>
                <c:pt idx="3">
                  <c:v>0.714274995998453</c:v>
                </c:pt>
                <c:pt idx="4">
                  <c:v>0.763079504859596</c:v>
                </c:pt>
                <c:pt idx="5">
                  <c:v>0.745604894465133</c:v>
                </c:pt>
                <c:pt idx="6">
                  <c:v>0.746393188971768</c:v>
                </c:pt>
                <c:pt idx="7">
                  <c:v>0.74791301614921</c:v>
                </c:pt>
                <c:pt idx="8">
                  <c:v>0.662806317084902</c:v>
                </c:pt>
                <c:pt idx="9">
                  <c:v>0.692617679834089</c:v>
                </c:pt>
                <c:pt idx="10">
                  <c:v>0.707748603025112</c:v>
                </c:pt>
                <c:pt idx="11">
                  <c:v>0.717557794289614</c:v>
                </c:pt>
                <c:pt idx="12">
                  <c:v>0.68474255579299</c:v>
                </c:pt>
                <c:pt idx="13">
                  <c:v>0.704931124533607</c:v>
                </c:pt>
                <c:pt idx="14">
                  <c:v>0.681984331639448</c:v>
                </c:pt>
                <c:pt idx="15">
                  <c:v>0.703320337052242</c:v>
                </c:pt>
                <c:pt idx="16">
                  <c:v>0.700983025654439</c:v>
                </c:pt>
                <c:pt idx="17">
                  <c:v>0.703490577376976</c:v>
                </c:pt>
                <c:pt idx="18">
                  <c:v>0.684712679856114</c:v>
                </c:pt>
                <c:pt idx="19">
                  <c:v>0.688797058672469</c:v>
                </c:pt>
                <c:pt idx="20">
                  <c:v>0.690579321338694</c:v>
                </c:pt>
                <c:pt idx="21">
                  <c:v>0.682803382081591</c:v>
                </c:pt>
                <c:pt idx="22">
                  <c:v>0.691486163176708</c:v>
                </c:pt>
                <c:pt idx="23">
                  <c:v>0.687171250566653</c:v>
                </c:pt>
              </c:numCache>
            </c:numRef>
          </c:val>
          <c:smooth val="0"/>
        </c:ser>
        <c:dLbls>
          <c:showLegendKey val="0"/>
          <c:showVal val="0"/>
          <c:showCatName val="0"/>
          <c:showSerName val="0"/>
          <c:showPercent val="0"/>
          <c:showBubbleSize val="0"/>
        </c:dLbls>
        <c:marker val="1"/>
        <c:smooth val="0"/>
        <c:axId val="-2098174168"/>
        <c:axId val="-2097768632"/>
      </c:lineChart>
      <c:dateAx>
        <c:axId val="-2098174168"/>
        <c:scaling>
          <c:orientation val="minMax"/>
        </c:scaling>
        <c:delete val="0"/>
        <c:axPos val="b"/>
        <c:numFmt formatCode="[$-409]mmm\-yy;@" sourceLinked="1"/>
        <c:majorTickMark val="out"/>
        <c:minorTickMark val="none"/>
        <c:tickLblPos val="low"/>
        <c:crossAx val="-2097768632"/>
        <c:crosses val="autoZero"/>
        <c:auto val="1"/>
        <c:lblOffset val="100"/>
        <c:baseTimeUnit val="months"/>
      </c:dateAx>
      <c:valAx>
        <c:axId val="-2097768632"/>
        <c:scaling>
          <c:orientation val="minMax"/>
        </c:scaling>
        <c:delete val="0"/>
        <c:axPos val="l"/>
        <c:majorGridlines/>
        <c:numFmt formatCode="0%" sourceLinked="1"/>
        <c:majorTickMark val="out"/>
        <c:minorTickMark val="none"/>
        <c:tickLblPos val="nextTo"/>
        <c:crossAx val="-2098174168"/>
        <c:crosses val="autoZero"/>
        <c:crossBetween val="between"/>
      </c:valAx>
    </c:plotArea>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Headcount by department</a:t>
            </a:r>
          </a:p>
        </c:rich>
      </c:tx>
      <c:layout>
        <c:manualLayout>
          <c:xMode val="edge"/>
          <c:yMode val="edge"/>
          <c:x val="0.348839965395117"/>
          <c:y val="0.0402315886984715"/>
        </c:manualLayout>
      </c:layout>
      <c:overlay val="0"/>
    </c:title>
    <c:autoTitleDeleted val="0"/>
    <c:plotArea>
      <c:layout>
        <c:manualLayout>
          <c:layoutTarget val="inner"/>
          <c:xMode val="edge"/>
          <c:yMode val="edge"/>
          <c:x val="0.112688833095717"/>
          <c:y val="0.166249654648432"/>
          <c:w val="0.829248326500996"/>
          <c:h val="0.572275127373784"/>
        </c:manualLayout>
      </c:layout>
      <c:areaChart>
        <c:grouping val="stacked"/>
        <c:varyColors val="0"/>
        <c:ser>
          <c:idx val="2"/>
          <c:order val="0"/>
          <c:tx>
            <c:v>G&amp;A</c:v>
          </c:tx>
          <c:spPr>
            <a:solidFill>
              <a:schemeClr val="accent4">
                <a:lumMod val="60000"/>
                <a:lumOff val="40000"/>
              </a:schemeClr>
            </a:solidFill>
            <a:ln w="25400">
              <a:noFill/>
            </a:ln>
            <a:effectLst/>
          </c:spPr>
          <c:cat>
            <c:numRef>
              <c:f>(Costs!$J$2:$U$2,Costs!$W$2:$AH$2)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(Costs!$J$18:$U$18,Costs!$W$18:$AH$18)</c:f>
              <c:numCache>
                <c:formatCode>#,##0</c:formatCode>
                <c:ptCount val="24"/>
                <c:pt idx="0">
                  <c:v>3.0</c:v>
                </c:pt>
                <c:pt idx="1">
                  <c:v>3.0</c:v>
                </c:pt>
                <c:pt idx="2">
                  <c:v>3.0</c:v>
                </c:pt>
                <c:pt idx="3">
                  <c:v>3.0</c:v>
                </c:pt>
                <c:pt idx="4">
                  <c:v>3.0</c:v>
                </c:pt>
                <c:pt idx="5">
                  <c:v>3.0</c:v>
                </c:pt>
                <c:pt idx="6">
                  <c:v>5.0</c:v>
                </c:pt>
                <c:pt idx="7">
                  <c:v>5.0</c:v>
                </c:pt>
                <c:pt idx="8">
                  <c:v>5.0</c:v>
                </c:pt>
                <c:pt idx="9">
                  <c:v>6.0</c:v>
                </c:pt>
                <c:pt idx="10">
                  <c:v>7.0</c:v>
                </c:pt>
                <c:pt idx="11">
                  <c:v>7.0</c:v>
                </c:pt>
                <c:pt idx="12">
                  <c:v>7.0</c:v>
                </c:pt>
                <c:pt idx="13">
                  <c:v>7.0</c:v>
                </c:pt>
                <c:pt idx="14">
                  <c:v>7.0</c:v>
                </c:pt>
                <c:pt idx="15">
                  <c:v>7.0</c:v>
                </c:pt>
                <c:pt idx="16">
                  <c:v>8.0</c:v>
                </c:pt>
                <c:pt idx="17">
                  <c:v>8.0</c:v>
                </c:pt>
                <c:pt idx="18">
                  <c:v>8.0</c:v>
                </c:pt>
                <c:pt idx="19">
                  <c:v>8.0</c:v>
                </c:pt>
                <c:pt idx="20">
                  <c:v>8.0</c:v>
                </c:pt>
                <c:pt idx="21">
                  <c:v>8.0</c:v>
                </c:pt>
                <c:pt idx="22">
                  <c:v>9.0</c:v>
                </c:pt>
                <c:pt idx="23">
                  <c:v>9.0</c:v>
                </c:pt>
              </c:numCache>
            </c:numRef>
          </c:val>
        </c:ser>
        <c:ser>
          <c:idx val="0"/>
          <c:order val="1"/>
          <c:tx>
            <c:v>R&amp;D</c:v>
          </c:tx>
          <c:spPr>
            <a:solidFill>
              <a:schemeClr val="accent1">
                <a:lumMod val="60000"/>
                <a:lumOff val="40000"/>
              </a:schemeClr>
            </a:solidFill>
            <a:ln w="25400">
              <a:noFill/>
            </a:ln>
          </c:spPr>
          <c:cat>
            <c:numRef>
              <c:f>(Costs!$J$2:$U$2,Costs!$W$2:$AH$2)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(Costs!$J$51:$U$51,Costs!$W$51:$AH$51)</c:f>
              <c:numCache>
                <c:formatCode>#,##0</c:formatCode>
                <c:ptCount val="24"/>
                <c:pt idx="0">
                  <c:v>6.0</c:v>
                </c:pt>
                <c:pt idx="1">
                  <c:v>6.0</c:v>
                </c:pt>
                <c:pt idx="2">
                  <c:v>8.0</c:v>
                </c:pt>
                <c:pt idx="3">
                  <c:v>9.0</c:v>
                </c:pt>
                <c:pt idx="4">
                  <c:v>10.0</c:v>
                </c:pt>
                <c:pt idx="5">
                  <c:v>10.0</c:v>
                </c:pt>
                <c:pt idx="6">
                  <c:v>13.0</c:v>
                </c:pt>
                <c:pt idx="7">
                  <c:v>14.0</c:v>
                </c:pt>
                <c:pt idx="8">
                  <c:v>16.0</c:v>
                </c:pt>
                <c:pt idx="9">
                  <c:v>16.0</c:v>
                </c:pt>
                <c:pt idx="10">
                  <c:v>17.0</c:v>
                </c:pt>
                <c:pt idx="11">
                  <c:v>18.0</c:v>
                </c:pt>
                <c:pt idx="12">
                  <c:v>21.0</c:v>
                </c:pt>
                <c:pt idx="13">
                  <c:v>21.0</c:v>
                </c:pt>
                <c:pt idx="14">
                  <c:v>22.0</c:v>
                </c:pt>
                <c:pt idx="15">
                  <c:v>23.0</c:v>
                </c:pt>
                <c:pt idx="16">
                  <c:v>24.0</c:v>
                </c:pt>
                <c:pt idx="17">
                  <c:v>26.0</c:v>
                </c:pt>
                <c:pt idx="18">
                  <c:v>27.0</c:v>
                </c:pt>
                <c:pt idx="19">
                  <c:v>27.0</c:v>
                </c:pt>
                <c:pt idx="20">
                  <c:v>27.0</c:v>
                </c:pt>
                <c:pt idx="21">
                  <c:v>27.0</c:v>
                </c:pt>
                <c:pt idx="22">
                  <c:v>28.0</c:v>
                </c:pt>
                <c:pt idx="23">
                  <c:v>28.0</c:v>
                </c:pt>
              </c:numCache>
            </c:numRef>
          </c:val>
        </c:ser>
        <c:ser>
          <c:idx val="1"/>
          <c:order val="2"/>
          <c:tx>
            <c:v>Marketing</c:v>
          </c:tx>
          <c:spPr>
            <a:solidFill>
              <a:schemeClr val="accent3">
                <a:lumMod val="60000"/>
                <a:lumOff val="40000"/>
              </a:schemeClr>
            </a:solidFill>
            <a:ln w="25400">
              <a:noFill/>
            </a:ln>
          </c:spPr>
          <c:cat>
            <c:numRef>
              <c:f>(Costs!$J$2:$U$2,Costs!$W$2:$AH$2)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(Costs!$J$64:$U$64,Costs!$W$64:$AH$64)</c:f>
              <c:numCache>
                <c:formatCode>#,##0</c:formatCode>
                <c:ptCount val="24"/>
                <c:pt idx="0">
                  <c:v>1.0</c:v>
                </c:pt>
                <c:pt idx="1">
                  <c:v>2.0</c:v>
                </c:pt>
                <c:pt idx="2">
                  <c:v>2.0</c:v>
                </c:pt>
                <c:pt idx="3">
                  <c:v>2.0</c:v>
                </c:pt>
                <c:pt idx="4">
                  <c:v>3.0</c:v>
                </c:pt>
                <c:pt idx="5">
                  <c:v>4.0</c:v>
                </c:pt>
                <c:pt idx="6">
                  <c:v>4.0</c:v>
                </c:pt>
                <c:pt idx="7">
                  <c:v>4.0</c:v>
                </c:pt>
                <c:pt idx="8">
                  <c:v>4.0</c:v>
                </c:pt>
                <c:pt idx="9">
                  <c:v>4.0</c:v>
                </c:pt>
                <c:pt idx="10">
                  <c:v>4.0</c:v>
                </c:pt>
                <c:pt idx="11">
                  <c:v>4.0</c:v>
                </c:pt>
                <c:pt idx="12">
                  <c:v>4.0</c:v>
                </c:pt>
                <c:pt idx="13">
                  <c:v>5.0</c:v>
                </c:pt>
                <c:pt idx="14">
                  <c:v>6.0</c:v>
                </c:pt>
                <c:pt idx="15">
                  <c:v>6.0</c:v>
                </c:pt>
                <c:pt idx="16">
                  <c:v>6.0</c:v>
                </c:pt>
                <c:pt idx="17">
                  <c:v>7.0</c:v>
                </c:pt>
                <c:pt idx="18">
                  <c:v>7.0</c:v>
                </c:pt>
                <c:pt idx="19">
                  <c:v>7.0</c:v>
                </c:pt>
                <c:pt idx="20">
                  <c:v>7.0</c:v>
                </c:pt>
                <c:pt idx="21">
                  <c:v>8.0</c:v>
                </c:pt>
                <c:pt idx="22">
                  <c:v>8.0</c:v>
                </c:pt>
                <c:pt idx="23">
                  <c:v>8.0</c:v>
                </c:pt>
              </c:numCache>
            </c:numRef>
          </c:val>
        </c:ser>
        <c:ser>
          <c:idx val="3"/>
          <c:order val="3"/>
          <c:tx>
            <c:v>Sales</c:v>
          </c:tx>
          <c:spPr>
            <a:solidFill>
              <a:schemeClr val="accent6">
                <a:lumMod val="60000"/>
                <a:lumOff val="40000"/>
              </a:schemeClr>
            </a:solidFill>
            <a:ln w="25400">
              <a:noFill/>
            </a:ln>
          </c:spPr>
          <c:cat>
            <c:numRef>
              <c:f>(Costs!$J$2:$U$2,Costs!$W$2:$AH$2)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(Costs!$J$74:$U$74,Costs!$W$74:$AH$74)</c:f>
              <c:numCache>
                <c:formatCode>#,##0</c:formatCode>
                <c:ptCount val="24"/>
                <c:pt idx="0">
                  <c:v>8.0</c:v>
                </c:pt>
                <c:pt idx="1">
                  <c:v>18.0</c:v>
                </c:pt>
                <c:pt idx="2">
                  <c:v>19.0</c:v>
                </c:pt>
                <c:pt idx="3">
                  <c:v>19.0</c:v>
                </c:pt>
                <c:pt idx="4">
                  <c:v>19.0</c:v>
                </c:pt>
                <c:pt idx="5">
                  <c:v>19.0</c:v>
                </c:pt>
                <c:pt idx="6">
                  <c:v>19.0</c:v>
                </c:pt>
                <c:pt idx="7">
                  <c:v>19.0</c:v>
                </c:pt>
                <c:pt idx="8">
                  <c:v>19.0</c:v>
                </c:pt>
                <c:pt idx="9">
                  <c:v>19.0</c:v>
                </c:pt>
                <c:pt idx="10">
                  <c:v>19.0</c:v>
                </c:pt>
                <c:pt idx="11">
                  <c:v>19.0</c:v>
                </c:pt>
                <c:pt idx="12">
                  <c:v>19.0</c:v>
                </c:pt>
                <c:pt idx="13">
                  <c:v>19.0</c:v>
                </c:pt>
                <c:pt idx="14">
                  <c:v>19.0</c:v>
                </c:pt>
                <c:pt idx="15">
                  <c:v>19.0</c:v>
                </c:pt>
                <c:pt idx="16">
                  <c:v>19.0</c:v>
                </c:pt>
                <c:pt idx="17">
                  <c:v>22.0</c:v>
                </c:pt>
                <c:pt idx="18">
                  <c:v>22.0</c:v>
                </c:pt>
                <c:pt idx="19">
                  <c:v>25.0</c:v>
                </c:pt>
                <c:pt idx="20">
                  <c:v>28.0</c:v>
                </c:pt>
                <c:pt idx="21">
                  <c:v>28.0</c:v>
                </c:pt>
                <c:pt idx="22">
                  <c:v>28.0</c:v>
                </c:pt>
                <c:pt idx="23">
                  <c:v>28.0</c:v>
                </c:pt>
              </c:numCache>
            </c:numRef>
          </c:val>
        </c:ser>
        <c:ser>
          <c:idx val="4"/>
          <c:order val="4"/>
          <c:tx>
            <c:v>CS</c:v>
          </c:tx>
          <c:spPr>
            <a:solidFill>
              <a:schemeClr val="accent2">
                <a:lumMod val="60000"/>
                <a:lumOff val="40000"/>
              </a:schemeClr>
            </a:solidFill>
            <a:ln w="25400">
              <a:noFill/>
            </a:ln>
          </c:spPr>
          <c:cat>
            <c:numRef>
              <c:f>(Costs!$J$2:$U$2,Costs!$W$2:$AH$2)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(Costs!$J$83:$U$83,Costs!$W$83:$AH$83)</c:f>
              <c:numCache>
                <c:formatCode>#,##0</c:formatCode>
                <c:ptCount val="24"/>
                <c:pt idx="0">
                  <c:v>3.0</c:v>
                </c:pt>
                <c:pt idx="1">
                  <c:v>4.0</c:v>
                </c:pt>
                <c:pt idx="2">
                  <c:v>4.0</c:v>
                </c:pt>
                <c:pt idx="3">
                  <c:v>6.0</c:v>
                </c:pt>
                <c:pt idx="4">
                  <c:v>6.0</c:v>
                </c:pt>
                <c:pt idx="5">
                  <c:v>7.0</c:v>
                </c:pt>
                <c:pt idx="6">
                  <c:v>8.0</c:v>
                </c:pt>
                <c:pt idx="7">
                  <c:v>9.0</c:v>
                </c:pt>
                <c:pt idx="8">
                  <c:v>12.0</c:v>
                </c:pt>
                <c:pt idx="9">
                  <c:v>13.0</c:v>
                </c:pt>
                <c:pt idx="10">
                  <c:v>14.0</c:v>
                </c:pt>
                <c:pt idx="11">
                  <c:v>15.0</c:v>
                </c:pt>
                <c:pt idx="12">
                  <c:v>18.0</c:v>
                </c:pt>
                <c:pt idx="13">
                  <c:v>19.0</c:v>
                </c:pt>
                <c:pt idx="14">
                  <c:v>22.0</c:v>
                </c:pt>
                <c:pt idx="15">
                  <c:v>23.0</c:v>
                </c:pt>
                <c:pt idx="16">
                  <c:v>25.0</c:v>
                </c:pt>
                <c:pt idx="17">
                  <c:v>27.0</c:v>
                </c:pt>
                <c:pt idx="18">
                  <c:v>31.0</c:v>
                </c:pt>
                <c:pt idx="19">
                  <c:v>34.0</c:v>
                </c:pt>
                <c:pt idx="20">
                  <c:v>37.0</c:v>
                </c:pt>
                <c:pt idx="21">
                  <c:v>41.0</c:v>
                </c:pt>
                <c:pt idx="22">
                  <c:v>44.0</c:v>
                </c:pt>
                <c:pt idx="23">
                  <c:v>48.0</c:v>
                </c:pt>
              </c:numCache>
            </c:numRef>
          </c:val>
        </c:ser>
        <c:dLbls>
          <c:showLegendKey val="0"/>
          <c:showVal val="0"/>
          <c:showCatName val="0"/>
          <c:showSerName val="0"/>
          <c:showPercent val="0"/>
          <c:showBubbleSize val="0"/>
        </c:dLbls>
        <c:axId val="-2097440360"/>
        <c:axId val="-2097475352"/>
      </c:areaChart>
      <c:dateAx>
        <c:axId val="-2097440360"/>
        <c:scaling>
          <c:orientation val="minMax"/>
        </c:scaling>
        <c:delete val="0"/>
        <c:axPos val="b"/>
        <c:numFmt formatCode="[$-409]mmm\-yy;@" sourceLinked="1"/>
        <c:majorTickMark val="out"/>
        <c:minorTickMark val="none"/>
        <c:tickLblPos val="low"/>
        <c:crossAx val="-2097475352"/>
        <c:crosses val="autoZero"/>
        <c:auto val="1"/>
        <c:lblOffset val="100"/>
        <c:baseTimeUnit val="months"/>
      </c:dateAx>
      <c:valAx>
        <c:axId val="-2097475352"/>
        <c:scaling>
          <c:orientation val="minMax"/>
        </c:scaling>
        <c:delete val="0"/>
        <c:axPos val="l"/>
        <c:majorGridlines/>
        <c:numFmt formatCode="#,##0" sourceLinked="1"/>
        <c:majorTickMark val="out"/>
        <c:minorTickMark val="none"/>
        <c:tickLblPos val="nextTo"/>
        <c:crossAx val="-2097440360"/>
        <c:crosses val="autoZero"/>
        <c:crossBetween val="midCat"/>
      </c:valAx>
    </c:plotArea>
    <c:legend>
      <c:legendPos val="b"/>
      <c:layout>
        <c:manualLayout>
          <c:xMode val="edge"/>
          <c:yMode val="edge"/>
          <c:x val="0.203110236701046"/>
          <c:y val="0.881904817044928"/>
          <c:w val="0.673473045629897"/>
          <c:h val="0.0560391384900417"/>
        </c:manualLayout>
      </c:layout>
      <c:overlay val="1"/>
      <c:txPr>
        <a:bodyPr/>
        <a:lstStyle/>
        <a:p>
          <a:pPr>
            <a:defRPr sz="1000"/>
          </a:pPr>
          <a:endParaRPr lang="de-DE"/>
        </a:p>
      </c:txPr>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Sales</a:t>
            </a:r>
            <a:r>
              <a:rPr lang="de-DE" sz="1200" baseline="0"/>
              <a:t> &amp; Marketing Efficiency</a:t>
            </a:r>
            <a:endParaRPr lang="de-DE" sz="1200"/>
          </a:p>
        </c:rich>
      </c:tx>
      <c:layout>
        <c:manualLayout>
          <c:xMode val="edge"/>
          <c:yMode val="edge"/>
          <c:x val="0.348839965395117"/>
          <c:y val="0.0372904122278833"/>
        </c:manualLayout>
      </c:layout>
      <c:overlay val="0"/>
    </c:title>
    <c:autoTitleDeleted val="0"/>
    <c:plotArea>
      <c:layout>
        <c:manualLayout>
          <c:layoutTarget val="inner"/>
          <c:xMode val="edge"/>
          <c:yMode val="edge"/>
          <c:x val="0.126425098954421"/>
          <c:y val="0.166249654648432"/>
          <c:w val="0.795888823701285"/>
          <c:h val="0.610510421491431"/>
        </c:manualLayout>
      </c:layout>
      <c:lineChart>
        <c:grouping val="standard"/>
        <c:varyColors val="0"/>
        <c:ser>
          <c:idx val="0"/>
          <c:order val="0"/>
          <c:tx>
            <c:v>Total S&amp;M spend per $1 net new ARR</c:v>
          </c:tx>
          <c:spPr>
            <a:ln w="38100" cmpd="sng">
              <a:solidFill>
                <a:schemeClr val="accent1"/>
              </a:solidFill>
            </a:ln>
          </c:spPr>
          <c:marker>
            <c:symbol val="none"/>
          </c:marker>
          <c:cat>
            <c:numRef>
              <c:f>(Summary!$D$2:$O$2,Summary!$Q$2:$AB$2)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(Summary!$D$111:$O$111,Summary!$Q$111:$AB$111)</c:f>
              <c:numCache>
                <c:formatCode>#,##0.00</c:formatCode>
                <c:ptCount val="24"/>
                <c:pt idx="0">
                  <c:v>0.624350986500519</c:v>
                </c:pt>
                <c:pt idx="1">
                  <c:v>1.139356399272078</c:v>
                </c:pt>
                <c:pt idx="2">
                  <c:v>1.057323098996783</c:v>
                </c:pt>
                <c:pt idx="3">
                  <c:v>1.026137363519631</c:v>
                </c:pt>
                <c:pt idx="4">
                  <c:v>1.086678625032639</c:v>
                </c:pt>
                <c:pt idx="5">
                  <c:v>0.919904386409234</c:v>
                </c:pt>
                <c:pt idx="6">
                  <c:v>0.911887759051423</c:v>
                </c:pt>
                <c:pt idx="7">
                  <c:v>0.885071646263205</c:v>
                </c:pt>
                <c:pt idx="8">
                  <c:v>0.764090359176478</c:v>
                </c:pt>
                <c:pt idx="9">
                  <c:v>0.754735428146891</c:v>
                </c:pt>
                <c:pt idx="10">
                  <c:v>0.682281442756256</c:v>
                </c:pt>
                <c:pt idx="11">
                  <c:v>0.664360498860231</c:v>
                </c:pt>
                <c:pt idx="12">
                  <c:v>0.767120753987172</c:v>
                </c:pt>
                <c:pt idx="13">
                  <c:v>0.692382277175036</c:v>
                </c:pt>
                <c:pt idx="14">
                  <c:v>0.690400943402881</c:v>
                </c:pt>
                <c:pt idx="15">
                  <c:v>0.668127341331591</c:v>
                </c:pt>
                <c:pt idx="16">
                  <c:v>0.654645130255188</c:v>
                </c:pt>
                <c:pt idx="17">
                  <c:v>0.652788577749502</c:v>
                </c:pt>
                <c:pt idx="18">
                  <c:v>0.620197265596667</c:v>
                </c:pt>
                <c:pt idx="19">
                  <c:v>0.618960811213425</c:v>
                </c:pt>
                <c:pt idx="20">
                  <c:v>0.633100752247417</c:v>
                </c:pt>
                <c:pt idx="21">
                  <c:v>0.614942239413816</c:v>
                </c:pt>
                <c:pt idx="22">
                  <c:v>0.565294746409958</c:v>
                </c:pt>
                <c:pt idx="23">
                  <c:v>0.519755566367396</c:v>
                </c:pt>
              </c:numCache>
            </c:numRef>
          </c:val>
          <c:smooth val="0"/>
        </c:ser>
        <c:dLbls>
          <c:showLegendKey val="0"/>
          <c:showVal val="0"/>
          <c:showCatName val="0"/>
          <c:showSerName val="0"/>
          <c:showPercent val="0"/>
          <c:showBubbleSize val="0"/>
        </c:dLbls>
        <c:marker val="1"/>
        <c:smooth val="0"/>
        <c:axId val="-2131684888"/>
        <c:axId val="-2124822952"/>
      </c:lineChart>
      <c:dateAx>
        <c:axId val="-2131684888"/>
        <c:scaling>
          <c:orientation val="minMax"/>
        </c:scaling>
        <c:delete val="0"/>
        <c:axPos val="b"/>
        <c:numFmt formatCode="[$-409]mmm\-yy;@" sourceLinked="1"/>
        <c:majorTickMark val="out"/>
        <c:minorTickMark val="none"/>
        <c:tickLblPos val="low"/>
        <c:crossAx val="-2124822952"/>
        <c:crosses val="autoZero"/>
        <c:auto val="1"/>
        <c:lblOffset val="100"/>
        <c:baseTimeUnit val="months"/>
      </c:dateAx>
      <c:valAx>
        <c:axId val="-2124822952"/>
        <c:scaling>
          <c:orientation val="minMax"/>
        </c:scaling>
        <c:delete val="0"/>
        <c:axPos val="l"/>
        <c:majorGridlines/>
        <c:numFmt formatCode="#,##0.00" sourceLinked="1"/>
        <c:majorTickMark val="out"/>
        <c:minorTickMark val="none"/>
        <c:tickLblPos val="nextTo"/>
        <c:crossAx val="-2131684888"/>
        <c:crosses val="autoZero"/>
        <c:crossBetween val="between"/>
      </c:valAx>
    </c:plotArea>
    <c:legend>
      <c:legendPos val="b"/>
      <c:overlay val="0"/>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CAC payback time pricing plan</a:t>
            </a:r>
          </a:p>
        </c:rich>
      </c:tx>
      <c:layout>
        <c:manualLayout>
          <c:xMode val="edge"/>
          <c:yMode val="edge"/>
          <c:x val="0.340990670618714"/>
          <c:y val="0.0372904122278833"/>
        </c:manualLayout>
      </c:layout>
      <c:overlay val="0"/>
    </c:title>
    <c:autoTitleDeleted val="0"/>
    <c:plotArea>
      <c:layout>
        <c:manualLayout>
          <c:layoutTarget val="inner"/>
          <c:xMode val="edge"/>
          <c:yMode val="edge"/>
          <c:x val="0.112265260787901"/>
          <c:y val="0.166249654648432"/>
          <c:w val="0.829671900448911"/>
          <c:h val="0.551686986707307"/>
        </c:manualLayout>
      </c:layout>
      <c:lineChart>
        <c:grouping val="standard"/>
        <c:varyColors val="0"/>
        <c:ser>
          <c:idx val="0"/>
          <c:order val="0"/>
          <c:tx>
            <c:v>Basic</c:v>
          </c:tx>
          <c:spPr>
            <a:ln>
              <a:solidFill>
                <a:schemeClr val="accent4">
                  <a:lumMod val="75000"/>
                </a:schemeClr>
              </a:solidFill>
            </a:ln>
          </c:spPr>
          <c:marker>
            <c:symbol val="none"/>
          </c:marker>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(Revenues!$I$221:$T$221,Revenues!$V$221:$AG$221)</c:f>
              <c:numCache>
                <c:formatCode>#,##0.00</c:formatCode>
                <c:ptCount val="24"/>
                <c:pt idx="0">
                  <c:v>5.529924678095302</c:v>
                </c:pt>
                <c:pt idx="1">
                  <c:v>9.175218688450625</c:v>
                </c:pt>
                <c:pt idx="2">
                  <c:v>8.277565988399136</c:v>
                </c:pt>
                <c:pt idx="3">
                  <c:v>9.135684888131832</c:v>
                </c:pt>
                <c:pt idx="4">
                  <c:v>11.18714010260977</c:v>
                </c:pt>
                <c:pt idx="5">
                  <c:v>11.75362143788258</c:v>
                </c:pt>
                <c:pt idx="6">
                  <c:v>10.87345936114431</c:v>
                </c:pt>
                <c:pt idx="7">
                  <c:v>10.34480370928296</c:v>
                </c:pt>
                <c:pt idx="8">
                  <c:v>11.09152738422792</c:v>
                </c:pt>
                <c:pt idx="9">
                  <c:v>10.11437159512157</c:v>
                </c:pt>
                <c:pt idx="10">
                  <c:v>9.375149233018646</c:v>
                </c:pt>
                <c:pt idx="11">
                  <c:v>8.791427166894023</c:v>
                </c:pt>
                <c:pt idx="12">
                  <c:v>8.696185289075137</c:v>
                </c:pt>
                <c:pt idx="13">
                  <c:v>8.702116584004958</c:v>
                </c:pt>
                <c:pt idx="14">
                  <c:v>8.88232851411894</c:v>
                </c:pt>
                <c:pt idx="15">
                  <c:v>8.100523223045493</c:v>
                </c:pt>
                <c:pt idx="16">
                  <c:v>7.7402544001866</c:v>
                </c:pt>
                <c:pt idx="17">
                  <c:v>7.677043309348165</c:v>
                </c:pt>
                <c:pt idx="18">
                  <c:v>7.385264053921847</c:v>
                </c:pt>
                <c:pt idx="19">
                  <c:v>6.988409453218444</c:v>
                </c:pt>
                <c:pt idx="20">
                  <c:v>6.620280881560904</c:v>
                </c:pt>
                <c:pt idx="21">
                  <c:v>6.649710047382281</c:v>
                </c:pt>
                <c:pt idx="22">
                  <c:v>6.14483210650146</c:v>
                </c:pt>
                <c:pt idx="23">
                  <c:v>5.858412409092463</c:v>
                </c:pt>
              </c:numCache>
            </c:numRef>
          </c:val>
          <c:smooth val="0"/>
        </c:ser>
        <c:ser>
          <c:idx val="1"/>
          <c:order val="1"/>
          <c:tx>
            <c:v>Pro</c:v>
          </c:tx>
          <c:spPr>
            <a:ln>
              <a:solidFill>
                <a:schemeClr val="accent1">
                  <a:lumMod val="75000"/>
                </a:schemeClr>
              </a:solidFill>
            </a:ln>
          </c:spPr>
          <c:marker>
            <c:symbol val="none"/>
          </c:marker>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(Revenues!$I$222:$T$222,Revenues!$V$222:$AG$222)</c:f>
              <c:numCache>
                <c:formatCode>#,##0.00</c:formatCode>
                <c:ptCount val="24"/>
                <c:pt idx="0">
                  <c:v>6.96770509440008</c:v>
                </c:pt>
                <c:pt idx="1">
                  <c:v>11.31610304908911</c:v>
                </c:pt>
                <c:pt idx="2">
                  <c:v>11.07920370754961</c:v>
                </c:pt>
                <c:pt idx="3">
                  <c:v>12.30272231601753</c:v>
                </c:pt>
                <c:pt idx="4">
                  <c:v>14.29467902000137</c:v>
                </c:pt>
                <c:pt idx="5">
                  <c:v>15.514780298005</c:v>
                </c:pt>
                <c:pt idx="6">
                  <c:v>14.72859495282275</c:v>
                </c:pt>
                <c:pt idx="7">
                  <c:v>13.36866940891952</c:v>
                </c:pt>
                <c:pt idx="8">
                  <c:v>14.45723224564881</c:v>
                </c:pt>
                <c:pt idx="9">
                  <c:v>13.33832754106657</c:v>
                </c:pt>
                <c:pt idx="10">
                  <c:v>12.29186232773556</c:v>
                </c:pt>
                <c:pt idx="11">
                  <c:v>11.23587276939626</c:v>
                </c:pt>
                <c:pt idx="12">
                  <c:v>11.28571601959973</c:v>
                </c:pt>
                <c:pt idx="13">
                  <c:v>11.13870922752635</c:v>
                </c:pt>
                <c:pt idx="14">
                  <c:v>11.27248236882731</c:v>
                </c:pt>
                <c:pt idx="15">
                  <c:v>10.06589607060407</c:v>
                </c:pt>
                <c:pt idx="16">
                  <c:v>9.68704565841535</c:v>
                </c:pt>
                <c:pt idx="17">
                  <c:v>9.57497901638146</c:v>
                </c:pt>
                <c:pt idx="18">
                  <c:v>9.124073059022432</c:v>
                </c:pt>
                <c:pt idx="19">
                  <c:v>8.597368838959433</c:v>
                </c:pt>
                <c:pt idx="20">
                  <c:v>8.08519409790629</c:v>
                </c:pt>
                <c:pt idx="21">
                  <c:v>8.031300290236461</c:v>
                </c:pt>
                <c:pt idx="22">
                  <c:v>7.395744356753539</c:v>
                </c:pt>
                <c:pt idx="23">
                  <c:v>7.010886981372948</c:v>
                </c:pt>
              </c:numCache>
            </c:numRef>
          </c:val>
          <c:smooth val="0"/>
        </c:ser>
        <c:ser>
          <c:idx val="2"/>
          <c:order val="2"/>
          <c:tx>
            <c:v>Enterprise</c:v>
          </c:tx>
          <c:spPr>
            <a:ln>
              <a:solidFill>
                <a:schemeClr val="accent3">
                  <a:lumMod val="75000"/>
                </a:schemeClr>
              </a:solidFill>
            </a:ln>
          </c:spPr>
          <c:marker>
            <c:symbol val="none"/>
          </c:marker>
          <c:cat>
            <c:numRef>
              <c:f>(Revenues!$I$2:$T$2,Revenues!$V$2:$AG$2)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(Revenues!$I$223:$T$223,Revenues!$V$223:$AG$223)</c:f>
              <c:numCache>
                <c:formatCode>#,##0.00</c:formatCode>
                <c:ptCount val="24"/>
                <c:pt idx="0">
                  <c:v>7.92656359362945</c:v>
                </c:pt>
                <c:pt idx="1">
                  <c:v>16.85793663907744</c:v>
                </c:pt>
                <c:pt idx="2">
                  <c:v>15.00435623359294</c:v>
                </c:pt>
                <c:pt idx="3">
                  <c:v>16.15274238162606</c:v>
                </c:pt>
                <c:pt idx="4">
                  <c:v>15.11965650567808</c:v>
                </c:pt>
                <c:pt idx="5">
                  <c:v>12.37921058259848</c:v>
                </c:pt>
                <c:pt idx="6">
                  <c:v>12.36613642296932</c:v>
                </c:pt>
                <c:pt idx="7">
                  <c:v>12.34100731061297</c:v>
                </c:pt>
                <c:pt idx="8">
                  <c:v>11.60469728245122</c:v>
                </c:pt>
                <c:pt idx="9">
                  <c:v>11.10521271780003</c:v>
                </c:pt>
                <c:pt idx="10">
                  <c:v>10.86779491162592</c:v>
                </c:pt>
                <c:pt idx="11">
                  <c:v>10.7192294862903</c:v>
                </c:pt>
                <c:pt idx="12">
                  <c:v>13.47951857513935</c:v>
                </c:pt>
                <c:pt idx="13">
                  <c:v>10.9112314649968</c:v>
                </c:pt>
                <c:pt idx="14">
                  <c:v>11.27836272744914</c:v>
                </c:pt>
                <c:pt idx="15">
                  <c:v>10.93622103820288</c:v>
                </c:pt>
                <c:pt idx="16">
                  <c:v>10.97268604968816</c:v>
                </c:pt>
                <c:pt idx="17">
                  <c:v>11.18910305917366</c:v>
                </c:pt>
                <c:pt idx="18">
                  <c:v>10.99522712235077</c:v>
                </c:pt>
                <c:pt idx="19">
                  <c:v>11.44204944078837</c:v>
                </c:pt>
                <c:pt idx="20">
                  <c:v>11.19832739610882</c:v>
                </c:pt>
                <c:pt idx="21">
                  <c:v>10.93531002131803</c:v>
                </c:pt>
                <c:pt idx="22">
                  <c:v>10.79799866473766</c:v>
                </c:pt>
                <c:pt idx="23">
                  <c:v>9.779221692494516</c:v>
                </c:pt>
              </c:numCache>
            </c:numRef>
          </c:val>
          <c:smooth val="0"/>
        </c:ser>
        <c:dLbls>
          <c:showLegendKey val="0"/>
          <c:showVal val="0"/>
          <c:showCatName val="0"/>
          <c:showSerName val="0"/>
          <c:showPercent val="0"/>
          <c:showBubbleSize val="0"/>
        </c:dLbls>
        <c:marker val="1"/>
        <c:smooth val="0"/>
        <c:axId val="-2092870408"/>
        <c:axId val="-2092867400"/>
      </c:lineChart>
      <c:dateAx>
        <c:axId val="-2092870408"/>
        <c:scaling>
          <c:orientation val="minMax"/>
        </c:scaling>
        <c:delete val="0"/>
        <c:axPos val="b"/>
        <c:numFmt formatCode="[$-409]mmm\-yy;@" sourceLinked="1"/>
        <c:majorTickMark val="out"/>
        <c:minorTickMark val="none"/>
        <c:tickLblPos val="low"/>
        <c:crossAx val="-2092867400"/>
        <c:crosses val="autoZero"/>
        <c:auto val="1"/>
        <c:lblOffset val="100"/>
        <c:baseTimeUnit val="months"/>
      </c:dateAx>
      <c:valAx>
        <c:axId val="-2092867400"/>
        <c:scaling>
          <c:orientation val="minMax"/>
        </c:scaling>
        <c:delete val="0"/>
        <c:axPos val="l"/>
        <c:majorGridlines/>
        <c:numFmt formatCode="#,##0.00" sourceLinked="1"/>
        <c:majorTickMark val="out"/>
        <c:minorTickMark val="none"/>
        <c:tickLblPos val="nextTo"/>
        <c:crossAx val="-2092870408"/>
        <c:crosses val="autoZero"/>
        <c:crossBetween val="between"/>
      </c:valAx>
    </c:plotArea>
    <c:legend>
      <c:legendPos val="b"/>
      <c:layout>
        <c:manualLayout>
          <c:xMode val="edge"/>
          <c:yMode val="edge"/>
          <c:x val="0.232545092112556"/>
          <c:y val="0.870140054605214"/>
          <c:w val="0.641893385872104"/>
          <c:h val="0.0560391384900417"/>
        </c:manualLayout>
      </c:layout>
      <c:overlay val="1"/>
      <c:txPr>
        <a:bodyPr/>
        <a:lstStyle/>
        <a:p>
          <a:pPr>
            <a:defRPr sz="1000"/>
          </a:pPr>
          <a:endParaRPr lang="de-DE"/>
        </a:p>
      </c:txPr>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Operating Cash Flows</a:t>
            </a:r>
          </a:p>
        </c:rich>
      </c:tx>
      <c:layout>
        <c:manualLayout>
          <c:xMode val="edge"/>
          <c:yMode val="edge"/>
          <c:x val="0.392011086665331"/>
          <c:y val="0.0372904122278833"/>
        </c:manualLayout>
      </c:layout>
      <c:overlay val="0"/>
    </c:title>
    <c:autoTitleDeleted val="0"/>
    <c:plotArea>
      <c:layout>
        <c:manualLayout>
          <c:layoutTarget val="inner"/>
          <c:xMode val="edge"/>
          <c:yMode val="edge"/>
          <c:x val="0.157822253674335"/>
          <c:y val="0.166249654648432"/>
          <c:w val="0.78411491489388"/>
          <c:h val="0.551686986707307"/>
        </c:manualLayout>
      </c:layout>
      <c:barChart>
        <c:barDir val="col"/>
        <c:grouping val="stacked"/>
        <c:varyColors val="0"/>
        <c:ser>
          <c:idx val="2"/>
          <c:order val="0"/>
          <c:tx>
            <c:v>Cash inflow</c:v>
          </c:tx>
          <c:spPr>
            <a:solidFill>
              <a:schemeClr val="accent3"/>
            </a:solidFill>
            <a:ln w="25400">
              <a:noFill/>
            </a:ln>
          </c:spPr>
          <c:invertIfNegative val="0"/>
          <c:cat>
            <c:numRef>
              <c:f>(Summary!$D$2:$O$2,Summary!$Q$2:$AB$2)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(Summary!$D$31:$O$31,Summary!$Q$31:$AB$31)</c:f>
              <c:numCache>
                <c:formatCode>#,##0</c:formatCode>
                <c:ptCount val="24"/>
                <c:pt idx="0">
                  <c:v>329550.0</c:v>
                </c:pt>
                <c:pt idx="1">
                  <c:v>395667.75</c:v>
                </c:pt>
                <c:pt idx="2">
                  <c:v>402654.25875</c:v>
                </c:pt>
                <c:pt idx="3">
                  <c:v>410826.62353125</c:v>
                </c:pt>
                <c:pt idx="4">
                  <c:v>420202.1111545312</c:v>
                </c:pt>
                <c:pt idx="5">
                  <c:v>490849.4219295543</c:v>
                </c:pt>
                <c:pt idx="6">
                  <c:v>502323.2650161244</c:v>
                </c:pt>
                <c:pt idx="7">
                  <c:v>515722.5517426583</c:v>
                </c:pt>
                <c:pt idx="8">
                  <c:v>590659.0277641314</c:v>
                </c:pt>
                <c:pt idx="9">
                  <c:v>607207.0502928288</c:v>
                </c:pt>
                <c:pt idx="10">
                  <c:v>493494.7967691802</c:v>
                </c:pt>
                <c:pt idx="11">
                  <c:v>514339.4311576151</c:v>
                </c:pt>
                <c:pt idx="12">
                  <c:v>741459.4462531508</c:v>
                </c:pt>
                <c:pt idx="13">
                  <c:v>892940.7754157106</c:v>
                </c:pt>
                <c:pt idx="14">
                  <c:v>920656.2754778073</c:v>
                </c:pt>
                <c:pt idx="15">
                  <c:v>950960.8749069539</c:v>
                </c:pt>
                <c:pt idx="16">
                  <c:v>983728.896226057</c:v>
                </c:pt>
                <c:pt idx="17">
                  <c:v>1.14559371432941E6</c:v>
                </c:pt>
                <c:pt idx="18">
                  <c:v>1.18427117750542E6</c:v>
                </c:pt>
                <c:pt idx="19">
                  <c:v>1.28640549150627E6</c:v>
                </c:pt>
                <c:pt idx="20">
                  <c:v>1.39237711815698E6</c:v>
                </c:pt>
                <c:pt idx="21">
                  <c:v>1.44240706611589E6</c:v>
                </c:pt>
                <c:pt idx="22">
                  <c:v>1.43055281363131E6</c:v>
                </c:pt>
                <c:pt idx="23">
                  <c:v>1.54976964411055E6</c:v>
                </c:pt>
              </c:numCache>
            </c:numRef>
          </c:val>
        </c:ser>
        <c:ser>
          <c:idx val="0"/>
          <c:order val="1"/>
          <c:tx>
            <c:v>Cash outflow</c:v>
          </c:tx>
          <c:spPr>
            <a:solidFill>
              <a:srgbClr val="FF0000"/>
            </a:solidFill>
          </c:spPr>
          <c:invertIfNegative val="0"/>
          <c:cat>
            <c:numRef>
              <c:f>(Summary!$D$2:$O$2,Summary!$Q$2:$AB$2)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(Summary!$D$110:$O$110,Summary!$Q$110:$AB$110)</c:f>
              <c:numCache>
                <c:formatCode>#,##0</c:formatCode>
                <c:ptCount val="24"/>
                <c:pt idx="0">
                  <c:v>-400619.25</c:v>
                </c:pt>
                <c:pt idx="1">
                  <c:v>-405765.14625</c:v>
                </c:pt>
                <c:pt idx="2">
                  <c:v>-644878.32493125</c:v>
                </c:pt>
                <c:pt idx="3">
                  <c:v>-424651.5941767187</c:v>
                </c:pt>
                <c:pt idx="4">
                  <c:v>-456337.2850058617</c:v>
                </c:pt>
                <c:pt idx="5">
                  <c:v>-844694.6719604898</c:v>
                </c:pt>
                <c:pt idx="6">
                  <c:v>-574263.6407771768</c:v>
                </c:pt>
                <c:pt idx="7">
                  <c:v>-630092.5444852588</c:v>
                </c:pt>
                <c:pt idx="8">
                  <c:v>-956878.9687481577</c:v>
                </c:pt>
                <c:pt idx="9">
                  <c:v>-691732.9517895318</c:v>
                </c:pt>
                <c:pt idx="10">
                  <c:v>-713571.7975638394</c:v>
                </c:pt>
                <c:pt idx="11">
                  <c:v>-1.54238582320628E6</c:v>
                </c:pt>
                <c:pt idx="12">
                  <c:v>-835807.0252441753</c:v>
                </c:pt>
                <c:pt idx="13">
                  <c:v>-897437.004681121</c:v>
                </c:pt>
                <c:pt idx="14">
                  <c:v>-1.2127285971895E6</c:v>
                </c:pt>
                <c:pt idx="15">
                  <c:v>-959119.7181124388</c:v>
                </c:pt>
                <c:pt idx="16">
                  <c:v>-1.06984340099052E6</c:v>
                </c:pt>
                <c:pt idx="17">
                  <c:v>-1.42453515143447E6</c:v>
                </c:pt>
                <c:pt idx="18">
                  <c:v>-1.16146660896323E6</c:v>
                </c:pt>
                <c:pt idx="19">
                  <c:v>-1.22361474135335E6</c:v>
                </c:pt>
                <c:pt idx="20">
                  <c:v>-1.65828091095119E6</c:v>
                </c:pt>
                <c:pt idx="21">
                  <c:v>-1.31034495392564E6</c:v>
                </c:pt>
                <c:pt idx="22">
                  <c:v>-1.34501462984023E6</c:v>
                </c:pt>
                <c:pt idx="23">
                  <c:v>-2.81840890195492E6</c:v>
                </c:pt>
              </c:numCache>
            </c:numRef>
          </c:val>
        </c:ser>
        <c:dLbls>
          <c:showLegendKey val="0"/>
          <c:showVal val="0"/>
          <c:showCatName val="0"/>
          <c:showSerName val="0"/>
          <c:showPercent val="0"/>
          <c:showBubbleSize val="0"/>
        </c:dLbls>
        <c:gapWidth val="150"/>
        <c:overlap val="100"/>
        <c:axId val="-2092831304"/>
        <c:axId val="-2092828264"/>
      </c:barChart>
      <c:lineChart>
        <c:grouping val="standard"/>
        <c:varyColors val="0"/>
        <c:ser>
          <c:idx val="1"/>
          <c:order val="2"/>
          <c:tx>
            <c:v>Cash flow</c:v>
          </c:tx>
          <c:spPr>
            <a:ln>
              <a:solidFill>
                <a:schemeClr val="accent1"/>
              </a:solidFill>
            </a:ln>
          </c:spPr>
          <c:marker>
            <c:symbol val="none"/>
          </c:marker>
          <c:val>
            <c:numRef>
              <c:f>(Summary!$D$33:$O$33,Summary!$Q$33:$AB$33)</c:f>
              <c:numCache>
                <c:formatCode>#,##0</c:formatCode>
                <c:ptCount val="24"/>
                <c:pt idx="0">
                  <c:v>-71069.25</c:v>
                </c:pt>
                <c:pt idx="1">
                  <c:v>-10097.39624999999</c:v>
                </c:pt>
                <c:pt idx="2">
                  <c:v>-242224.06618125</c:v>
                </c:pt>
                <c:pt idx="3">
                  <c:v>-13824.97064546874</c:v>
                </c:pt>
                <c:pt idx="4">
                  <c:v>-36135.17385133042</c:v>
                </c:pt>
                <c:pt idx="5">
                  <c:v>-353845.2500309355</c:v>
                </c:pt>
                <c:pt idx="6">
                  <c:v>-71940.37576105236</c:v>
                </c:pt>
                <c:pt idx="7">
                  <c:v>-114369.9927426006</c:v>
                </c:pt>
                <c:pt idx="8">
                  <c:v>-366219.9409840263</c:v>
                </c:pt>
                <c:pt idx="9">
                  <c:v>-84525.90149670303</c:v>
                </c:pt>
                <c:pt idx="10">
                  <c:v>-220077.0007946591</c:v>
                </c:pt>
                <c:pt idx="11">
                  <c:v>-1.02804639204866E6</c:v>
                </c:pt>
                <c:pt idx="12">
                  <c:v>-94347.57899102452</c:v>
                </c:pt>
                <c:pt idx="13">
                  <c:v>-4496.229265410336</c:v>
                </c:pt>
                <c:pt idx="14">
                  <c:v>-292072.3217116967</c:v>
                </c:pt>
                <c:pt idx="15">
                  <c:v>-8158.84320548491</c:v>
                </c:pt>
                <c:pt idx="16">
                  <c:v>-86114.50476446072</c:v>
                </c:pt>
                <c:pt idx="17">
                  <c:v>-278941.4371050591</c:v>
                </c:pt>
                <c:pt idx="18">
                  <c:v>22804.5685421885</c:v>
                </c:pt>
                <c:pt idx="19">
                  <c:v>62790.75015292736</c:v>
                </c:pt>
                <c:pt idx="20">
                  <c:v>-265903.7927942141</c:v>
                </c:pt>
                <c:pt idx="21">
                  <c:v>132062.1121902424</c:v>
                </c:pt>
                <c:pt idx="22">
                  <c:v>85538.1837910856</c:v>
                </c:pt>
                <c:pt idx="23">
                  <c:v>-1.26863925784438E6</c:v>
                </c:pt>
              </c:numCache>
            </c:numRef>
          </c:val>
          <c:smooth val="0"/>
        </c:ser>
        <c:dLbls>
          <c:showLegendKey val="0"/>
          <c:showVal val="0"/>
          <c:showCatName val="0"/>
          <c:showSerName val="0"/>
          <c:showPercent val="0"/>
          <c:showBubbleSize val="0"/>
        </c:dLbls>
        <c:marker val="1"/>
        <c:smooth val="0"/>
        <c:axId val="-2092831304"/>
        <c:axId val="-2092828264"/>
      </c:lineChart>
      <c:dateAx>
        <c:axId val="-2092831304"/>
        <c:scaling>
          <c:orientation val="minMax"/>
        </c:scaling>
        <c:delete val="0"/>
        <c:axPos val="b"/>
        <c:numFmt formatCode="[$-409]mmm\-yy;@" sourceLinked="1"/>
        <c:majorTickMark val="out"/>
        <c:minorTickMark val="none"/>
        <c:tickLblPos val="low"/>
        <c:crossAx val="-2092828264"/>
        <c:crosses val="autoZero"/>
        <c:auto val="1"/>
        <c:lblOffset val="100"/>
        <c:baseTimeUnit val="months"/>
      </c:dateAx>
      <c:valAx>
        <c:axId val="-2092828264"/>
        <c:scaling>
          <c:orientation val="minMax"/>
        </c:scaling>
        <c:delete val="0"/>
        <c:axPos val="l"/>
        <c:majorGridlines/>
        <c:numFmt formatCode="[$$-409]#,##0" sourceLinked="0"/>
        <c:majorTickMark val="out"/>
        <c:minorTickMark val="none"/>
        <c:tickLblPos val="nextTo"/>
        <c:crossAx val="-2092831304"/>
        <c:crosses val="autoZero"/>
        <c:crossBetween val="between"/>
      </c:valAx>
    </c:plotArea>
    <c:legend>
      <c:legendPos val="b"/>
      <c:layout>
        <c:manualLayout>
          <c:xMode val="edge"/>
          <c:yMode val="edge"/>
          <c:x val="0.216846502559751"/>
          <c:y val="0.870140054605214"/>
          <c:w val="0.6472279705602"/>
          <c:h val="0.0560391384900417"/>
        </c:manualLayout>
      </c:layout>
      <c:overlay val="1"/>
      <c:txPr>
        <a:bodyPr/>
        <a:lstStyle/>
        <a:p>
          <a:pPr>
            <a:defRPr sz="1000"/>
          </a:pPr>
          <a:endParaRPr lang="de-DE"/>
        </a:p>
      </c:txPr>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c:date1904 val="0"/>
  <c:lang val="de-DE"/>
  <c:roundedCorners val="0"/>
  <mc:AlternateContent xmlns:mc="http://schemas.openxmlformats.org/markup-compatibility/2006">
    <mc:Choice xmlns:c14="http://schemas.microsoft.com/office/drawing/2007/8/2/chart" Requires="c14">
      <c14:style val="118"/>
    </mc:Choice>
    <mc:Fallback>
      <c:style val="18"/>
    </mc:Fallback>
  </mc:AlternateContent>
  <c:chart>
    <c:title>
      <c:tx>
        <c:rich>
          <a:bodyPr/>
          <a:lstStyle/>
          <a:p>
            <a:pPr>
              <a:defRPr/>
            </a:pPr>
            <a:r>
              <a:rPr lang="de-DE" sz="1200"/>
              <a:t>Bank balance</a:t>
            </a:r>
          </a:p>
        </c:rich>
      </c:tx>
      <c:layout>
        <c:manualLayout>
          <c:xMode val="edge"/>
          <c:yMode val="edge"/>
          <c:x val="0.413596647300437"/>
          <c:y val="0.0372904122278833"/>
        </c:manualLayout>
      </c:layout>
      <c:overlay val="0"/>
    </c:title>
    <c:autoTitleDeleted val="0"/>
    <c:plotArea>
      <c:layout>
        <c:manualLayout>
          <c:layoutTarget val="inner"/>
          <c:xMode val="edge"/>
          <c:yMode val="edge"/>
          <c:x val="0.157822253674335"/>
          <c:y val="0.166249654648432"/>
          <c:w val="0.78411491489388"/>
          <c:h val="0.551686986707307"/>
        </c:manualLayout>
      </c:layout>
      <c:barChart>
        <c:barDir val="col"/>
        <c:grouping val="clustered"/>
        <c:varyColors val="0"/>
        <c:ser>
          <c:idx val="2"/>
          <c:order val="0"/>
          <c:tx>
            <c:v>Cash from financing</c:v>
          </c:tx>
          <c:spPr>
            <a:solidFill>
              <a:schemeClr val="accent3"/>
            </a:solidFill>
            <a:ln w="25400">
              <a:noFill/>
            </a:ln>
          </c:spPr>
          <c:invertIfNegative val="0"/>
          <c:cat>
            <c:numRef>
              <c:f>(Summary!$D$2:$O$2,Summary!$Q$2:$AB$2)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(Summary!$D$37:$O$37,Summary!$Q$37:$AB$37)</c:f>
              <c:numCache>
                <c:formatCode>#,##0</c:formatCode>
                <c:ptCount val="24"/>
                <c:pt idx="0">
                  <c:v>5.0E6</c:v>
                </c:pt>
                <c:pt idx="1">
                  <c:v>0.0</c:v>
                </c:pt>
                <c:pt idx="2">
                  <c:v>0.0</c:v>
                </c:pt>
                <c:pt idx="3">
                  <c:v>0.0</c:v>
                </c:pt>
                <c:pt idx="4">
                  <c:v>0.0</c:v>
                </c:pt>
                <c:pt idx="5">
                  <c:v>0.0</c:v>
                </c:pt>
                <c:pt idx="6">
                  <c:v>0.0</c:v>
                </c:pt>
                <c:pt idx="7">
                  <c:v>0.0</c:v>
                </c:pt>
                <c:pt idx="8">
                  <c:v>0.0</c:v>
                </c:pt>
                <c:pt idx="9">
                  <c:v>0.0</c:v>
                </c:pt>
                <c:pt idx="10">
                  <c:v>0.0</c:v>
                </c:pt>
                <c:pt idx="11">
                  <c:v>0.0</c:v>
                </c:pt>
                <c:pt idx="12">
                  <c:v>0.0</c:v>
                </c:pt>
                <c:pt idx="13">
                  <c:v>0.0</c:v>
                </c:pt>
                <c:pt idx="14">
                  <c:v>0.0</c:v>
                </c:pt>
                <c:pt idx="15">
                  <c:v>0.0</c:v>
                </c:pt>
                <c:pt idx="16">
                  <c:v>0.0</c:v>
                </c:pt>
                <c:pt idx="17">
                  <c:v>0.0</c:v>
                </c:pt>
                <c:pt idx="18">
                  <c:v>0.0</c:v>
                </c:pt>
                <c:pt idx="19">
                  <c:v>0.0</c:v>
                </c:pt>
                <c:pt idx="20">
                  <c:v>0.0</c:v>
                </c:pt>
                <c:pt idx="21">
                  <c:v>0.0</c:v>
                </c:pt>
                <c:pt idx="22">
                  <c:v>0.0</c:v>
                </c:pt>
                <c:pt idx="23">
                  <c:v>0.0</c:v>
                </c:pt>
              </c:numCache>
            </c:numRef>
          </c:val>
        </c:ser>
        <c:ser>
          <c:idx val="0"/>
          <c:order val="1"/>
          <c:tx>
            <c:v>Operating cash flow</c:v>
          </c:tx>
          <c:spPr>
            <a:solidFill>
              <a:schemeClr val="accent5">
                <a:lumMod val="60000"/>
                <a:lumOff val="40000"/>
              </a:schemeClr>
            </a:solidFill>
          </c:spPr>
          <c:invertIfNegative val="0"/>
          <c:cat>
            <c:numRef>
              <c:f>(Summary!$D$2:$O$2,Summary!$Q$2:$AB$2)</c:f>
              <c:numCache>
                <c:formatCode>[$-409]mmm\-yy;@</c:formatCode>
                <c:ptCount val="24"/>
                <c:pt idx="0">
                  <c:v>42370.0</c:v>
                </c:pt>
                <c:pt idx="1">
                  <c:v>42401.0</c:v>
                </c:pt>
                <c:pt idx="2">
                  <c:v>42430.0</c:v>
                </c:pt>
                <c:pt idx="3">
                  <c:v>42461.0</c:v>
                </c:pt>
                <c:pt idx="4">
                  <c:v>42491.0</c:v>
                </c:pt>
                <c:pt idx="5">
                  <c:v>42522.0</c:v>
                </c:pt>
                <c:pt idx="6">
                  <c:v>42552.0</c:v>
                </c:pt>
                <c:pt idx="7">
                  <c:v>42583.0</c:v>
                </c:pt>
                <c:pt idx="8">
                  <c:v>42614.0</c:v>
                </c:pt>
                <c:pt idx="9">
                  <c:v>42644.0</c:v>
                </c:pt>
                <c:pt idx="10">
                  <c:v>42675.0</c:v>
                </c:pt>
                <c:pt idx="11">
                  <c:v>42705.0</c:v>
                </c:pt>
                <c:pt idx="12">
                  <c:v>42736.0</c:v>
                </c:pt>
                <c:pt idx="13">
                  <c:v>42767.0</c:v>
                </c:pt>
                <c:pt idx="14">
                  <c:v>42795.0</c:v>
                </c:pt>
                <c:pt idx="15">
                  <c:v>42826.0</c:v>
                </c:pt>
                <c:pt idx="16">
                  <c:v>42856.0</c:v>
                </c:pt>
                <c:pt idx="17">
                  <c:v>42887.0</c:v>
                </c:pt>
                <c:pt idx="18">
                  <c:v>42917.0</c:v>
                </c:pt>
                <c:pt idx="19">
                  <c:v>42948.0</c:v>
                </c:pt>
                <c:pt idx="20">
                  <c:v>42979.0</c:v>
                </c:pt>
                <c:pt idx="21">
                  <c:v>43009.0</c:v>
                </c:pt>
                <c:pt idx="22">
                  <c:v>43040.0</c:v>
                </c:pt>
                <c:pt idx="23">
                  <c:v>43070.0</c:v>
                </c:pt>
              </c:numCache>
            </c:numRef>
          </c:cat>
          <c:val>
            <c:numRef>
              <c:f>(Summary!$D$33:$O$33,Summary!$Q$33:$AB$33)</c:f>
              <c:numCache>
                <c:formatCode>#,##0</c:formatCode>
                <c:ptCount val="24"/>
                <c:pt idx="0">
                  <c:v>-71069.25</c:v>
                </c:pt>
                <c:pt idx="1">
                  <c:v>-10097.39624999999</c:v>
                </c:pt>
                <c:pt idx="2">
                  <c:v>-242224.06618125</c:v>
                </c:pt>
                <c:pt idx="3">
                  <c:v>-13824.97064546874</c:v>
                </c:pt>
                <c:pt idx="4">
                  <c:v>-36135.17385133042</c:v>
                </c:pt>
                <c:pt idx="5">
                  <c:v>-353845.2500309355</c:v>
                </c:pt>
                <c:pt idx="6">
                  <c:v>-71940.37576105236</c:v>
                </c:pt>
                <c:pt idx="7">
                  <c:v>-114369.9927426006</c:v>
                </c:pt>
                <c:pt idx="8">
                  <c:v>-366219.9409840263</c:v>
                </c:pt>
                <c:pt idx="9">
                  <c:v>-84525.90149670303</c:v>
                </c:pt>
                <c:pt idx="10">
                  <c:v>-220077.0007946591</c:v>
                </c:pt>
                <c:pt idx="11">
                  <c:v>-1.02804639204866E6</c:v>
                </c:pt>
                <c:pt idx="12">
                  <c:v>-94347.57899102452</c:v>
                </c:pt>
                <c:pt idx="13">
                  <c:v>-4496.229265410336</c:v>
                </c:pt>
                <c:pt idx="14">
                  <c:v>-292072.3217116967</c:v>
                </c:pt>
                <c:pt idx="15">
                  <c:v>-8158.84320548491</c:v>
                </c:pt>
                <c:pt idx="16">
                  <c:v>-86114.50476446072</c:v>
                </c:pt>
                <c:pt idx="17">
                  <c:v>-278941.4371050591</c:v>
                </c:pt>
                <c:pt idx="18">
                  <c:v>22804.5685421885</c:v>
                </c:pt>
                <c:pt idx="19">
                  <c:v>62790.75015292736</c:v>
                </c:pt>
                <c:pt idx="20">
                  <c:v>-265903.7927942141</c:v>
                </c:pt>
                <c:pt idx="21">
                  <c:v>132062.1121902424</c:v>
                </c:pt>
                <c:pt idx="22">
                  <c:v>85538.1837910856</c:v>
                </c:pt>
                <c:pt idx="23">
                  <c:v>-1.26863925784438E6</c:v>
                </c:pt>
              </c:numCache>
            </c:numRef>
          </c:val>
        </c:ser>
        <c:dLbls>
          <c:showLegendKey val="0"/>
          <c:showVal val="0"/>
          <c:showCatName val="0"/>
          <c:showSerName val="0"/>
          <c:showPercent val="0"/>
          <c:showBubbleSize val="0"/>
        </c:dLbls>
        <c:gapWidth val="150"/>
        <c:axId val="-2092075128"/>
        <c:axId val="-2092072088"/>
      </c:barChart>
      <c:lineChart>
        <c:grouping val="standard"/>
        <c:varyColors val="0"/>
        <c:ser>
          <c:idx val="1"/>
          <c:order val="2"/>
          <c:tx>
            <c:v>Ending bank balance</c:v>
          </c:tx>
          <c:spPr>
            <a:ln>
              <a:solidFill>
                <a:schemeClr val="accent1"/>
              </a:solidFill>
            </a:ln>
          </c:spPr>
          <c:marker>
            <c:symbol val="none"/>
          </c:marker>
          <c:val>
            <c:numRef>
              <c:f>(Summary!$D$39:$O$39,Summary!$Q$39:$AB$39)</c:f>
              <c:numCache>
                <c:formatCode>#,##0</c:formatCode>
                <c:ptCount val="24"/>
                <c:pt idx="0">
                  <c:v>5.42893075E6</c:v>
                </c:pt>
                <c:pt idx="1">
                  <c:v>5.41883335375E6</c:v>
                </c:pt>
                <c:pt idx="2">
                  <c:v>5.17660928756875E6</c:v>
                </c:pt>
                <c:pt idx="3">
                  <c:v>5.16278431692328E6</c:v>
                </c:pt>
                <c:pt idx="4">
                  <c:v>5.12664914307195E6</c:v>
                </c:pt>
                <c:pt idx="5">
                  <c:v>4.77280389304101E6</c:v>
                </c:pt>
                <c:pt idx="6">
                  <c:v>4.70086351727996E6</c:v>
                </c:pt>
                <c:pt idx="7">
                  <c:v>4.58649352453736E6</c:v>
                </c:pt>
                <c:pt idx="8">
                  <c:v>4.22027358355333E6</c:v>
                </c:pt>
                <c:pt idx="9">
                  <c:v>4.13574768205663E6</c:v>
                </c:pt>
                <c:pt idx="10">
                  <c:v>3.91567068126197E6</c:v>
                </c:pt>
                <c:pt idx="11">
                  <c:v>2.88762428921331E6</c:v>
                </c:pt>
                <c:pt idx="12">
                  <c:v>2.79327671022228E6</c:v>
                </c:pt>
                <c:pt idx="13">
                  <c:v>2.78878048095687E6</c:v>
                </c:pt>
                <c:pt idx="14">
                  <c:v>2.49670815924518E6</c:v>
                </c:pt>
                <c:pt idx="15">
                  <c:v>2.48854931603969E6</c:v>
                </c:pt>
                <c:pt idx="16">
                  <c:v>2.40243481127523E6</c:v>
                </c:pt>
                <c:pt idx="17">
                  <c:v>2.12349337417017E6</c:v>
                </c:pt>
                <c:pt idx="18">
                  <c:v>2.14629794271236E6</c:v>
                </c:pt>
                <c:pt idx="19">
                  <c:v>2.20908869286529E6</c:v>
                </c:pt>
                <c:pt idx="20">
                  <c:v>1.94318490007108E6</c:v>
                </c:pt>
                <c:pt idx="21">
                  <c:v>2.07524701226132E6</c:v>
                </c:pt>
                <c:pt idx="22">
                  <c:v>2.1607851960524E6</c:v>
                </c:pt>
                <c:pt idx="23">
                  <c:v>892145.9382080245</c:v>
                </c:pt>
              </c:numCache>
            </c:numRef>
          </c:val>
          <c:smooth val="0"/>
        </c:ser>
        <c:dLbls>
          <c:showLegendKey val="0"/>
          <c:showVal val="0"/>
          <c:showCatName val="0"/>
          <c:showSerName val="0"/>
          <c:showPercent val="0"/>
          <c:showBubbleSize val="0"/>
        </c:dLbls>
        <c:marker val="1"/>
        <c:smooth val="0"/>
        <c:axId val="-2092075128"/>
        <c:axId val="-2092072088"/>
      </c:lineChart>
      <c:dateAx>
        <c:axId val="-2092075128"/>
        <c:scaling>
          <c:orientation val="minMax"/>
        </c:scaling>
        <c:delete val="0"/>
        <c:axPos val="b"/>
        <c:numFmt formatCode="[$-409]mmm\-yy;@" sourceLinked="1"/>
        <c:majorTickMark val="out"/>
        <c:minorTickMark val="none"/>
        <c:tickLblPos val="low"/>
        <c:crossAx val="-2092072088"/>
        <c:crosses val="autoZero"/>
        <c:auto val="1"/>
        <c:lblOffset val="100"/>
        <c:baseTimeUnit val="months"/>
      </c:dateAx>
      <c:valAx>
        <c:axId val="-2092072088"/>
        <c:scaling>
          <c:orientation val="minMax"/>
        </c:scaling>
        <c:delete val="0"/>
        <c:axPos val="l"/>
        <c:majorGridlines/>
        <c:numFmt formatCode="[$$-409]#,##0" sourceLinked="0"/>
        <c:majorTickMark val="out"/>
        <c:minorTickMark val="none"/>
        <c:tickLblPos val="nextTo"/>
        <c:crossAx val="-2092075128"/>
        <c:crosses val="autoZero"/>
        <c:crossBetween val="between"/>
      </c:valAx>
    </c:plotArea>
    <c:legend>
      <c:legendPos val="b"/>
      <c:layout>
        <c:manualLayout>
          <c:xMode val="edge"/>
          <c:yMode val="edge"/>
          <c:x val="0.147506481462453"/>
          <c:y val="0.867490273274664"/>
          <c:w val="0.813247044655534"/>
          <c:h val="0.0560391384900417"/>
        </c:manualLayout>
      </c:layout>
      <c:overlay val="0"/>
      <c:txPr>
        <a:bodyPr/>
        <a:lstStyle/>
        <a:p>
          <a:pPr>
            <a:defRPr sz="1000"/>
          </a:pPr>
          <a:endParaRPr lang="de-DE"/>
        </a:p>
      </c:txPr>
    </c:legend>
    <c:plotVisOnly val="1"/>
    <c:dispBlanksAs val="gap"/>
    <c:showDLblsOverMax val="0"/>
  </c:chart>
  <c:spPr>
    <a:ln w="12700" cmpd="sng">
      <a:solidFill>
        <a:srgbClr val="000000"/>
      </a:solidFill>
    </a:ln>
    <a:effectLst/>
  </c:spPr>
  <c:txPr>
    <a:bodyPr/>
    <a:lstStyle/>
    <a:p>
      <a:pPr>
        <a:defRPr>
          <a:latin typeface="Arial"/>
          <a:cs typeface="Arial"/>
        </a:defRPr>
      </a:pPr>
      <a:endParaRPr lang="de-DE"/>
    </a:p>
  </c:txPr>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4" Type="http://schemas.openxmlformats.org/officeDocument/2006/relationships/chart" Target="../charts/chart10.xml"/><Relationship Id="rId5" Type="http://schemas.openxmlformats.org/officeDocument/2006/relationships/chart" Target="../charts/chart11.xml"/><Relationship Id="rId6" Type="http://schemas.openxmlformats.org/officeDocument/2006/relationships/chart" Target="../charts/chart12.xml"/><Relationship Id="rId7" Type="http://schemas.openxmlformats.org/officeDocument/2006/relationships/chart" Target="../charts/chart13.xml"/><Relationship Id="rId1" Type="http://schemas.openxmlformats.org/officeDocument/2006/relationships/chart" Target="../charts/chart7.xml"/><Relationship Id="rId2"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4.xml"/><Relationship Id="rId2" Type="http://schemas.openxmlformats.org/officeDocument/2006/relationships/chart" Target="../charts/chart15.xml"/><Relationship Id="rId3" Type="http://schemas.openxmlformats.org/officeDocument/2006/relationships/chart" Target="../charts/chart16.xml"/></Relationships>
</file>

<file path=xl/drawings/_rels/drawing4.xml.rels><?xml version="1.0" encoding="UTF-8" standalone="yes"?>
<Relationships xmlns="http://schemas.openxmlformats.org/package/2006/relationships"><Relationship Id="rId11" Type="http://schemas.openxmlformats.org/officeDocument/2006/relationships/chart" Target="../charts/chart27.xml"/><Relationship Id="rId12" Type="http://schemas.openxmlformats.org/officeDocument/2006/relationships/chart" Target="../charts/chart28.xml"/><Relationship Id="rId13" Type="http://schemas.openxmlformats.org/officeDocument/2006/relationships/chart" Target="../charts/chart29.xml"/><Relationship Id="rId14" Type="http://schemas.openxmlformats.org/officeDocument/2006/relationships/chart" Target="../charts/chart30.xml"/><Relationship Id="rId15" Type="http://schemas.openxmlformats.org/officeDocument/2006/relationships/chart" Target="../charts/chart31.xml"/><Relationship Id="rId16" Type="http://schemas.openxmlformats.org/officeDocument/2006/relationships/chart" Target="../charts/chart32.xml"/><Relationship Id="rId1" Type="http://schemas.openxmlformats.org/officeDocument/2006/relationships/chart" Target="../charts/chart17.xml"/><Relationship Id="rId2" Type="http://schemas.openxmlformats.org/officeDocument/2006/relationships/chart" Target="../charts/chart18.xml"/><Relationship Id="rId3" Type="http://schemas.openxmlformats.org/officeDocument/2006/relationships/chart" Target="../charts/chart19.xml"/><Relationship Id="rId4" Type="http://schemas.openxmlformats.org/officeDocument/2006/relationships/chart" Target="../charts/chart20.xml"/><Relationship Id="rId5" Type="http://schemas.openxmlformats.org/officeDocument/2006/relationships/chart" Target="../charts/chart21.xml"/><Relationship Id="rId6" Type="http://schemas.openxmlformats.org/officeDocument/2006/relationships/chart" Target="../charts/chart22.xml"/><Relationship Id="rId7" Type="http://schemas.openxmlformats.org/officeDocument/2006/relationships/chart" Target="../charts/chart23.xml"/><Relationship Id="rId8" Type="http://schemas.openxmlformats.org/officeDocument/2006/relationships/chart" Target="../charts/chart24.xml"/><Relationship Id="rId9" Type="http://schemas.openxmlformats.org/officeDocument/2006/relationships/chart" Target="../charts/chart25.xml"/><Relationship Id="rId10" Type="http://schemas.openxmlformats.org/officeDocument/2006/relationships/chart" Target="../charts/chart26.xml"/></Relationships>
</file>

<file path=xl/drawings/drawing1.xml><?xml version="1.0" encoding="utf-8"?>
<xdr:wsDr xmlns:xdr="http://schemas.openxmlformats.org/drawingml/2006/spreadsheetDrawing" xmlns:a="http://schemas.openxmlformats.org/drawingml/2006/main">
  <xdr:twoCellAnchor>
    <xdr:from>
      <xdr:col>1</xdr:col>
      <xdr:colOff>0</xdr:colOff>
      <xdr:row>43</xdr:row>
      <xdr:rowOff>101600</xdr:rowOff>
    </xdr:from>
    <xdr:to>
      <xdr:col>8</xdr:col>
      <xdr:colOff>355599</xdr:colOff>
      <xdr:row>72</xdr:row>
      <xdr:rowOff>0</xdr:rowOff>
    </xdr:to>
    <xdr:graphicFrame macro="">
      <xdr:nvGraphicFramePr>
        <xdr:cNvPr id="2" name="Diagramm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568960</xdr:colOff>
      <xdr:row>43</xdr:row>
      <xdr:rowOff>111760</xdr:rowOff>
    </xdr:from>
    <xdr:to>
      <xdr:col>15</xdr:col>
      <xdr:colOff>782319</xdr:colOff>
      <xdr:row>72</xdr:row>
      <xdr:rowOff>10160</xdr:rowOff>
    </xdr:to>
    <xdr:graphicFrame macro="">
      <xdr:nvGraphicFramePr>
        <xdr:cNvPr id="3" name="Diagram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0</xdr:colOff>
      <xdr:row>73</xdr:row>
      <xdr:rowOff>60960</xdr:rowOff>
    </xdr:from>
    <xdr:to>
      <xdr:col>8</xdr:col>
      <xdr:colOff>355599</xdr:colOff>
      <xdr:row>101</xdr:row>
      <xdr:rowOff>111760</xdr:rowOff>
    </xdr:to>
    <xdr:graphicFrame macro="">
      <xdr:nvGraphicFramePr>
        <xdr:cNvPr id="4" name="Diagram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568960</xdr:colOff>
      <xdr:row>73</xdr:row>
      <xdr:rowOff>71120</xdr:rowOff>
    </xdr:from>
    <xdr:to>
      <xdr:col>15</xdr:col>
      <xdr:colOff>782319</xdr:colOff>
      <xdr:row>101</xdr:row>
      <xdr:rowOff>121920</xdr:rowOff>
    </xdr:to>
    <xdr:graphicFrame macro="">
      <xdr:nvGraphicFramePr>
        <xdr:cNvPr id="6" name="Diagramm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91440</xdr:colOff>
      <xdr:row>43</xdr:row>
      <xdr:rowOff>111760</xdr:rowOff>
    </xdr:from>
    <xdr:to>
      <xdr:col>23</xdr:col>
      <xdr:colOff>304799</xdr:colOff>
      <xdr:row>72</xdr:row>
      <xdr:rowOff>10160</xdr:rowOff>
    </xdr:to>
    <xdr:graphicFrame macro="">
      <xdr:nvGraphicFramePr>
        <xdr:cNvPr id="7" name="Diagramm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101600</xdr:colOff>
      <xdr:row>73</xdr:row>
      <xdr:rowOff>71120</xdr:rowOff>
    </xdr:from>
    <xdr:to>
      <xdr:col>23</xdr:col>
      <xdr:colOff>314959</xdr:colOff>
      <xdr:row>101</xdr:row>
      <xdr:rowOff>121920</xdr:rowOff>
    </xdr:to>
    <xdr:graphicFrame macro="">
      <xdr:nvGraphicFramePr>
        <xdr:cNvPr id="9" name="Diagramm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10160</xdr:colOff>
      <xdr:row>127</xdr:row>
      <xdr:rowOff>30480</xdr:rowOff>
    </xdr:from>
    <xdr:to>
      <xdr:col>10</xdr:col>
      <xdr:colOff>883920</xdr:colOff>
      <xdr:row>155</xdr:row>
      <xdr:rowOff>81280</xdr:rowOff>
    </xdr:to>
    <xdr:graphicFrame macro="">
      <xdr:nvGraphicFramePr>
        <xdr:cNvPr id="18" name="Diagramm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577558</xdr:colOff>
      <xdr:row>127</xdr:row>
      <xdr:rowOff>11333</xdr:rowOff>
    </xdr:from>
    <xdr:to>
      <xdr:col>23</xdr:col>
      <xdr:colOff>892517</xdr:colOff>
      <xdr:row>155</xdr:row>
      <xdr:rowOff>62133</xdr:rowOff>
    </xdr:to>
    <xdr:graphicFrame macro="">
      <xdr:nvGraphicFramePr>
        <xdr:cNvPr id="19" name="Diagramm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10160</xdr:colOff>
      <xdr:row>156</xdr:row>
      <xdr:rowOff>60960</xdr:rowOff>
    </xdr:from>
    <xdr:to>
      <xdr:col>10</xdr:col>
      <xdr:colOff>894080</xdr:colOff>
      <xdr:row>186</xdr:row>
      <xdr:rowOff>30480</xdr:rowOff>
    </xdr:to>
    <xdr:graphicFrame macro="">
      <xdr:nvGraphicFramePr>
        <xdr:cNvPr id="20" name="Diagramm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79719</xdr:colOff>
      <xdr:row>156</xdr:row>
      <xdr:rowOff>70338</xdr:rowOff>
    </xdr:from>
    <xdr:to>
      <xdr:col>17</xdr:col>
      <xdr:colOff>371232</xdr:colOff>
      <xdr:row>186</xdr:row>
      <xdr:rowOff>39858</xdr:rowOff>
    </xdr:to>
    <xdr:graphicFrame macro="">
      <xdr:nvGraphicFramePr>
        <xdr:cNvPr id="6" name="Diagramm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576385</xdr:colOff>
      <xdr:row>156</xdr:row>
      <xdr:rowOff>58616</xdr:rowOff>
    </xdr:from>
    <xdr:to>
      <xdr:col>23</xdr:col>
      <xdr:colOff>903459</xdr:colOff>
      <xdr:row>186</xdr:row>
      <xdr:rowOff>9768</xdr:rowOff>
    </xdr:to>
    <xdr:graphicFrame macro="">
      <xdr:nvGraphicFramePr>
        <xdr:cNvPr id="7" name="Diagramm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58614</xdr:colOff>
      <xdr:row>127</xdr:row>
      <xdr:rowOff>29308</xdr:rowOff>
    </xdr:from>
    <xdr:to>
      <xdr:col>17</xdr:col>
      <xdr:colOff>375529</xdr:colOff>
      <xdr:row>155</xdr:row>
      <xdr:rowOff>80108</xdr:rowOff>
    </xdr:to>
    <xdr:graphicFrame macro="">
      <xdr:nvGraphicFramePr>
        <xdr:cNvPr id="8" name="Diagramm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187</xdr:row>
      <xdr:rowOff>60960</xdr:rowOff>
    </xdr:from>
    <xdr:to>
      <xdr:col>10</xdr:col>
      <xdr:colOff>904239</xdr:colOff>
      <xdr:row>215</xdr:row>
      <xdr:rowOff>111760</xdr:rowOff>
    </xdr:to>
    <xdr:graphicFrame macro="">
      <xdr:nvGraphicFramePr>
        <xdr:cNvPr id="9" name="Diagramm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11</xdr:col>
      <xdr:colOff>1015999</xdr:colOff>
      <xdr:row>140</xdr:row>
      <xdr:rowOff>117231</xdr:rowOff>
    </xdr:from>
    <xdr:to>
      <xdr:col>18</xdr:col>
      <xdr:colOff>432190</xdr:colOff>
      <xdr:row>169</xdr:row>
      <xdr:rowOff>11723</xdr:rowOff>
    </xdr:to>
    <xdr:graphicFrame macro="">
      <xdr:nvGraphicFramePr>
        <xdr:cNvPr id="2" name="Diagramm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625231</xdr:colOff>
      <xdr:row>140</xdr:row>
      <xdr:rowOff>117230</xdr:rowOff>
    </xdr:from>
    <xdr:to>
      <xdr:col>25</xdr:col>
      <xdr:colOff>41421</xdr:colOff>
      <xdr:row>169</xdr:row>
      <xdr:rowOff>21494</xdr:rowOff>
    </xdr:to>
    <xdr:graphicFrame macro="">
      <xdr:nvGraphicFramePr>
        <xdr:cNvPr id="3" name="Diagram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126999</xdr:colOff>
      <xdr:row>140</xdr:row>
      <xdr:rowOff>117230</xdr:rowOff>
    </xdr:from>
    <xdr:to>
      <xdr:col>11</xdr:col>
      <xdr:colOff>862035</xdr:colOff>
      <xdr:row>169</xdr:row>
      <xdr:rowOff>11722</xdr:rowOff>
    </xdr:to>
    <xdr:graphicFrame macro="">
      <xdr:nvGraphicFramePr>
        <xdr:cNvPr id="4" name="Diagram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10160</xdr:colOff>
      <xdr:row>1</xdr:row>
      <xdr:rowOff>19147</xdr:rowOff>
    </xdr:from>
    <xdr:to>
      <xdr:col>8</xdr:col>
      <xdr:colOff>673100</xdr:colOff>
      <xdr:row>29</xdr:row>
      <xdr:rowOff>69947</xdr:rowOff>
    </xdr:to>
    <xdr:graphicFrame macro="">
      <xdr:nvGraphicFramePr>
        <xdr:cNvPr id="8" name="Diagramm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120358</xdr:colOff>
      <xdr:row>1</xdr:row>
      <xdr:rowOff>0</xdr:rowOff>
    </xdr:from>
    <xdr:to>
      <xdr:col>24</xdr:col>
      <xdr:colOff>813777</xdr:colOff>
      <xdr:row>29</xdr:row>
      <xdr:rowOff>50800</xdr:rowOff>
    </xdr:to>
    <xdr:graphicFrame macro="">
      <xdr:nvGraphicFramePr>
        <xdr:cNvPr id="9" name="Diagramm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10160</xdr:colOff>
      <xdr:row>30</xdr:row>
      <xdr:rowOff>49627</xdr:rowOff>
    </xdr:from>
    <xdr:to>
      <xdr:col>8</xdr:col>
      <xdr:colOff>673100</xdr:colOff>
      <xdr:row>60</xdr:row>
      <xdr:rowOff>19147</xdr:rowOff>
    </xdr:to>
    <xdr:graphicFrame macro="">
      <xdr:nvGraphicFramePr>
        <xdr:cNvPr id="10" name="Diagramm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69559</xdr:colOff>
      <xdr:row>30</xdr:row>
      <xdr:rowOff>59005</xdr:rowOff>
    </xdr:from>
    <xdr:to>
      <xdr:col>16</xdr:col>
      <xdr:colOff>739532</xdr:colOff>
      <xdr:row>60</xdr:row>
      <xdr:rowOff>28525</xdr:rowOff>
    </xdr:to>
    <xdr:graphicFrame macro="">
      <xdr:nvGraphicFramePr>
        <xdr:cNvPr id="11" name="Diagramm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119185</xdr:colOff>
      <xdr:row>30</xdr:row>
      <xdr:rowOff>47283</xdr:rowOff>
    </xdr:from>
    <xdr:to>
      <xdr:col>24</xdr:col>
      <xdr:colOff>824719</xdr:colOff>
      <xdr:row>59</xdr:row>
      <xdr:rowOff>150835</xdr:rowOff>
    </xdr:to>
    <xdr:graphicFrame macro="">
      <xdr:nvGraphicFramePr>
        <xdr:cNvPr id="12" name="Diagramm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48454</xdr:colOff>
      <xdr:row>1</xdr:row>
      <xdr:rowOff>17975</xdr:rowOff>
    </xdr:from>
    <xdr:to>
      <xdr:col>16</xdr:col>
      <xdr:colOff>743829</xdr:colOff>
      <xdr:row>29</xdr:row>
      <xdr:rowOff>68775</xdr:rowOff>
    </xdr:to>
    <xdr:graphicFrame macro="">
      <xdr:nvGraphicFramePr>
        <xdr:cNvPr id="13" name="Diagramm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80889</xdr:colOff>
      <xdr:row>61</xdr:row>
      <xdr:rowOff>25401</xdr:rowOff>
    </xdr:from>
    <xdr:to>
      <xdr:col>16</xdr:col>
      <xdr:colOff>739532</xdr:colOff>
      <xdr:row>89</xdr:row>
      <xdr:rowOff>72293</xdr:rowOff>
    </xdr:to>
    <xdr:graphicFrame macro="">
      <xdr:nvGraphicFramePr>
        <xdr:cNvPr id="15" name="Diagramm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17</xdr:col>
      <xdr:colOff>120358</xdr:colOff>
      <xdr:row>61</xdr:row>
      <xdr:rowOff>25400</xdr:rowOff>
    </xdr:from>
    <xdr:to>
      <xdr:col>24</xdr:col>
      <xdr:colOff>813777</xdr:colOff>
      <xdr:row>89</xdr:row>
      <xdr:rowOff>82064</xdr:rowOff>
    </xdr:to>
    <xdr:graphicFrame macro="">
      <xdr:nvGraphicFramePr>
        <xdr:cNvPr id="16" name="Diagramm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12700</xdr:colOff>
      <xdr:row>61</xdr:row>
      <xdr:rowOff>25400</xdr:rowOff>
    </xdr:from>
    <xdr:to>
      <xdr:col>8</xdr:col>
      <xdr:colOff>685800</xdr:colOff>
      <xdr:row>89</xdr:row>
      <xdr:rowOff>72292</xdr:rowOff>
    </xdr:to>
    <xdr:graphicFrame macro="">
      <xdr:nvGraphicFramePr>
        <xdr:cNvPr id="17" name="Diagramm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12701</xdr:colOff>
      <xdr:row>90</xdr:row>
      <xdr:rowOff>116840</xdr:rowOff>
    </xdr:from>
    <xdr:to>
      <xdr:col>8</xdr:col>
      <xdr:colOff>673101</xdr:colOff>
      <xdr:row>119</xdr:row>
      <xdr:rowOff>15240</xdr:rowOff>
    </xdr:to>
    <xdr:graphicFrame macro="">
      <xdr:nvGraphicFramePr>
        <xdr:cNvPr id="18" name="Diagramm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93981</xdr:colOff>
      <xdr:row>90</xdr:row>
      <xdr:rowOff>127000</xdr:rowOff>
    </xdr:from>
    <xdr:to>
      <xdr:col>16</xdr:col>
      <xdr:colOff>739533</xdr:colOff>
      <xdr:row>119</xdr:row>
      <xdr:rowOff>25400</xdr:rowOff>
    </xdr:to>
    <xdr:graphicFrame macro="">
      <xdr:nvGraphicFramePr>
        <xdr:cNvPr id="19" name="Diagramm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17</xdr:col>
      <xdr:colOff>119186</xdr:colOff>
      <xdr:row>90</xdr:row>
      <xdr:rowOff>127000</xdr:rowOff>
    </xdr:from>
    <xdr:to>
      <xdr:col>24</xdr:col>
      <xdr:colOff>813777</xdr:colOff>
      <xdr:row>119</xdr:row>
      <xdr:rowOff>25400</xdr:rowOff>
    </xdr:to>
    <xdr:graphicFrame macro="">
      <xdr:nvGraphicFramePr>
        <xdr:cNvPr id="20" name="Diagramm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0</xdr:colOff>
      <xdr:row>120</xdr:row>
      <xdr:rowOff>101600</xdr:rowOff>
    </xdr:from>
    <xdr:to>
      <xdr:col>8</xdr:col>
      <xdr:colOff>693419</xdr:colOff>
      <xdr:row>149</xdr:row>
      <xdr:rowOff>0</xdr:rowOff>
    </xdr:to>
    <xdr:graphicFrame macro="">
      <xdr:nvGraphicFramePr>
        <xdr:cNvPr id="21" name="Diagramm 2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106289</xdr:colOff>
      <xdr:row>120</xdr:row>
      <xdr:rowOff>101600</xdr:rowOff>
    </xdr:from>
    <xdr:to>
      <xdr:col>16</xdr:col>
      <xdr:colOff>739532</xdr:colOff>
      <xdr:row>149</xdr:row>
      <xdr:rowOff>0</xdr:rowOff>
    </xdr:to>
    <xdr:graphicFrame macro="">
      <xdr:nvGraphicFramePr>
        <xdr:cNvPr id="22" name="Diagramm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xdr:col>
      <xdr:colOff>12701</xdr:colOff>
      <xdr:row>150</xdr:row>
      <xdr:rowOff>22860</xdr:rowOff>
    </xdr:from>
    <xdr:to>
      <xdr:col>8</xdr:col>
      <xdr:colOff>706120</xdr:colOff>
      <xdr:row>178</xdr:row>
      <xdr:rowOff>73660</xdr:rowOff>
    </xdr:to>
    <xdr:graphicFrame macro="">
      <xdr:nvGraphicFramePr>
        <xdr:cNvPr id="23" name="Diagramm 2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9</xdr:col>
      <xdr:colOff>106289</xdr:colOff>
      <xdr:row>150</xdr:row>
      <xdr:rowOff>33020</xdr:rowOff>
    </xdr:from>
    <xdr:to>
      <xdr:col>16</xdr:col>
      <xdr:colOff>739532</xdr:colOff>
      <xdr:row>178</xdr:row>
      <xdr:rowOff>83820</xdr:rowOff>
    </xdr:to>
    <xdr:graphicFrame macro="">
      <xdr:nvGraphicFramePr>
        <xdr:cNvPr id="24" name="Diagramm 2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theangelvc.net/2016/03/saas-financial-plan-20.html" TargetMode="External"/><Relationship Id="rId4" Type="http://schemas.openxmlformats.org/officeDocument/2006/relationships/hyperlink" Target="http://www.theangelvc.net/2016/03/saas-financial-plan-20.html" TargetMode="External"/><Relationship Id="rId5" Type="http://schemas.openxmlformats.org/officeDocument/2006/relationships/hyperlink" Target="http://www.theangelvc.net/2016/03/saas-financial-plan-20.html" TargetMode="External"/><Relationship Id="rId6" Type="http://schemas.openxmlformats.org/officeDocument/2006/relationships/hyperlink" Target="http://www.theangelvc.net/2016/03/saas-financial-plan-20.html" TargetMode="External"/><Relationship Id="rId7" Type="http://schemas.openxmlformats.org/officeDocument/2006/relationships/drawing" Target="../drawings/drawing1.xml"/><Relationship Id="rId8" Type="http://schemas.openxmlformats.org/officeDocument/2006/relationships/vmlDrawing" Target="../drawings/vmlDrawing1.vml"/><Relationship Id="rId9" Type="http://schemas.openxmlformats.org/officeDocument/2006/relationships/comments" Target="../comments1.xml"/><Relationship Id="rId1" Type="http://schemas.openxmlformats.org/officeDocument/2006/relationships/hyperlink" Target="http://www.theangelvc.net" TargetMode="External"/><Relationship Id="rId2" Type="http://schemas.openxmlformats.org/officeDocument/2006/relationships/hyperlink" Target="http://www.theangelvc.net/2016/03/saas-financial-plan-20.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theangelvc.net/2016/03/saas-financial-plan-20.html" TargetMode="External"/><Relationship Id="rId4" Type="http://schemas.openxmlformats.org/officeDocument/2006/relationships/hyperlink" Target="http://www.theangelvc.net/2016/03/saas-financial-plan-20.html" TargetMode="External"/><Relationship Id="rId5" Type="http://schemas.openxmlformats.org/officeDocument/2006/relationships/hyperlink" Target="http://www.theangelvc.net/2016/03/saas-financial-plan-20.html" TargetMode="External"/><Relationship Id="rId6" Type="http://schemas.openxmlformats.org/officeDocument/2006/relationships/hyperlink" Target="http://www.theangelvc.net/2016/03/saas-financial-plan-20.html" TargetMode="External"/><Relationship Id="rId7" Type="http://schemas.openxmlformats.org/officeDocument/2006/relationships/drawing" Target="../drawings/drawing2.xml"/><Relationship Id="rId8" Type="http://schemas.openxmlformats.org/officeDocument/2006/relationships/vmlDrawing" Target="../drawings/vmlDrawing2.vml"/><Relationship Id="rId9" Type="http://schemas.openxmlformats.org/officeDocument/2006/relationships/comments" Target="../comments2.xml"/><Relationship Id="rId1" Type="http://schemas.openxmlformats.org/officeDocument/2006/relationships/hyperlink" Target="http://www.theangelvc.net" TargetMode="External"/><Relationship Id="rId2" Type="http://schemas.openxmlformats.org/officeDocument/2006/relationships/hyperlink" Target="http://www.theangelvc.net/2016/03/saas-financial-plan-20.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theangelvc.net/2016/03/saas-financial-plan-20.html" TargetMode="External"/><Relationship Id="rId4" Type="http://schemas.openxmlformats.org/officeDocument/2006/relationships/hyperlink" Target="http://www.theangelvc.net/2016/03/saas-financial-plan-20.html" TargetMode="External"/><Relationship Id="rId5" Type="http://schemas.openxmlformats.org/officeDocument/2006/relationships/hyperlink" Target="http://www.theangelvc.net/2016/03/saas-financial-plan-20.html" TargetMode="External"/><Relationship Id="rId6" Type="http://schemas.openxmlformats.org/officeDocument/2006/relationships/hyperlink" Target="http://www.theangelvc.net/2016/03/saas-financial-plan-20.html" TargetMode="External"/><Relationship Id="rId7" Type="http://schemas.openxmlformats.org/officeDocument/2006/relationships/drawing" Target="../drawings/drawing3.xml"/><Relationship Id="rId8" Type="http://schemas.openxmlformats.org/officeDocument/2006/relationships/vmlDrawing" Target="../drawings/vmlDrawing3.vml"/><Relationship Id="rId9" Type="http://schemas.openxmlformats.org/officeDocument/2006/relationships/comments" Target="../comments3.xml"/><Relationship Id="rId1" Type="http://schemas.openxmlformats.org/officeDocument/2006/relationships/hyperlink" Target="http://www.theangelvc.net" TargetMode="External"/><Relationship Id="rId2" Type="http://schemas.openxmlformats.org/officeDocument/2006/relationships/hyperlink" Target="http://www.theangelvc.net/2016/03/saas-financial-plan-20.html"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theangelvc.net/2016/03/saas-financial-plan-20.html" TargetMode="External"/><Relationship Id="rId4" Type="http://schemas.openxmlformats.org/officeDocument/2006/relationships/hyperlink" Target="http://www.theangelvc.net/2016/03/saas-financial-plan-20.html" TargetMode="External"/><Relationship Id="rId5" Type="http://schemas.openxmlformats.org/officeDocument/2006/relationships/hyperlink" Target="http://www.theangelvc.net/2016/03/saas-financial-plan-20.html" TargetMode="External"/><Relationship Id="rId6" Type="http://schemas.openxmlformats.org/officeDocument/2006/relationships/hyperlink" Target="http://www.theangelvc.net/2016/03/saas-financial-plan-20.html" TargetMode="External"/><Relationship Id="rId1" Type="http://schemas.openxmlformats.org/officeDocument/2006/relationships/hyperlink" Target="http://www.theangelvc.net" TargetMode="External"/><Relationship Id="rId2" Type="http://schemas.openxmlformats.org/officeDocument/2006/relationships/hyperlink" Target="http://www.theangelvc.net/2016/03/saas-financial-plan-20.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theangelvc.net/2016/03/saas-financial-plan-20.html" TargetMode="External"/><Relationship Id="rId4" Type="http://schemas.openxmlformats.org/officeDocument/2006/relationships/hyperlink" Target="http://www.theangelvc.net/2016/03/saas-financial-plan-20.html" TargetMode="External"/><Relationship Id="rId5" Type="http://schemas.openxmlformats.org/officeDocument/2006/relationships/hyperlink" Target="http://www.theangelvc.net/2016/03/saas-financial-plan-20.html" TargetMode="External"/><Relationship Id="rId6" Type="http://schemas.openxmlformats.org/officeDocument/2006/relationships/hyperlink" Target="http://www.theangelvc.net/2016/03/saas-financial-plan-20.html" TargetMode="External"/><Relationship Id="rId7" Type="http://schemas.openxmlformats.org/officeDocument/2006/relationships/drawing" Target="../drawings/drawing4.xml"/><Relationship Id="rId1" Type="http://schemas.openxmlformats.org/officeDocument/2006/relationships/hyperlink" Target="http://www.theangelvc.net" TargetMode="External"/><Relationship Id="rId2" Type="http://schemas.openxmlformats.org/officeDocument/2006/relationships/hyperlink" Target="http://www.theangelvc.net/2016/03/saas-financial-plan-20.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S153"/>
  <sheetViews>
    <sheetView tabSelected="1" zoomScale="125" zoomScaleNormal="125" zoomScalePageLayoutView="125" workbookViewId="0"/>
  </sheetViews>
  <sheetFormatPr baseColWidth="10" defaultRowHeight="12" x14ac:dyDescent="0"/>
  <cols>
    <col min="1" max="1" width="2" style="331" customWidth="1"/>
    <col min="2" max="3" width="10.83203125" style="335"/>
    <col min="4" max="29" width="11.6640625" style="335" customWidth="1"/>
    <col min="30" max="45" width="10.83203125" style="331"/>
    <col min="46" max="16384" width="10.83203125" style="335"/>
  </cols>
  <sheetData>
    <row r="1" spans="1:45" s="331" customFormat="1" ht="16" customHeight="1" thickBot="1"/>
    <row r="2" spans="1:45" ht="16" customHeight="1" thickBot="1">
      <c r="B2" s="331"/>
      <c r="C2" s="331"/>
      <c r="D2" s="332">
        <v>42370</v>
      </c>
      <c r="E2" s="333">
        <v>42401</v>
      </c>
      <c r="F2" s="333">
        <v>42430</v>
      </c>
      <c r="G2" s="333">
        <v>42461</v>
      </c>
      <c r="H2" s="333">
        <v>42491</v>
      </c>
      <c r="I2" s="333">
        <v>42522</v>
      </c>
      <c r="J2" s="333">
        <v>42552</v>
      </c>
      <c r="K2" s="333">
        <v>42583</v>
      </c>
      <c r="L2" s="333">
        <v>42614</v>
      </c>
      <c r="M2" s="333">
        <v>42644</v>
      </c>
      <c r="N2" s="333">
        <v>42675</v>
      </c>
      <c r="O2" s="334">
        <v>42705</v>
      </c>
      <c r="P2" s="371" t="s">
        <v>1</v>
      </c>
      <c r="Q2" s="332">
        <v>42736</v>
      </c>
      <c r="R2" s="333">
        <v>42767</v>
      </c>
      <c r="S2" s="333">
        <v>42795</v>
      </c>
      <c r="T2" s="333">
        <v>42826</v>
      </c>
      <c r="U2" s="333">
        <v>42856</v>
      </c>
      <c r="V2" s="333">
        <v>42887</v>
      </c>
      <c r="W2" s="333">
        <v>42917</v>
      </c>
      <c r="X2" s="333">
        <v>42948</v>
      </c>
      <c r="Y2" s="333">
        <v>42979</v>
      </c>
      <c r="Z2" s="333">
        <v>43009</v>
      </c>
      <c r="AA2" s="333">
        <v>43040</v>
      </c>
      <c r="AB2" s="334">
        <v>43070</v>
      </c>
      <c r="AC2" s="371" t="s">
        <v>2</v>
      </c>
    </row>
    <row r="3" spans="1:45" s="331" customFormat="1" ht="16" customHeight="1"/>
    <row r="4" spans="1:45" ht="16" customHeight="1">
      <c r="B4" s="336" t="s">
        <v>290</v>
      </c>
      <c r="C4" s="337"/>
      <c r="D4" s="338"/>
      <c r="E4" s="338"/>
      <c r="F4" s="338"/>
      <c r="G4" s="338"/>
      <c r="H4" s="338"/>
      <c r="I4" s="338"/>
      <c r="J4" s="338"/>
      <c r="K4" s="338"/>
      <c r="L4" s="338"/>
      <c r="M4" s="338"/>
      <c r="N4" s="338"/>
      <c r="O4" s="337"/>
      <c r="P4" s="337"/>
      <c r="Q4" s="338"/>
      <c r="R4" s="338"/>
      <c r="S4" s="338"/>
      <c r="T4" s="338"/>
      <c r="U4" s="338"/>
      <c r="V4" s="338"/>
      <c r="W4" s="338"/>
      <c r="X4" s="338"/>
      <c r="Y4" s="338"/>
      <c r="Z4" s="338"/>
      <c r="AA4" s="338"/>
      <c r="AB4" s="338"/>
      <c r="AC4" s="339"/>
    </row>
    <row r="5" spans="1:45" ht="16" customHeight="1">
      <c r="B5" s="340"/>
      <c r="C5" s="341"/>
      <c r="D5" s="342"/>
      <c r="E5" s="342"/>
      <c r="F5" s="342"/>
      <c r="G5" s="342"/>
      <c r="H5" s="342"/>
      <c r="I5" s="342"/>
      <c r="J5" s="342"/>
      <c r="K5" s="342"/>
      <c r="L5" s="342"/>
      <c r="M5" s="342"/>
      <c r="N5" s="342"/>
      <c r="O5" s="342"/>
      <c r="P5" s="367"/>
      <c r="Q5" s="342"/>
      <c r="R5" s="342"/>
      <c r="S5" s="342"/>
      <c r="T5" s="342"/>
      <c r="U5" s="342"/>
      <c r="V5" s="342"/>
      <c r="W5" s="342"/>
      <c r="X5" s="342"/>
      <c r="Y5" s="342"/>
      <c r="Z5" s="342"/>
      <c r="AA5" s="342"/>
      <c r="AB5" s="342"/>
      <c r="AC5" s="367"/>
    </row>
    <row r="6" spans="1:45" s="346" customFormat="1" ht="16" customHeight="1">
      <c r="A6" s="343"/>
      <c r="B6" s="344" t="s">
        <v>193</v>
      </c>
      <c r="C6" s="345"/>
      <c r="D6" s="455">
        <f>Revenues!I112</f>
        <v>178550</v>
      </c>
      <c r="E6" s="455">
        <f>Revenues!J112</f>
        <v>200667.75</v>
      </c>
      <c r="F6" s="455">
        <f>Revenues!K112</f>
        <v>223654.25875000001</v>
      </c>
      <c r="G6" s="455">
        <f>Revenues!L112</f>
        <v>247826.62353125002</v>
      </c>
      <c r="H6" s="455">
        <f>Revenues!M112</f>
        <v>273202.11115453125</v>
      </c>
      <c r="I6" s="455">
        <f>Revenues!N112</f>
        <v>304849.42192955437</v>
      </c>
      <c r="J6" s="455">
        <f>Revenues!O112</f>
        <v>337323.26501612453</v>
      </c>
      <c r="K6" s="455">
        <f>Revenues!P112</f>
        <v>371722.55174265837</v>
      </c>
      <c r="L6" s="455">
        <f>Revenues!Q112</f>
        <v>412659.02776413149</v>
      </c>
      <c r="M6" s="455">
        <f>Revenues!R112</f>
        <v>455207.05029282888</v>
      </c>
      <c r="N6" s="455">
        <f>Revenues!S112</f>
        <v>503494.79676918028</v>
      </c>
      <c r="O6" s="455">
        <f>Revenues!T112</f>
        <v>554339.43115761515</v>
      </c>
      <c r="P6" s="456">
        <f>SUM(D6:O6)</f>
        <v>4063496.2881078743</v>
      </c>
      <c r="Q6" s="455">
        <f>Revenues!V112</f>
        <v>599459.44625315082</v>
      </c>
      <c r="R6" s="455">
        <f>Revenues!W112</f>
        <v>652440.77541571064</v>
      </c>
      <c r="S6" s="455">
        <f>Revenues!X112</f>
        <v>707656.27547780727</v>
      </c>
      <c r="T6" s="455">
        <f>Revenues!Y112</f>
        <v>765460.87490695389</v>
      </c>
      <c r="U6" s="455">
        <f>Revenues!Z112</f>
        <v>825728.89622605697</v>
      </c>
      <c r="V6" s="455">
        <f>Revenues!AA112</f>
        <v>894593.71432941104</v>
      </c>
      <c r="W6" s="455">
        <f>Revenues!AB112</f>
        <v>966271.17750542017</v>
      </c>
      <c r="X6" s="455">
        <f>Revenues!AC112</f>
        <v>1046405.4915062743</v>
      </c>
      <c r="Y6" s="455">
        <f>Revenues!AD112</f>
        <v>1130377.1181569784</v>
      </c>
      <c r="Z6" s="455">
        <f>Revenues!AE112</f>
        <v>1218407.0661158876</v>
      </c>
      <c r="AA6" s="455">
        <f>Revenues!AF112</f>
        <v>1315052.8136313132</v>
      </c>
      <c r="AB6" s="455">
        <f>Revenues!AG112</f>
        <v>1421769.6441105453</v>
      </c>
      <c r="AC6" s="456">
        <f>SUM(Q6:AB6)</f>
        <v>11543623.29363551</v>
      </c>
      <c r="AD6" s="343"/>
      <c r="AE6" s="343"/>
      <c r="AF6" s="343"/>
      <c r="AG6" s="343"/>
      <c r="AH6" s="343"/>
      <c r="AI6" s="343"/>
      <c r="AJ6" s="343"/>
      <c r="AK6" s="343"/>
      <c r="AL6" s="343"/>
      <c r="AM6" s="343"/>
      <c r="AN6" s="343"/>
      <c r="AO6" s="343"/>
      <c r="AP6" s="343"/>
      <c r="AQ6" s="343"/>
      <c r="AR6" s="343"/>
      <c r="AS6" s="343"/>
    </row>
    <row r="7" spans="1:45" ht="16" customHeight="1">
      <c r="B7" s="340"/>
      <c r="C7" s="341"/>
      <c r="D7" s="457"/>
      <c r="E7" s="457"/>
      <c r="F7" s="457"/>
      <c r="G7" s="457"/>
      <c r="H7" s="457"/>
      <c r="I7" s="457"/>
      <c r="J7" s="457"/>
      <c r="K7" s="457"/>
      <c r="L7" s="457"/>
      <c r="M7" s="457"/>
      <c r="N7" s="457"/>
      <c r="O7" s="457"/>
      <c r="P7" s="458"/>
      <c r="Q7" s="457"/>
      <c r="R7" s="457"/>
      <c r="S7" s="457"/>
      <c r="T7" s="457"/>
      <c r="U7" s="457"/>
      <c r="V7" s="457"/>
      <c r="W7" s="457"/>
      <c r="X7" s="457"/>
      <c r="Y7" s="457"/>
      <c r="Z7" s="457"/>
      <c r="AA7" s="457"/>
      <c r="AB7" s="457"/>
      <c r="AC7" s="458"/>
    </row>
    <row r="8" spans="1:45" s="346" customFormat="1" ht="16" customHeight="1">
      <c r="A8" s="343"/>
      <c r="B8" s="344" t="s">
        <v>122</v>
      </c>
      <c r="C8" s="345"/>
      <c r="D8" s="455">
        <f>Costs!J173</f>
        <v>38891.75</v>
      </c>
      <c r="E8" s="455">
        <f>Costs!K173</f>
        <v>50981.758750000001</v>
      </c>
      <c r="F8" s="455">
        <f>Costs!L173</f>
        <v>48695.611993749997</v>
      </c>
      <c r="G8" s="455">
        <f>Costs!M173</f>
        <v>70810.26300015625</v>
      </c>
      <c r="H8" s="455">
        <f>Costs!N173</f>
        <v>64727.179448135154</v>
      </c>
      <c r="I8" s="455">
        <f>Costs!O173</f>
        <v>77552.20086401212</v>
      </c>
      <c r="J8" s="455">
        <f>Costs!P173</f>
        <v>85547.477526370581</v>
      </c>
      <c r="K8" s="455">
        <f>Costs!Q173</f>
        <v>93706.416898125957</v>
      </c>
      <c r="L8" s="455">
        <f>Costs!R173</f>
        <v>139146.01735995116</v>
      </c>
      <c r="M8" s="455">
        <f>Costs!S173</f>
        <v>139922.59927489044</v>
      </c>
      <c r="N8" s="455">
        <f>Costs!T173</f>
        <v>147147.05772538032</v>
      </c>
      <c r="O8" s="455">
        <f>Costs!U173</f>
        <v>156568.85164839728</v>
      </c>
      <c r="P8" s="456">
        <f>SUM(D8:O8)</f>
        <v>1113697.1844891692</v>
      </c>
      <c r="Q8" s="455">
        <f>Costs!W173</f>
        <v>188984.05293151783</v>
      </c>
      <c r="R8" s="455">
        <f>Costs!X173</f>
        <v>192514.96591033542</v>
      </c>
      <c r="S8" s="455">
        <f>Costs!Y173</f>
        <v>225045.78341561364</v>
      </c>
      <c r="T8" s="455">
        <f>Costs!Z173</f>
        <v>227096.67436709109</v>
      </c>
      <c r="U8" s="455">
        <f>Costs!AA173</f>
        <v>246906.95617921485</v>
      </c>
      <c r="V8" s="455">
        <f>Costs!AB173</f>
        <v>265255.46571799996</v>
      </c>
      <c r="W8" s="455">
        <f>Costs!AC173</f>
        <v>304653.05008796073</v>
      </c>
      <c r="X8" s="455">
        <f>Costs!AD173</f>
        <v>325644.4667780333</v>
      </c>
      <c r="Y8" s="455">
        <f>Costs!AE173</f>
        <v>349762.05504334316</v>
      </c>
      <c r="Z8" s="455">
        <f>Costs!AF173</f>
        <v>386474.60061985045</v>
      </c>
      <c r="AA8" s="455">
        <f>Costs!AG173</f>
        <v>405711.98915866157</v>
      </c>
      <c r="AB8" s="455">
        <f>Costs!AH173</f>
        <v>444770.41974939639</v>
      </c>
      <c r="AC8" s="456">
        <f>SUM(Q8:AB8)</f>
        <v>3562820.4799590185</v>
      </c>
      <c r="AD8" s="343"/>
      <c r="AE8" s="343"/>
      <c r="AF8" s="343"/>
      <c r="AG8" s="343"/>
      <c r="AH8" s="343"/>
      <c r="AI8" s="343"/>
      <c r="AJ8" s="343"/>
      <c r="AK8" s="343"/>
      <c r="AL8" s="343"/>
      <c r="AM8" s="343"/>
      <c r="AN8" s="343"/>
      <c r="AO8" s="343"/>
      <c r="AP8" s="343"/>
      <c r="AQ8" s="343"/>
      <c r="AR8" s="343"/>
      <c r="AS8" s="343"/>
    </row>
    <row r="9" spans="1:45" s="351" customFormat="1" ht="16" customHeight="1">
      <c r="A9" s="347"/>
      <c r="B9" s="348" t="s">
        <v>196</v>
      </c>
      <c r="C9" s="349"/>
      <c r="D9" s="350">
        <f t="shared" ref="D9:AC9" si="0">D8/D$6</f>
        <v>0.2178199383926071</v>
      </c>
      <c r="E9" s="350">
        <f t="shared" si="0"/>
        <v>0.25406054909172004</v>
      </c>
      <c r="F9" s="350">
        <f t="shared" si="0"/>
        <v>0.21772718420793316</v>
      </c>
      <c r="G9" s="350">
        <f t="shared" si="0"/>
        <v>0.28572500400154682</v>
      </c>
      <c r="H9" s="350">
        <f t="shared" si="0"/>
        <v>0.2369204951404037</v>
      </c>
      <c r="I9" s="350">
        <f t="shared" si="0"/>
        <v>0.25439510553486677</v>
      </c>
      <c r="J9" s="350">
        <f t="shared" si="0"/>
        <v>0.25360681102823218</v>
      </c>
      <c r="K9" s="350">
        <f t="shared" si="0"/>
        <v>0.25208698385078998</v>
      </c>
      <c r="L9" s="350">
        <f t="shared" si="0"/>
        <v>0.33719368291509799</v>
      </c>
      <c r="M9" s="350">
        <f t="shared" si="0"/>
        <v>0.30738232016591138</v>
      </c>
      <c r="N9" s="350">
        <f t="shared" si="0"/>
        <v>0.29225139697488811</v>
      </c>
      <c r="O9" s="350">
        <f t="shared" si="0"/>
        <v>0.28244220571038559</v>
      </c>
      <c r="P9" s="368">
        <f t="shared" si="0"/>
        <v>0.27407363155430636</v>
      </c>
      <c r="Q9" s="350">
        <f t="shared" si="0"/>
        <v>0.31525744420701002</v>
      </c>
      <c r="R9" s="350">
        <f t="shared" si="0"/>
        <v>0.29506887546639332</v>
      </c>
      <c r="S9" s="350">
        <f t="shared" si="0"/>
        <v>0.31801566836055178</v>
      </c>
      <c r="T9" s="350">
        <f t="shared" si="0"/>
        <v>0.2966796629477581</v>
      </c>
      <c r="U9" s="350">
        <f t="shared" si="0"/>
        <v>0.29901697434556046</v>
      </c>
      <c r="V9" s="350">
        <f t="shared" si="0"/>
        <v>0.29650942262302382</v>
      </c>
      <c r="W9" s="350">
        <f t="shared" si="0"/>
        <v>0.31528732014388561</v>
      </c>
      <c r="X9" s="350">
        <f t="shared" si="0"/>
        <v>0.31120294132753096</v>
      </c>
      <c r="Y9" s="350">
        <f t="shared" si="0"/>
        <v>0.30942067866130568</v>
      </c>
      <c r="Z9" s="350">
        <f t="shared" si="0"/>
        <v>0.31719661791840864</v>
      </c>
      <c r="AA9" s="350">
        <f t="shared" si="0"/>
        <v>0.3085138368232917</v>
      </c>
      <c r="AB9" s="350">
        <f t="shared" si="0"/>
        <v>0.31282874943334676</v>
      </c>
      <c r="AC9" s="368">
        <f t="shared" si="0"/>
        <v>0.30863970430526372</v>
      </c>
      <c r="AD9" s="347"/>
      <c r="AE9" s="347"/>
      <c r="AF9" s="347"/>
      <c r="AG9" s="347"/>
      <c r="AH9" s="347"/>
      <c r="AI9" s="347"/>
      <c r="AJ9" s="347"/>
      <c r="AK9" s="347"/>
      <c r="AL9" s="347"/>
      <c r="AM9" s="347"/>
      <c r="AN9" s="347"/>
      <c r="AO9" s="347"/>
      <c r="AP9" s="347"/>
      <c r="AQ9" s="347"/>
      <c r="AR9" s="347"/>
      <c r="AS9" s="347"/>
    </row>
    <row r="10" spans="1:45" ht="16" customHeight="1">
      <c r="B10" s="340"/>
      <c r="C10" s="341"/>
      <c r="D10" s="342"/>
      <c r="E10" s="342"/>
      <c r="F10" s="342"/>
      <c r="G10" s="342"/>
      <c r="H10" s="342"/>
      <c r="I10" s="342"/>
      <c r="J10" s="342"/>
      <c r="K10" s="342"/>
      <c r="L10" s="342"/>
      <c r="M10" s="342"/>
      <c r="N10" s="342"/>
      <c r="O10" s="342"/>
      <c r="P10" s="367"/>
      <c r="Q10" s="342"/>
      <c r="R10" s="342"/>
      <c r="S10" s="342"/>
      <c r="T10" s="342"/>
      <c r="U10" s="342"/>
      <c r="V10" s="342"/>
      <c r="W10" s="342"/>
      <c r="X10" s="342"/>
      <c r="Y10" s="342"/>
      <c r="Z10" s="342"/>
      <c r="AA10" s="342"/>
      <c r="AB10" s="342"/>
      <c r="AC10" s="367"/>
    </row>
    <row r="11" spans="1:45" s="346" customFormat="1" ht="16" customHeight="1">
      <c r="A11" s="343"/>
      <c r="B11" s="344" t="s">
        <v>198</v>
      </c>
      <c r="C11" s="345"/>
      <c r="D11" s="455">
        <f t="shared" ref="D11:AC11" si="1">D6-D8</f>
        <v>139658.25</v>
      </c>
      <c r="E11" s="455">
        <f t="shared" si="1"/>
        <v>149685.99124999999</v>
      </c>
      <c r="F11" s="455">
        <f t="shared" si="1"/>
        <v>174958.64675625</v>
      </c>
      <c r="G11" s="455">
        <f t="shared" si="1"/>
        <v>177016.36053109379</v>
      </c>
      <c r="H11" s="455">
        <f t="shared" si="1"/>
        <v>208474.93170639611</v>
      </c>
      <c r="I11" s="455">
        <f t="shared" si="1"/>
        <v>227297.22106554225</v>
      </c>
      <c r="J11" s="455">
        <f t="shared" si="1"/>
        <v>251775.78748975394</v>
      </c>
      <c r="K11" s="455">
        <f t="shared" si="1"/>
        <v>278016.13484453241</v>
      </c>
      <c r="L11" s="455">
        <f t="shared" si="1"/>
        <v>273513.01040418033</v>
      </c>
      <c r="M11" s="455">
        <f t="shared" si="1"/>
        <v>315284.45101793844</v>
      </c>
      <c r="N11" s="455">
        <f t="shared" si="1"/>
        <v>356347.73904379993</v>
      </c>
      <c r="O11" s="455">
        <f t="shared" si="1"/>
        <v>397770.57950921787</v>
      </c>
      <c r="P11" s="456">
        <f t="shared" si="1"/>
        <v>2949799.1036187052</v>
      </c>
      <c r="Q11" s="455">
        <f t="shared" si="1"/>
        <v>410475.39332163299</v>
      </c>
      <c r="R11" s="455">
        <f t="shared" si="1"/>
        <v>459925.80950537522</v>
      </c>
      <c r="S11" s="455">
        <f t="shared" si="1"/>
        <v>482610.49206219363</v>
      </c>
      <c r="T11" s="455">
        <f t="shared" si="1"/>
        <v>538364.20053986274</v>
      </c>
      <c r="U11" s="455">
        <f t="shared" si="1"/>
        <v>578821.94004684209</v>
      </c>
      <c r="V11" s="455">
        <f t="shared" si="1"/>
        <v>629338.24861141108</v>
      </c>
      <c r="W11" s="455">
        <f t="shared" si="1"/>
        <v>661618.12741745939</v>
      </c>
      <c r="X11" s="455">
        <f t="shared" si="1"/>
        <v>720761.02472824103</v>
      </c>
      <c r="Y11" s="455">
        <f t="shared" si="1"/>
        <v>780615.06311363517</v>
      </c>
      <c r="Z11" s="455">
        <f t="shared" si="1"/>
        <v>831932.46549603716</v>
      </c>
      <c r="AA11" s="455">
        <f t="shared" si="1"/>
        <v>909340.82447265158</v>
      </c>
      <c r="AB11" s="455">
        <f t="shared" si="1"/>
        <v>976999.2243611489</v>
      </c>
      <c r="AC11" s="456">
        <f t="shared" si="1"/>
        <v>7980802.8136764914</v>
      </c>
      <c r="AD11" s="343"/>
      <c r="AE11" s="343"/>
      <c r="AF11" s="343"/>
      <c r="AG11" s="343"/>
      <c r="AH11" s="343"/>
      <c r="AI11" s="343"/>
      <c r="AJ11" s="343"/>
      <c r="AK11" s="343"/>
      <c r="AL11" s="343"/>
      <c r="AM11" s="343"/>
      <c r="AN11" s="343"/>
      <c r="AO11" s="343"/>
      <c r="AP11" s="343"/>
      <c r="AQ11" s="343"/>
      <c r="AR11" s="343"/>
      <c r="AS11" s="343"/>
    </row>
    <row r="12" spans="1:45" s="351" customFormat="1" ht="16" customHeight="1">
      <c r="A12" s="347"/>
      <c r="B12" s="348" t="s">
        <v>196</v>
      </c>
      <c r="C12" s="349"/>
      <c r="D12" s="350">
        <f t="shared" ref="D12:AC12" si="2">D11/D$6</f>
        <v>0.78218006160739284</v>
      </c>
      <c r="E12" s="350">
        <f t="shared" si="2"/>
        <v>0.74593945090827996</v>
      </c>
      <c r="F12" s="350">
        <f t="shared" si="2"/>
        <v>0.78227281579206687</v>
      </c>
      <c r="G12" s="350">
        <f t="shared" si="2"/>
        <v>0.71427499599845323</v>
      </c>
      <c r="H12" s="350">
        <f t="shared" si="2"/>
        <v>0.7630795048595963</v>
      </c>
      <c r="I12" s="350">
        <f t="shared" si="2"/>
        <v>0.74560489446513323</v>
      </c>
      <c r="J12" s="350">
        <f t="shared" si="2"/>
        <v>0.74639318897176776</v>
      </c>
      <c r="K12" s="350">
        <f t="shared" si="2"/>
        <v>0.74791301614921002</v>
      </c>
      <c r="L12" s="350">
        <f t="shared" si="2"/>
        <v>0.66280631708490201</v>
      </c>
      <c r="M12" s="350">
        <f t="shared" si="2"/>
        <v>0.69261767983408862</v>
      </c>
      <c r="N12" s="350">
        <f t="shared" si="2"/>
        <v>0.70774860302511178</v>
      </c>
      <c r="O12" s="350">
        <f t="shared" si="2"/>
        <v>0.71755779428961441</v>
      </c>
      <c r="P12" s="369">
        <f t="shared" si="2"/>
        <v>0.72592636844569358</v>
      </c>
      <c r="Q12" s="350">
        <f t="shared" si="2"/>
        <v>0.68474255579298993</v>
      </c>
      <c r="R12" s="350">
        <f t="shared" si="2"/>
        <v>0.70493112453360662</v>
      </c>
      <c r="S12" s="350">
        <f t="shared" si="2"/>
        <v>0.68198433163944816</v>
      </c>
      <c r="T12" s="350">
        <f t="shared" si="2"/>
        <v>0.70332033705224184</v>
      </c>
      <c r="U12" s="350">
        <f t="shared" si="2"/>
        <v>0.70098302565443948</v>
      </c>
      <c r="V12" s="350">
        <f t="shared" si="2"/>
        <v>0.70349057737697618</v>
      </c>
      <c r="W12" s="350">
        <f t="shared" si="2"/>
        <v>0.68471267985611428</v>
      </c>
      <c r="X12" s="350">
        <f t="shared" si="2"/>
        <v>0.68879705867246899</v>
      </c>
      <c r="Y12" s="350">
        <f t="shared" si="2"/>
        <v>0.69057932133869426</v>
      </c>
      <c r="Z12" s="350">
        <f t="shared" si="2"/>
        <v>0.68280338208159141</v>
      </c>
      <c r="AA12" s="350">
        <f t="shared" si="2"/>
        <v>0.6914861631767083</v>
      </c>
      <c r="AB12" s="350">
        <f t="shared" si="2"/>
        <v>0.68717125056665318</v>
      </c>
      <c r="AC12" s="369">
        <f t="shared" si="2"/>
        <v>0.69136029569473623</v>
      </c>
      <c r="AD12" s="347"/>
      <c r="AE12" s="347"/>
      <c r="AF12" s="347"/>
      <c r="AG12" s="347"/>
      <c r="AH12" s="347"/>
      <c r="AI12" s="347"/>
      <c r="AJ12" s="347"/>
      <c r="AK12" s="347"/>
      <c r="AL12" s="347"/>
      <c r="AM12" s="347"/>
      <c r="AN12" s="347"/>
      <c r="AO12" s="347"/>
      <c r="AP12" s="347"/>
      <c r="AQ12" s="347"/>
      <c r="AR12" s="347"/>
      <c r="AS12" s="347"/>
    </row>
    <row r="13" spans="1:45" s="351" customFormat="1" ht="16" customHeight="1">
      <c r="A13" s="347"/>
      <c r="B13" s="348"/>
      <c r="C13" s="349"/>
      <c r="D13" s="352"/>
      <c r="E13" s="352"/>
      <c r="F13" s="352"/>
      <c r="G13" s="352"/>
      <c r="H13" s="352"/>
      <c r="I13" s="352"/>
      <c r="J13" s="352"/>
      <c r="K13" s="352"/>
      <c r="L13" s="352"/>
      <c r="M13" s="352"/>
      <c r="N13" s="352"/>
      <c r="O13" s="352"/>
      <c r="P13" s="370"/>
      <c r="Q13" s="352"/>
      <c r="R13" s="352"/>
      <c r="S13" s="352"/>
      <c r="T13" s="352"/>
      <c r="U13" s="352"/>
      <c r="V13" s="352"/>
      <c r="W13" s="352"/>
      <c r="X13" s="352"/>
      <c r="Y13" s="352"/>
      <c r="Z13" s="352"/>
      <c r="AA13" s="352"/>
      <c r="AB13" s="352"/>
      <c r="AC13" s="370"/>
      <c r="AD13" s="347"/>
      <c r="AE13" s="347"/>
      <c r="AF13" s="347"/>
      <c r="AG13" s="347"/>
      <c r="AH13" s="347"/>
      <c r="AI13" s="347"/>
      <c r="AJ13" s="347"/>
      <c r="AK13" s="347"/>
      <c r="AL13" s="347"/>
      <c r="AM13" s="347"/>
      <c r="AN13" s="347"/>
      <c r="AO13" s="347"/>
      <c r="AP13" s="347"/>
      <c r="AQ13" s="347"/>
      <c r="AR13" s="347"/>
      <c r="AS13" s="347"/>
    </row>
    <row r="14" spans="1:45" s="346" customFormat="1" ht="16" customHeight="1">
      <c r="A14" s="343"/>
      <c r="B14" s="344" t="s">
        <v>199</v>
      </c>
      <c r="C14" s="345"/>
      <c r="D14" s="365"/>
      <c r="E14" s="365"/>
      <c r="F14" s="365"/>
      <c r="G14" s="365"/>
      <c r="H14" s="365"/>
      <c r="I14" s="365"/>
      <c r="J14" s="365"/>
      <c r="K14" s="365"/>
      <c r="L14" s="365"/>
      <c r="M14" s="365"/>
      <c r="N14" s="365"/>
      <c r="O14" s="365"/>
      <c r="P14" s="366"/>
      <c r="Q14" s="365"/>
      <c r="R14" s="365"/>
      <c r="S14" s="365"/>
      <c r="T14" s="365"/>
      <c r="U14" s="365"/>
      <c r="V14" s="365"/>
      <c r="W14" s="365"/>
      <c r="X14" s="365"/>
      <c r="Y14" s="365"/>
      <c r="Z14" s="365"/>
      <c r="AA14" s="365"/>
      <c r="AB14" s="365"/>
      <c r="AC14" s="366"/>
      <c r="AD14" s="343"/>
      <c r="AE14" s="343"/>
      <c r="AF14" s="343"/>
      <c r="AG14" s="343"/>
      <c r="AH14" s="343"/>
      <c r="AI14" s="343"/>
      <c r="AJ14" s="343"/>
      <c r="AK14" s="343"/>
      <c r="AL14" s="343"/>
      <c r="AM14" s="343"/>
      <c r="AN14" s="343"/>
      <c r="AO14" s="343"/>
      <c r="AP14" s="343"/>
      <c r="AQ14" s="343"/>
      <c r="AR14" s="343"/>
      <c r="AS14" s="343"/>
    </row>
    <row r="15" spans="1:45" s="351" customFormat="1" ht="11" customHeight="1">
      <c r="A15" s="347"/>
      <c r="B15" s="348"/>
      <c r="C15" s="349"/>
      <c r="D15" s="352"/>
      <c r="E15" s="352"/>
      <c r="F15" s="352"/>
      <c r="G15" s="352"/>
      <c r="H15" s="352"/>
      <c r="I15" s="352"/>
      <c r="J15" s="352"/>
      <c r="K15" s="352"/>
      <c r="L15" s="352"/>
      <c r="M15" s="352"/>
      <c r="N15" s="352"/>
      <c r="O15" s="352"/>
      <c r="P15" s="370"/>
      <c r="Q15" s="352"/>
      <c r="R15" s="352"/>
      <c r="S15" s="352"/>
      <c r="T15" s="352"/>
      <c r="U15" s="352"/>
      <c r="V15" s="352"/>
      <c r="W15" s="352"/>
      <c r="X15" s="352"/>
      <c r="Y15" s="352"/>
      <c r="Z15" s="352"/>
      <c r="AA15" s="352"/>
      <c r="AB15" s="352"/>
      <c r="AC15" s="370"/>
      <c r="AD15" s="347"/>
      <c r="AE15" s="347"/>
      <c r="AF15" s="347"/>
      <c r="AG15" s="347"/>
      <c r="AH15" s="347"/>
      <c r="AI15" s="347"/>
      <c r="AJ15" s="347"/>
      <c r="AK15" s="347"/>
      <c r="AL15" s="347"/>
      <c r="AM15" s="347"/>
      <c r="AN15" s="347"/>
      <c r="AO15" s="347"/>
      <c r="AP15" s="347"/>
      <c r="AQ15" s="347"/>
      <c r="AR15" s="347"/>
      <c r="AS15" s="347"/>
    </row>
    <row r="16" spans="1:45" s="356" customFormat="1" ht="16" customHeight="1">
      <c r="A16" s="353"/>
      <c r="B16" s="354" t="s">
        <v>49</v>
      </c>
      <c r="C16" s="355"/>
      <c r="D16" s="459">
        <f>Costs!J174</f>
        <v>54900</v>
      </c>
      <c r="E16" s="459">
        <f>Costs!K174</f>
        <v>54900</v>
      </c>
      <c r="F16" s="459">
        <f>Costs!L174</f>
        <v>77600</v>
      </c>
      <c r="G16" s="459">
        <f>Costs!M174</f>
        <v>82750</v>
      </c>
      <c r="H16" s="459">
        <f>Costs!N174</f>
        <v>90100</v>
      </c>
      <c r="I16" s="459">
        <f>Costs!O174</f>
        <v>86100</v>
      </c>
      <c r="J16" s="459">
        <f>Costs!P174</f>
        <v>134550</v>
      </c>
      <c r="K16" s="459">
        <f>Costs!Q174</f>
        <v>135700</v>
      </c>
      <c r="L16" s="459">
        <f>Costs!R174</f>
        <v>156200</v>
      </c>
      <c r="M16" s="459">
        <f>Costs!S174</f>
        <v>148200</v>
      </c>
      <c r="N16" s="459">
        <f>Costs!T174</f>
        <v>159550</v>
      </c>
      <c r="O16" s="459">
        <f>Costs!U174</f>
        <v>166900</v>
      </c>
      <c r="P16" s="458">
        <f>SUM(D16:O16)</f>
        <v>1347450</v>
      </c>
      <c r="Q16" s="459">
        <f>Costs!W174</f>
        <v>208950</v>
      </c>
      <c r="R16" s="459">
        <f>Costs!X174</f>
        <v>196950</v>
      </c>
      <c r="S16" s="459">
        <f>Costs!Y174</f>
        <v>208300</v>
      </c>
      <c r="T16" s="459">
        <f>Costs!Z174</f>
        <v>217450</v>
      </c>
      <c r="U16" s="459">
        <f>Costs!AA174</f>
        <v>224800</v>
      </c>
      <c r="V16" s="459">
        <f>Costs!AB174</f>
        <v>244100</v>
      </c>
      <c r="W16" s="459">
        <f>Costs!AC174</f>
        <v>250450</v>
      </c>
      <c r="X16" s="459">
        <f>Costs!AD174</f>
        <v>246450</v>
      </c>
      <c r="Y16" s="459">
        <f>Costs!AE174</f>
        <v>246450</v>
      </c>
      <c r="Z16" s="459">
        <f>Costs!AF174</f>
        <v>246450</v>
      </c>
      <c r="AA16" s="459">
        <f>Costs!AG174</f>
        <v>259600</v>
      </c>
      <c r="AB16" s="459">
        <f>Costs!AH174</f>
        <v>255600</v>
      </c>
      <c r="AC16" s="458">
        <f>SUM(Q16:AB16)</f>
        <v>2805550</v>
      </c>
      <c r="AD16" s="353"/>
      <c r="AE16" s="353"/>
      <c r="AF16" s="353"/>
      <c r="AG16" s="353"/>
      <c r="AH16" s="353"/>
      <c r="AI16" s="353"/>
      <c r="AJ16" s="353"/>
      <c r="AK16" s="353"/>
      <c r="AL16" s="353"/>
      <c r="AM16" s="353"/>
      <c r="AN16" s="353"/>
      <c r="AO16" s="353"/>
      <c r="AP16" s="353"/>
      <c r="AQ16" s="353"/>
      <c r="AR16" s="353"/>
      <c r="AS16" s="353"/>
    </row>
    <row r="17" spans="1:45" s="351" customFormat="1" ht="16" customHeight="1">
      <c r="A17" s="347"/>
      <c r="B17" s="357" t="s">
        <v>196</v>
      </c>
      <c r="C17" s="349"/>
      <c r="D17" s="350">
        <f t="shared" ref="D17:AC17" si="3">D16/D$6</f>
        <v>0.3074768972276673</v>
      </c>
      <c r="E17" s="350">
        <f t="shared" si="3"/>
        <v>0.27358656286324035</v>
      </c>
      <c r="F17" s="350">
        <f t="shared" si="3"/>
        <v>0.34696410626699054</v>
      </c>
      <c r="G17" s="350">
        <f t="shared" si="3"/>
        <v>0.33390278583029448</v>
      </c>
      <c r="H17" s="350">
        <f t="shared" si="3"/>
        <v>0.32979247348874535</v>
      </c>
      <c r="I17" s="350">
        <f t="shared" si="3"/>
        <v>0.28243451949171244</v>
      </c>
      <c r="J17" s="350">
        <f t="shared" si="3"/>
        <v>0.39887554151821791</v>
      </c>
      <c r="K17" s="350">
        <f t="shared" si="3"/>
        <v>0.36505721636696503</v>
      </c>
      <c r="L17" s="350">
        <f t="shared" si="3"/>
        <v>0.37852073865031527</v>
      </c>
      <c r="M17" s="350">
        <f t="shared" si="3"/>
        <v>0.32556613502507231</v>
      </c>
      <c r="N17" s="350">
        <f t="shared" si="3"/>
        <v>0.31688510193908387</v>
      </c>
      <c r="O17" s="350">
        <f t="shared" si="3"/>
        <v>0.30107906928335643</v>
      </c>
      <c r="P17" s="369">
        <f t="shared" si="3"/>
        <v>0.33159867869042065</v>
      </c>
      <c r="Q17" s="350">
        <f t="shared" si="3"/>
        <v>0.34856402932010971</v>
      </c>
      <c r="R17" s="350">
        <f t="shared" si="3"/>
        <v>0.30186647956592061</v>
      </c>
      <c r="S17" s="350">
        <f t="shared" si="3"/>
        <v>0.29435194347616928</v>
      </c>
      <c r="T17" s="350">
        <f t="shared" si="3"/>
        <v>0.28407722344585185</v>
      </c>
      <c r="U17" s="350">
        <f t="shared" si="3"/>
        <v>0.27224431775057717</v>
      </c>
      <c r="V17" s="350">
        <f t="shared" si="3"/>
        <v>0.27286129568099837</v>
      </c>
      <c r="W17" s="350">
        <f t="shared" si="3"/>
        <v>0.25919224937100549</v>
      </c>
      <c r="X17" s="350">
        <f t="shared" si="3"/>
        <v>0.23552055297917202</v>
      </c>
      <c r="Y17" s="350">
        <f t="shared" si="3"/>
        <v>0.21802458316019702</v>
      </c>
      <c r="Z17" s="350">
        <f t="shared" si="3"/>
        <v>0.2022723003286975</v>
      </c>
      <c r="AA17" s="350">
        <f t="shared" si="3"/>
        <v>0.19740652033826314</v>
      </c>
      <c r="AB17" s="350">
        <f t="shared" si="3"/>
        <v>0.17977595812288044</v>
      </c>
      <c r="AC17" s="369">
        <f t="shared" si="3"/>
        <v>0.24303894268161183</v>
      </c>
      <c r="AD17" s="347"/>
      <c r="AE17" s="347"/>
      <c r="AF17" s="347"/>
      <c r="AG17" s="347"/>
      <c r="AH17" s="347"/>
      <c r="AI17" s="347"/>
      <c r="AJ17" s="347"/>
      <c r="AK17" s="347"/>
      <c r="AL17" s="347"/>
      <c r="AM17" s="347"/>
      <c r="AN17" s="347"/>
      <c r="AO17" s="347"/>
      <c r="AP17" s="347"/>
      <c r="AQ17" s="347"/>
      <c r="AR17" s="347"/>
      <c r="AS17" s="347"/>
    </row>
    <row r="18" spans="1:45" s="351" customFormat="1" ht="11" customHeight="1">
      <c r="A18" s="347"/>
      <c r="B18" s="348"/>
      <c r="C18" s="349"/>
      <c r="D18" s="352"/>
      <c r="E18" s="352"/>
      <c r="F18" s="352"/>
      <c r="G18" s="352"/>
      <c r="H18" s="352"/>
      <c r="I18" s="352"/>
      <c r="J18" s="352"/>
      <c r="K18" s="352"/>
      <c r="L18" s="352"/>
      <c r="M18" s="352"/>
      <c r="N18" s="352"/>
      <c r="O18" s="352"/>
      <c r="P18" s="370"/>
      <c r="Q18" s="352"/>
      <c r="R18" s="352"/>
      <c r="S18" s="352"/>
      <c r="T18" s="352"/>
      <c r="U18" s="352"/>
      <c r="V18" s="352"/>
      <c r="W18" s="352"/>
      <c r="X18" s="352"/>
      <c r="Y18" s="352"/>
      <c r="Z18" s="352"/>
      <c r="AA18" s="352"/>
      <c r="AB18" s="352"/>
      <c r="AC18" s="370"/>
      <c r="AD18" s="347"/>
      <c r="AE18" s="347"/>
      <c r="AF18" s="347"/>
      <c r="AG18" s="347"/>
      <c r="AH18" s="347"/>
      <c r="AI18" s="347"/>
      <c r="AJ18" s="347"/>
      <c r="AK18" s="347"/>
      <c r="AL18" s="347"/>
      <c r="AM18" s="347"/>
      <c r="AN18" s="347"/>
      <c r="AO18" s="347"/>
      <c r="AP18" s="347"/>
      <c r="AQ18" s="347"/>
      <c r="AR18" s="347"/>
      <c r="AS18" s="347"/>
    </row>
    <row r="19" spans="1:45" s="356" customFormat="1" ht="16" customHeight="1">
      <c r="A19" s="353"/>
      <c r="B19" s="354" t="s">
        <v>121</v>
      </c>
      <c r="C19" s="355"/>
      <c r="D19" s="459">
        <f>Costs!J175</f>
        <v>120250</v>
      </c>
      <c r="E19" s="459">
        <f>Costs!K175</f>
        <v>302400</v>
      </c>
      <c r="F19" s="459">
        <f>Costs!L175</f>
        <v>291650</v>
      </c>
      <c r="G19" s="459">
        <f>Costs!M175</f>
        <v>297650</v>
      </c>
      <c r="H19" s="459">
        <f>Costs!N175</f>
        <v>330900</v>
      </c>
      <c r="I19" s="459">
        <f>Costs!O175</f>
        <v>349350</v>
      </c>
      <c r="J19" s="459">
        <f>Costs!P175</f>
        <v>355350</v>
      </c>
      <c r="K19" s="459">
        <f>Costs!Q175</f>
        <v>365350</v>
      </c>
      <c r="L19" s="459">
        <f>Costs!R175</f>
        <v>375350</v>
      </c>
      <c r="M19" s="459">
        <f>Costs!S175</f>
        <v>385350</v>
      </c>
      <c r="N19" s="459">
        <f>Costs!T175</f>
        <v>395350</v>
      </c>
      <c r="O19" s="459">
        <f>Costs!U175</f>
        <v>405350</v>
      </c>
      <c r="P19" s="458">
        <f>SUM(D19:O19)</f>
        <v>3974300</v>
      </c>
      <c r="Q19" s="459">
        <f>Costs!W175</f>
        <v>415350</v>
      </c>
      <c r="R19" s="459">
        <f>Costs!X175</f>
        <v>440200</v>
      </c>
      <c r="S19" s="459">
        <f>Costs!Y175</f>
        <v>457450</v>
      </c>
      <c r="T19" s="459">
        <f>Costs!Z175</f>
        <v>463450</v>
      </c>
      <c r="U19" s="459">
        <f>Costs!AA175</f>
        <v>473450</v>
      </c>
      <c r="V19" s="459">
        <f>Costs!AB175</f>
        <v>539450</v>
      </c>
      <c r="W19" s="459">
        <f>Costs!AC175</f>
        <v>533450</v>
      </c>
      <c r="X19" s="459">
        <f>Costs!AD175</f>
        <v>595200</v>
      </c>
      <c r="Y19" s="459">
        <f>Costs!AE175</f>
        <v>637950</v>
      </c>
      <c r="Z19" s="459">
        <f>Costs!AF175</f>
        <v>649600</v>
      </c>
      <c r="AA19" s="459">
        <f>Costs!AG175</f>
        <v>655600</v>
      </c>
      <c r="AB19" s="459">
        <f>Costs!AH175</f>
        <v>665600</v>
      </c>
      <c r="AC19" s="458">
        <f>SUM(Q19:AB19)</f>
        <v>6526750</v>
      </c>
      <c r="AD19" s="353"/>
      <c r="AE19" s="353"/>
      <c r="AF19" s="353"/>
      <c r="AG19" s="353"/>
      <c r="AH19" s="353"/>
      <c r="AI19" s="353"/>
      <c r="AJ19" s="353"/>
      <c r="AK19" s="353"/>
      <c r="AL19" s="353"/>
      <c r="AM19" s="353"/>
      <c r="AN19" s="353"/>
      <c r="AO19" s="353"/>
      <c r="AP19" s="353"/>
      <c r="AQ19" s="353"/>
      <c r="AR19" s="353"/>
      <c r="AS19" s="353"/>
    </row>
    <row r="20" spans="1:45" s="351" customFormat="1" ht="16" customHeight="1">
      <c r="A20" s="347"/>
      <c r="B20" s="357" t="s">
        <v>196</v>
      </c>
      <c r="C20" s="349"/>
      <c r="D20" s="350">
        <f t="shared" ref="D20:AC20" si="4">D19/D$6</f>
        <v>0.67348081769812373</v>
      </c>
      <c r="E20" s="350">
        <f t="shared" si="4"/>
        <v>1.5069686085581764</v>
      </c>
      <c r="F20" s="350">
        <f t="shared" si="4"/>
        <v>1.3040216700098941</v>
      </c>
      <c r="G20" s="350">
        <f t="shared" si="4"/>
        <v>1.2010412592433493</v>
      </c>
      <c r="H20" s="350">
        <f t="shared" si="4"/>
        <v>1.2111912261645486</v>
      </c>
      <c r="I20" s="350">
        <f t="shared" si="4"/>
        <v>1.1459756026066172</v>
      </c>
      <c r="J20" s="350">
        <f t="shared" si="4"/>
        <v>1.0534405327276011</v>
      </c>
      <c r="K20" s="350">
        <f t="shared" si="4"/>
        <v>0.98285669859742586</v>
      </c>
      <c r="L20" s="350">
        <f t="shared" si="4"/>
        <v>0.90958872760816789</v>
      </c>
      <c r="M20" s="350">
        <f t="shared" si="4"/>
        <v>0.84653785514110391</v>
      </c>
      <c r="N20" s="350">
        <f t="shared" si="4"/>
        <v>0.78521168944918085</v>
      </c>
      <c r="O20" s="350">
        <f t="shared" si="4"/>
        <v>0.73123068145002112</v>
      </c>
      <c r="P20" s="369">
        <f t="shared" si="4"/>
        <v>0.97804937379445533</v>
      </c>
      <c r="Q20" s="350">
        <f t="shared" si="4"/>
        <v>0.69287422626517148</v>
      </c>
      <c r="R20" s="350">
        <f t="shared" si="4"/>
        <v>0.67469725465812769</v>
      </c>
      <c r="S20" s="350">
        <f t="shared" si="4"/>
        <v>0.64642965215157766</v>
      </c>
      <c r="T20" s="350">
        <f t="shared" si="4"/>
        <v>0.60545223824318251</v>
      </c>
      <c r="U20" s="350">
        <f t="shared" si="4"/>
        <v>0.57337220746890905</v>
      </c>
      <c r="V20" s="350">
        <f t="shared" si="4"/>
        <v>0.60301116737039973</v>
      </c>
      <c r="W20" s="350">
        <f t="shared" si="4"/>
        <v>0.55207069445782753</v>
      </c>
      <c r="X20" s="350">
        <f t="shared" si="4"/>
        <v>0.56880435436479271</v>
      </c>
      <c r="Y20" s="350">
        <f t="shared" si="4"/>
        <v>0.56436917357292637</v>
      </c>
      <c r="Z20" s="350">
        <f t="shared" si="4"/>
        <v>0.53315514827965871</v>
      </c>
      <c r="AA20" s="350">
        <f t="shared" si="4"/>
        <v>0.49853511068476625</v>
      </c>
      <c r="AB20" s="350">
        <f t="shared" si="4"/>
        <v>0.46814897389119409</v>
      </c>
      <c r="AC20" s="369">
        <f t="shared" si="4"/>
        <v>0.56539873434699439</v>
      </c>
      <c r="AD20" s="347"/>
      <c r="AE20" s="347"/>
      <c r="AF20" s="347"/>
      <c r="AG20" s="347"/>
      <c r="AH20" s="347"/>
      <c r="AI20" s="347"/>
      <c r="AJ20" s="347"/>
      <c r="AK20" s="347"/>
      <c r="AL20" s="347"/>
      <c r="AM20" s="347"/>
      <c r="AN20" s="347"/>
      <c r="AO20" s="347"/>
      <c r="AP20" s="347"/>
      <c r="AQ20" s="347"/>
      <c r="AR20" s="347"/>
      <c r="AS20" s="347"/>
    </row>
    <row r="21" spans="1:45" s="351" customFormat="1" ht="11" customHeight="1">
      <c r="A21" s="347"/>
      <c r="B21" s="348"/>
      <c r="C21" s="349"/>
      <c r="D21" s="352"/>
      <c r="E21" s="352"/>
      <c r="F21" s="352"/>
      <c r="G21" s="352"/>
      <c r="H21" s="352"/>
      <c r="I21" s="352"/>
      <c r="J21" s="352"/>
      <c r="K21" s="352"/>
      <c r="L21" s="352"/>
      <c r="M21" s="352"/>
      <c r="N21" s="352"/>
      <c r="O21" s="352"/>
      <c r="P21" s="370"/>
      <c r="Q21" s="352"/>
      <c r="R21" s="352"/>
      <c r="S21" s="352"/>
      <c r="T21" s="352"/>
      <c r="U21" s="352"/>
      <c r="V21" s="352"/>
      <c r="W21" s="352"/>
      <c r="X21" s="352"/>
      <c r="Y21" s="352"/>
      <c r="Z21" s="352"/>
      <c r="AA21" s="352"/>
      <c r="AB21" s="352"/>
      <c r="AC21" s="370"/>
      <c r="AD21" s="347"/>
      <c r="AE21" s="347"/>
      <c r="AF21" s="347"/>
      <c r="AG21" s="347"/>
      <c r="AH21" s="347"/>
      <c r="AI21" s="347"/>
      <c r="AJ21" s="347"/>
      <c r="AK21" s="347"/>
      <c r="AL21" s="347"/>
      <c r="AM21" s="347"/>
      <c r="AN21" s="347"/>
      <c r="AO21" s="347"/>
      <c r="AP21" s="347"/>
      <c r="AQ21" s="347"/>
      <c r="AR21" s="347"/>
      <c r="AS21" s="347"/>
    </row>
    <row r="22" spans="1:45" s="351" customFormat="1" ht="16" customHeight="1">
      <c r="A22" s="347"/>
      <c r="B22" s="354" t="s">
        <v>41</v>
      </c>
      <c r="C22" s="349"/>
      <c r="D22" s="459">
        <f>Costs!J176</f>
        <v>244677.5</v>
      </c>
      <c r="E22" s="459">
        <f>Costs!K176</f>
        <v>110783.3875</v>
      </c>
      <c r="F22" s="459">
        <f>Costs!L176</f>
        <v>111932.71293750001</v>
      </c>
      <c r="G22" s="459">
        <f>Costs!M176</f>
        <v>98141.331176562497</v>
      </c>
      <c r="H22" s="459">
        <f>Costs!N176</f>
        <v>99410.105557726565</v>
      </c>
      <c r="I22" s="459">
        <f>Costs!O176</f>
        <v>160992.4710964777</v>
      </c>
      <c r="J22" s="459">
        <f>Costs!P176</f>
        <v>140316.16325080622</v>
      </c>
      <c r="K22" s="459">
        <f>Costs!Q176</f>
        <v>179036.12758713291</v>
      </c>
      <c r="L22" s="459">
        <f>Costs!R176</f>
        <v>136082.95138820657</v>
      </c>
      <c r="M22" s="459">
        <f>Costs!S176</f>
        <v>172660.35251464145</v>
      </c>
      <c r="N22" s="459">
        <f>Costs!T176</f>
        <v>168924.73983845901</v>
      </c>
      <c r="O22" s="459">
        <f>Costs!U176</f>
        <v>227466.97155788075</v>
      </c>
      <c r="P22" s="458">
        <f>SUM(D22:O22)</f>
        <v>1850424.8144053936</v>
      </c>
      <c r="Q22" s="459">
        <f>Costs!W176</f>
        <v>189722.97231265754</v>
      </c>
      <c r="R22" s="459">
        <f>Costs!X176</f>
        <v>237372.03877078553</v>
      </c>
      <c r="S22" s="459">
        <f>Costs!Y176</f>
        <v>195132.81377389038</v>
      </c>
      <c r="T22" s="459">
        <f>Costs!Z176</f>
        <v>228023.04374534771</v>
      </c>
      <c r="U22" s="459">
        <f>Costs!AA176</f>
        <v>305686.44481130282</v>
      </c>
      <c r="V22" s="459">
        <f>Costs!AB176</f>
        <v>260129.68571647056</v>
      </c>
      <c r="W22" s="459">
        <f>Costs!AC176</f>
        <v>278713.558875271</v>
      </c>
      <c r="X22" s="459">
        <f>Costs!AD176</f>
        <v>282720.27457531373</v>
      </c>
      <c r="Y22" s="459">
        <f>Costs!AE176</f>
        <v>271918.85590784892</v>
      </c>
      <c r="Z22" s="459">
        <f>Costs!AF176</f>
        <v>276320.35330579442</v>
      </c>
      <c r="AA22" s="459">
        <f>Costs!AG176</f>
        <v>277202.64068156568</v>
      </c>
      <c r="AB22" s="459">
        <f>Costs!AH176</f>
        <v>218538.48220552725</v>
      </c>
      <c r="AC22" s="458">
        <f>SUM(Q22:AB22)</f>
        <v>3021481.1646817755</v>
      </c>
      <c r="AD22" s="347"/>
      <c r="AE22" s="347"/>
      <c r="AF22" s="347"/>
      <c r="AG22" s="347"/>
      <c r="AH22" s="347"/>
      <c r="AI22" s="347"/>
      <c r="AJ22" s="347"/>
      <c r="AK22" s="347"/>
      <c r="AL22" s="347"/>
      <c r="AM22" s="347"/>
      <c r="AN22" s="347"/>
      <c r="AO22" s="347"/>
      <c r="AP22" s="347"/>
      <c r="AQ22" s="347"/>
      <c r="AR22" s="347"/>
      <c r="AS22" s="347"/>
    </row>
    <row r="23" spans="1:45" s="351" customFormat="1" ht="16" customHeight="1">
      <c r="A23" s="347"/>
      <c r="B23" s="357" t="s">
        <v>196</v>
      </c>
      <c r="C23" s="349"/>
      <c r="D23" s="350">
        <f t="shared" ref="D23:AC23" si="5">D22/D$6</f>
        <v>1.3703584430131617</v>
      </c>
      <c r="E23" s="350">
        <f t="shared" si="5"/>
        <v>0.55207370142935275</v>
      </c>
      <c r="F23" s="350">
        <f t="shared" si="5"/>
        <v>0.5004720838453518</v>
      </c>
      <c r="G23" s="350">
        <f t="shared" si="5"/>
        <v>0.3960080227788248</v>
      </c>
      <c r="H23" s="350">
        <f t="shared" si="5"/>
        <v>0.36387019535693577</v>
      </c>
      <c r="I23" s="350">
        <f t="shared" si="5"/>
        <v>0.52810489217093015</v>
      </c>
      <c r="J23" s="350">
        <f t="shared" si="5"/>
        <v>0.41596942103622442</v>
      </c>
      <c r="K23" s="350">
        <f t="shared" si="5"/>
        <v>0.48163913313249479</v>
      </c>
      <c r="L23" s="350">
        <f t="shared" si="5"/>
        <v>0.32977093007156782</v>
      </c>
      <c r="M23" s="350">
        <f t="shared" si="5"/>
        <v>0.37930069932697935</v>
      </c>
      <c r="N23" s="350">
        <f t="shared" si="5"/>
        <v>0.33550444001092639</v>
      </c>
      <c r="O23" s="350">
        <f t="shared" si="5"/>
        <v>0.41033879022978098</v>
      </c>
      <c r="P23" s="369">
        <f t="shared" si="5"/>
        <v>0.45537750823614631</v>
      </c>
      <c r="Q23" s="350">
        <f t="shared" si="5"/>
        <v>0.31649008702506592</v>
      </c>
      <c r="R23" s="350">
        <f t="shared" si="5"/>
        <v>0.36382158766754119</v>
      </c>
      <c r="S23" s="350">
        <f t="shared" si="5"/>
        <v>0.27574518948784466</v>
      </c>
      <c r="T23" s="350">
        <f t="shared" si="5"/>
        <v>0.29788987421867275</v>
      </c>
      <c r="U23" s="350">
        <f t="shared" si="5"/>
        <v>0.37020194667816991</v>
      </c>
      <c r="V23" s="350">
        <f t="shared" si="5"/>
        <v>0.2907796931162927</v>
      </c>
      <c r="W23" s="350">
        <f t="shared" si="5"/>
        <v>0.28844238073499567</v>
      </c>
      <c r="X23" s="350">
        <f t="shared" si="5"/>
        <v>0.27018233072185527</v>
      </c>
      <c r="Y23" s="350">
        <f t="shared" si="5"/>
        <v>0.24055587426539435</v>
      </c>
      <c r="Z23" s="350">
        <f t="shared" si="5"/>
        <v>0.22678820649544104</v>
      </c>
      <c r="AA23" s="350">
        <f t="shared" si="5"/>
        <v>0.2107920212847679</v>
      </c>
      <c r="AB23" s="350">
        <f t="shared" si="5"/>
        <v>0.15370878335375085</v>
      </c>
      <c r="AC23" s="369">
        <f t="shared" si="5"/>
        <v>0.26174460893467016</v>
      </c>
      <c r="AD23" s="347"/>
      <c r="AE23" s="347"/>
      <c r="AF23" s="347"/>
      <c r="AG23" s="347"/>
      <c r="AH23" s="347"/>
      <c r="AI23" s="347"/>
      <c r="AJ23" s="347"/>
      <c r="AK23" s="347"/>
      <c r="AL23" s="347"/>
      <c r="AM23" s="347"/>
      <c r="AN23" s="347"/>
      <c r="AO23" s="347"/>
      <c r="AP23" s="347"/>
      <c r="AQ23" s="347"/>
      <c r="AR23" s="347"/>
      <c r="AS23" s="347"/>
    </row>
    <row r="24" spans="1:45" s="351" customFormat="1" ht="11" customHeight="1">
      <c r="A24" s="347"/>
      <c r="B24" s="357"/>
      <c r="C24" s="349"/>
      <c r="D24" s="352"/>
      <c r="E24" s="352"/>
      <c r="F24" s="352"/>
      <c r="G24" s="352"/>
      <c r="H24" s="352"/>
      <c r="I24" s="352"/>
      <c r="J24" s="352"/>
      <c r="K24" s="352"/>
      <c r="L24" s="352"/>
      <c r="M24" s="352"/>
      <c r="N24" s="352"/>
      <c r="O24" s="352"/>
      <c r="P24" s="370"/>
      <c r="Q24" s="352"/>
      <c r="R24" s="352"/>
      <c r="S24" s="352"/>
      <c r="T24" s="352"/>
      <c r="U24" s="352"/>
      <c r="V24" s="352"/>
      <c r="W24" s="352"/>
      <c r="X24" s="352"/>
      <c r="Y24" s="352"/>
      <c r="Z24" s="352"/>
      <c r="AA24" s="352"/>
      <c r="AB24" s="352"/>
      <c r="AC24" s="370"/>
      <c r="AD24" s="347"/>
      <c r="AE24" s="347"/>
      <c r="AF24" s="347"/>
      <c r="AG24" s="347"/>
      <c r="AH24" s="347"/>
      <c r="AI24" s="347"/>
      <c r="AJ24" s="347"/>
      <c r="AK24" s="347"/>
      <c r="AL24" s="347"/>
      <c r="AM24" s="347"/>
      <c r="AN24" s="347"/>
      <c r="AO24" s="347"/>
      <c r="AP24" s="347"/>
      <c r="AQ24" s="347"/>
      <c r="AR24" s="347"/>
      <c r="AS24" s="347"/>
    </row>
    <row r="25" spans="1:45" s="361" customFormat="1" ht="16" customHeight="1">
      <c r="A25" s="358"/>
      <c r="B25" s="359" t="s">
        <v>200</v>
      </c>
      <c r="C25" s="360"/>
      <c r="D25" s="460">
        <f>D16+D19+D22</f>
        <v>419827.5</v>
      </c>
      <c r="E25" s="460">
        <f t="shared" ref="E25:O25" si="6">E16+E19+E22</f>
        <v>468083.38750000001</v>
      </c>
      <c r="F25" s="460">
        <f t="shared" si="6"/>
        <v>481182.71293749998</v>
      </c>
      <c r="G25" s="460">
        <f t="shared" si="6"/>
        <v>478541.33117656247</v>
      </c>
      <c r="H25" s="460">
        <f t="shared" si="6"/>
        <v>520410.10555772658</v>
      </c>
      <c r="I25" s="460">
        <f t="shared" si="6"/>
        <v>596442.4710964777</v>
      </c>
      <c r="J25" s="460">
        <f t="shared" si="6"/>
        <v>630216.16325080628</v>
      </c>
      <c r="K25" s="460">
        <f t="shared" si="6"/>
        <v>680086.12758713285</v>
      </c>
      <c r="L25" s="460">
        <f t="shared" si="6"/>
        <v>667632.95138820657</v>
      </c>
      <c r="M25" s="460">
        <f t="shared" si="6"/>
        <v>706210.35251464148</v>
      </c>
      <c r="N25" s="460">
        <f t="shared" si="6"/>
        <v>723824.73983845906</v>
      </c>
      <c r="O25" s="460">
        <f t="shared" si="6"/>
        <v>799716.97155788075</v>
      </c>
      <c r="P25" s="461">
        <f>SUM(D25:O25)</f>
        <v>7172174.8144053938</v>
      </c>
      <c r="Q25" s="460">
        <f>Q16+Q19+Q22</f>
        <v>814022.97231265751</v>
      </c>
      <c r="R25" s="460">
        <f t="shared" ref="R25:AB25" si="7">R16+R19+R22</f>
        <v>874522.03877078556</v>
      </c>
      <c r="S25" s="460">
        <f t="shared" si="7"/>
        <v>860882.81377389038</v>
      </c>
      <c r="T25" s="460">
        <f t="shared" si="7"/>
        <v>908923.04374534776</v>
      </c>
      <c r="U25" s="460">
        <f t="shared" si="7"/>
        <v>1003936.4448113028</v>
      </c>
      <c r="V25" s="460">
        <f t="shared" si="7"/>
        <v>1043679.6857164706</v>
      </c>
      <c r="W25" s="460">
        <f t="shared" si="7"/>
        <v>1062613.5588752711</v>
      </c>
      <c r="X25" s="460">
        <f t="shared" si="7"/>
        <v>1124370.2745753138</v>
      </c>
      <c r="Y25" s="460">
        <f t="shared" si="7"/>
        <v>1156318.855907849</v>
      </c>
      <c r="Z25" s="460">
        <f t="shared" si="7"/>
        <v>1172370.3533057943</v>
      </c>
      <c r="AA25" s="460">
        <f t="shared" si="7"/>
        <v>1192402.6406815657</v>
      </c>
      <c r="AB25" s="460">
        <f t="shared" si="7"/>
        <v>1139738.4822055274</v>
      </c>
      <c r="AC25" s="461">
        <f>SUM(Q25:AB25)</f>
        <v>12353781.164681775</v>
      </c>
      <c r="AD25" s="358"/>
      <c r="AE25" s="358"/>
      <c r="AF25" s="358"/>
      <c r="AG25" s="358"/>
      <c r="AH25" s="358"/>
      <c r="AI25" s="358"/>
      <c r="AJ25" s="358"/>
      <c r="AK25" s="358"/>
      <c r="AL25" s="358"/>
      <c r="AM25" s="358"/>
      <c r="AN25" s="358"/>
      <c r="AO25" s="358"/>
      <c r="AP25" s="358"/>
      <c r="AQ25" s="358"/>
      <c r="AR25" s="358"/>
      <c r="AS25" s="358"/>
    </row>
    <row r="26" spans="1:45" s="351" customFormat="1" ht="16" customHeight="1">
      <c r="A26" s="347"/>
      <c r="B26" s="357" t="s">
        <v>196</v>
      </c>
      <c r="C26" s="349"/>
      <c r="D26" s="350">
        <f t="shared" ref="D26:O26" si="8">D25/D$6</f>
        <v>2.3513161579389528</v>
      </c>
      <c r="E26" s="350">
        <f t="shared" si="8"/>
        <v>2.3326288728507696</v>
      </c>
      <c r="F26" s="350">
        <f t="shared" si="8"/>
        <v>2.1514578601222363</v>
      </c>
      <c r="G26" s="350">
        <f t="shared" si="8"/>
        <v>1.9309520678524685</v>
      </c>
      <c r="H26" s="350">
        <f t="shared" si="8"/>
        <v>1.9048538950102298</v>
      </c>
      <c r="I26" s="350">
        <f t="shared" si="8"/>
        <v>1.95651501426926</v>
      </c>
      <c r="J26" s="350">
        <f t="shared" si="8"/>
        <v>1.8682854952820436</v>
      </c>
      <c r="K26" s="350">
        <f t="shared" si="8"/>
        <v>1.8295530480968856</v>
      </c>
      <c r="L26" s="350">
        <f t="shared" si="8"/>
        <v>1.617880396330051</v>
      </c>
      <c r="M26" s="350">
        <f t="shared" si="8"/>
        <v>1.5514046894931557</v>
      </c>
      <c r="N26" s="350">
        <f t="shared" si="8"/>
        <v>1.4376012313991913</v>
      </c>
      <c r="O26" s="350">
        <f t="shared" si="8"/>
        <v>1.4426485409631584</v>
      </c>
      <c r="P26" s="369">
        <f t="shared" ref="P26" si="9">P25/P$6</f>
        <v>1.7650255607210223</v>
      </c>
      <c r="Q26" s="350">
        <f t="shared" ref="Q26:AC26" si="10">Q25/Q$6</f>
        <v>1.357928342610347</v>
      </c>
      <c r="R26" s="350">
        <f t="shared" si="10"/>
        <v>1.3403853218915895</v>
      </c>
      <c r="S26" s="350">
        <f t="shared" si="10"/>
        <v>1.2165267851155916</v>
      </c>
      <c r="T26" s="350">
        <f t="shared" si="10"/>
        <v>1.1874193359077072</v>
      </c>
      <c r="U26" s="350">
        <f t="shared" si="10"/>
        <v>1.2158184718976561</v>
      </c>
      <c r="V26" s="350">
        <f t="shared" si="10"/>
        <v>1.1666521561676908</v>
      </c>
      <c r="W26" s="350">
        <f t="shared" si="10"/>
        <v>1.0997053245638289</v>
      </c>
      <c r="X26" s="350">
        <f t="shared" si="10"/>
        <v>1.07450723806582</v>
      </c>
      <c r="Y26" s="350">
        <f t="shared" si="10"/>
        <v>1.0229496309985178</v>
      </c>
      <c r="Z26" s="350">
        <f t="shared" si="10"/>
        <v>0.96221565510379714</v>
      </c>
      <c r="AA26" s="350">
        <f t="shared" si="10"/>
        <v>0.90673365230779734</v>
      </c>
      <c r="AB26" s="350">
        <f t="shared" si="10"/>
        <v>0.80163371536782546</v>
      </c>
      <c r="AC26" s="369">
        <f t="shared" si="10"/>
        <v>1.0701822859632764</v>
      </c>
      <c r="AD26" s="347"/>
      <c r="AE26" s="347"/>
      <c r="AF26" s="347"/>
      <c r="AG26" s="347"/>
      <c r="AH26" s="347"/>
      <c r="AI26" s="347"/>
      <c r="AJ26" s="347"/>
      <c r="AK26" s="347"/>
      <c r="AL26" s="347"/>
      <c r="AM26" s="347"/>
      <c r="AN26" s="347"/>
      <c r="AO26" s="347"/>
      <c r="AP26" s="347"/>
      <c r="AQ26" s="347"/>
      <c r="AR26" s="347"/>
      <c r="AS26" s="347"/>
    </row>
    <row r="27" spans="1:45" ht="11" customHeight="1">
      <c r="B27" s="340"/>
      <c r="C27" s="341"/>
      <c r="D27" s="342"/>
      <c r="E27" s="342"/>
      <c r="F27" s="342"/>
      <c r="G27" s="342"/>
      <c r="H27" s="342"/>
      <c r="I27" s="342"/>
      <c r="J27" s="342"/>
      <c r="K27" s="342"/>
      <c r="L27" s="342"/>
      <c r="M27" s="342"/>
      <c r="N27" s="342"/>
      <c r="O27" s="342"/>
      <c r="P27" s="367"/>
      <c r="Q27" s="342"/>
      <c r="R27" s="342"/>
      <c r="S27" s="342"/>
      <c r="T27" s="342"/>
      <c r="U27" s="342"/>
      <c r="V27" s="342"/>
      <c r="W27" s="342"/>
      <c r="X27" s="342"/>
      <c r="Y27" s="342"/>
      <c r="Z27" s="342"/>
      <c r="AA27" s="342"/>
      <c r="AB27" s="342"/>
      <c r="AC27" s="367"/>
    </row>
    <row r="28" spans="1:45" ht="16" customHeight="1" thickBot="1">
      <c r="B28" s="362" t="s">
        <v>194</v>
      </c>
      <c r="C28" s="363"/>
      <c r="D28" s="462">
        <f>D11-D25</f>
        <v>-280169.25</v>
      </c>
      <c r="E28" s="462">
        <f t="shared" ref="E28:O28" si="11">E11-E25</f>
        <v>-318397.39624999999</v>
      </c>
      <c r="F28" s="462">
        <f t="shared" si="11"/>
        <v>-306224.06618124997</v>
      </c>
      <c r="G28" s="462">
        <f t="shared" si="11"/>
        <v>-301524.97064546868</v>
      </c>
      <c r="H28" s="462">
        <f t="shared" si="11"/>
        <v>-311935.17385133047</v>
      </c>
      <c r="I28" s="462">
        <f t="shared" si="11"/>
        <v>-369145.25003093545</v>
      </c>
      <c r="J28" s="462">
        <f t="shared" si="11"/>
        <v>-378440.37576105236</v>
      </c>
      <c r="K28" s="462">
        <f t="shared" si="11"/>
        <v>-402069.99274260044</v>
      </c>
      <c r="L28" s="462">
        <f t="shared" si="11"/>
        <v>-394119.94098402624</v>
      </c>
      <c r="M28" s="462">
        <f t="shared" si="11"/>
        <v>-390925.90149670304</v>
      </c>
      <c r="N28" s="462">
        <f t="shared" si="11"/>
        <v>-367477.00079465914</v>
      </c>
      <c r="O28" s="462">
        <f t="shared" si="11"/>
        <v>-401946.39204866288</v>
      </c>
      <c r="P28" s="463">
        <f>SUM(D28:O28)</f>
        <v>-4222375.7107866881</v>
      </c>
      <c r="Q28" s="462">
        <f>Q11-Q25</f>
        <v>-403547.57899102452</v>
      </c>
      <c r="R28" s="462">
        <f t="shared" ref="R28:AB28" si="12">R11-R25</f>
        <v>-414596.22926541034</v>
      </c>
      <c r="S28" s="462">
        <f t="shared" si="12"/>
        <v>-378272.32171169674</v>
      </c>
      <c r="T28" s="462">
        <f t="shared" si="12"/>
        <v>-370558.84320548503</v>
      </c>
      <c r="U28" s="462">
        <f t="shared" si="12"/>
        <v>-425114.50476446073</v>
      </c>
      <c r="V28" s="462">
        <f t="shared" si="12"/>
        <v>-414341.43710505951</v>
      </c>
      <c r="W28" s="462">
        <f t="shared" si="12"/>
        <v>-400995.43145781173</v>
      </c>
      <c r="X28" s="462">
        <f t="shared" si="12"/>
        <v>-403609.24984707276</v>
      </c>
      <c r="Y28" s="462">
        <f t="shared" si="12"/>
        <v>-375703.79279421386</v>
      </c>
      <c r="Z28" s="462">
        <f t="shared" si="12"/>
        <v>-340437.88780975714</v>
      </c>
      <c r="AA28" s="462">
        <f t="shared" si="12"/>
        <v>-283061.81620891416</v>
      </c>
      <c r="AB28" s="462">
        <f t="shared" si="12"/>
        <v>-162739.25784437847</v>
      </c>
      <c r="AC28" s="463">
        <f>SUM(Q28:AB28)</f>
        <v>-4372978.351005285</v>
      </c>
    </row>
    <row r="29" spans="1:45" s="331" customFormat="1" ht="16" customHeight="1">
      <c r="D29" s="464"/>
      <c r="E29" s="464"/>
      <c r="F29" s="464"/>
      <c r="G29" s="464"/>
      <c r="H29" s="464"/>
      <c r="I29" s="464"/>
      <c r="J29" s="464"/>
      <c r="K29" s="464"/>
      <c r="L29" s="464"/>
      <c r="M29" s="464"/>
      <c r="N29" s="464"/>
      <c r="O29" s="464"/>
      <c r="P29" s="464"/>
      <c r="Q29" s="464"/>
      <c r="R29" s="464"/>
      <c r="S29" s="464"/>
      <c r="T29" s="464"/>
      <c r="U29" s="464"/>
      <c r="V29" s="464"/>
      <c r="W29" s="464"/>
      <c r="X29" s="464"/>
      <c r="Y29" s="464"/>
      <c r="Z29" s="464"/>
      <c r="AA29" s="464"/>
      <c r="AB29" s="464"/>
      <c r="AC29" s="464"/>
    </row>
    <row r="30" spans="1:45" ht="16" customHeight="1">
      <c r="B30" s="336" t="s">
        <v>278</v>
      </c>
      <c r="C30" s="337"/>
      <c r="D30" s="465"/>
      <c r="E30" s="465"/>
      <c r="F30" s="465"/>
      <c r="G30" s="465"/>
      <c r="H30" s="465"/>
      <c r="I30" s="465"/>
      <c r="J30" s="465"/>
      <c r="K30" s="465"/>
      <c r="L30" s="465"/>
      <c r="M30" s="465"/>
      <c r="N30" s="465"/>
      <c r="O30" s="466"/>
      <c r="P30" s="466"/>
      <c r="Q30" s="465"/>
      <c r="R30" s="465"/>
      <c r="S30" s="465"/>
      <c r="T30" s="465"/>
      <c r="U30" s="465"/>
      <c r="V30" s="465"/>
      <c r="W30" s="465"/>
      <c r="X30" s="465"/>
      <c r="Y30" s="465"/>
      <c r="Z30" s="465"/>
      <c r="AA30" s="465"/>
      <c r="AB30" s="465"/>
      <c r="AC30" s="467"/>
    </row>
    <row r="31" spans="1:45" ht="16" customHeight="1">
      <c r="B31" s="340" t="s">
        <v>182</v>
      </c>
      <c r="C31" s="341"/>
      <c r="D31" s="457">
        <f>Revenues!I123</f>
        <v>329550</v>
      </c>
      <c r="E31" s="457">
        <f>Revenues!J123</f>
        <v>395667.75</v>
      </c>
      <c r="F31" s="457">
        <f>Revenues!K123</f>
        <v>402654.25874999998</v>
      </c>
      <c r="G31" s="457">
        <f>Revenues!L123</f>
        <v>410826.62353124999</v>
      </c>
      <c r="H31" s="457">
        <f>Revenues!M123</f>
        <v>420202.11115453125</v>
      </c>
      <c r="I31" s="457">
        <f>Revenues!N123</f>
        <v>490849.42192955432</v>
      </c>
      <c r="J31" s="457">
        <f>Revenues!O123</f>
        <v>502323.26501612447</v>
      </c>
      <c r="K31" s="457">
        <f>Revenues!P123</f>
        <v>515722.55174265831</v>
      </c>
      <c r="L31" s="457">
        <f>Revenues!Q123</f>
        <v>590659.02776413143</v>
      </c>
      <c r="M31" s="457">
        <f>Revenues!R123</f>
        <v>607207.05029282882</v>
      </c>
      <c r="N31" s="457">
        <f>Revenues!S123</f>
        <v>493494.79676918022</v>
      </c>
      <c r="O31" s="457">
        <f>Revenues!T123</f>
        <v>514339.43115761509</v>
      </c>
      <c r="P31" s="458">
        <f>SUM(D31:O31)</f>
        <v>5673496.2881078739</v>
      </c>
      <c r="Q31" s="457">
        <f>Revenues!V123</f>
        <v>741459.44625315082</v>
      </c>
      <c r="R31" s="457">
        <f>Revenues!W123</f>
        <v>892940.77541571064</v>
      </c>
      <c r="S31" s="457">
        <f>Revenues!X123</f>
        <v>920656.27547780727</v>
      </c>
      <c r="T31" s="457">
        <f>Revenues!Y123</f>
        <v>950960.87490695389</v>
      </c>
      <c r="U31" s="457">
        <f>Revenues!Z123</f>
        <v>983728.89622605708</v>
      </c>
      <c r="V31" s="457">
        <f>Revenues!AA123</f>
        <v>1145593.7143294113</v>
      </c>
      <c r="W31" s="457">
        <f>Revenues!AB123</f>
        <v>1184271.1775054203</v>
      </c>
      <c r="X31" s="457">
        <f>Revenues!AC123</f>
        <v>1286405.4915062743</v>
      </c>
      <c r="Y31" s="457">
        <f>Revenues!AD123</f>
        <v>1392377.1181569779</v>
      </c>
      <c r="Z31" s="457">
        <f>Revenues!AE123</f>
        <v>1442407.0661158874</v>
      </c>
      <c r="AA31" s="457">
        <f>Revenues!AF123</f>
        <v>1430552.8136313129</v>
      </c>
      <c r="AB31" s="457">
        <f>Revenues!AG123</f>
        <v>1549769.6441105451</v>
      </c>
      <c r="AC31" s="458">
        <f>SUM(Q31:AB31)</f>
        <v>13921123.29363551</v>
      </c>
    </row>
    <row r="32" spans="1:45" ht="16" customHeight="1">
      <c r="B32" s="364" t="s">
        <v>183</v>
      </c>
      <c r="C32" s="355"/>
      <c r="D32" s="459">
        <f>Costs!J136</f>
        <v>400619.25</v>
      </c>
      <c r="E32" s="459">
        <f>Costs!K136</f>
        <v>405765.14624999999</v>
      </c>
      <c r="F32" s="459">
        <f>Costs!L136</f>
        <v>644878.32493124995</v>
      </c>
      <c r="G32" s="459">
        <f>Costs!M136</f>
        <v>424651.59417671873</v>
      </c>
      <c r="H32" s="459">
        <f>Costs!N136</f>
        <v>456337.28500586166</v>
      </c>
      <c r="I32" s="459">
        <f>Costs!O136</f>
        <v>844694.67196048982</v>
      </c>
      <c r="J32" s="459">
        <f>Costs!P136</f>
        <v>574263.64077717683</v>
      </c>
      <c r="K32" s="459">
        <f>Costs!Q136</f>
        <v>630092.54448525887</v>
      </c>
      <c r="L32" s="459">
        <f>Costs!R136</f>
        <v>956878.96874815773</v>
      </c>
      <c r="M32" s="459">
        <f>Costs!S136</f>
        <v>691732.95178953186</v>
      </c>
      <c r="N32" s="459">
        <f>Costs!T136</f>
        <v>713571.79756383935</v>
      </c>
      <c r="O32" s="459">
        <f>Costs!U136</f>
        <v>1542385.823206278</v>
      </c>
      <c r="P32" s="458">
        <f>SUM(D32:O32)</f>
        <v>8285871.9988945629</v>
      </c>
      <c r="Q32" s="459">
        <f>Costs!W136</f>
        <v>835807.02524417534</v>
      </c>
      <c r="R32" s="459">
        <f>Costs!X136</f>
        <v>897437.00468112098</v>
      </c>
      <c r="S32" s="459">
        <f>Costs!Y136</f>
        <v>1212728.597189504</v>
      </c>
      <c r="T32" s="459">
        <f>Costs!Z136</f>
        <v>959119.7181124388</v>
      </c>
      <c r="U32" s="459">
        <f>Costs!AA136</f>
        <v>1069843.4009905178</v>
      </c>
      <c r="V32" s="459">
        <f>Costs!AB136</f>
        <v>1424535.1514344704</v>
      </c>
      <c r="W32" s="459">
        <f>Costs!AC136</f>
        <v>1161466.6089632318</v>
      </c>
      <c r="X32" s="459">
        <f>Costs!AD136</f>
        <v>1223614.741353347</v>
      </c>
      <c r="Y32" s="459">
        <f>Costs!AE136</f>
        <v>1658280.910951192</v>
      </c>
      <c r="Z32" s="459">
        <f>Costs!AF136</f>
        <v>1310344.953925645</v>
      </c>
      <c r="AA32" s="459">
        <f>Costs!AG136</f>
        <v>1345014.6298402273</v>
      </c>
      <c r="AB32" s="459">
        <f>Costs!AH136</f>
        <v>2818408.9019549238</v>
      </c>
      <c r="AC32" s="458">
        <f>SUM(Q32:AB32)</f>
        <v>15916601.644640792</v>
      </c>
    </row>
    <row r="33" spans="2:29" ht="16" customHeight="1" thickBot="1">
      <c r="B33" s="362" t="s">
        <v>201</v>
      </c>
      <c r="C33" s="363"/>
      <c r="D33" s="462">
        <f>D31-D32</f>
        <v>-71069.25</v>
      </c>
      <c r="E33" s="462">
        <f t="shared" ref="E33:O33" si="13">E31-E32</f>
        <v>-10097.396249999991</v>
      </c>
      <c r="F33" s="462">
        <f t="shared" si="13"/>
        <v>-242224.06618124997</v>
      </c>
      <c r="G33" s="462">
        <f t="shared" si="13"/>
        <v>-13824.97064546874</v>
      </c>
      <c r="H33" s="462">
        <f t="shared" si="13"/>
        <v>-36135.173851330415</v>
      </c>
      <c r="I33" s="462">
        <f t="shared" si="13"/>
        <v>-353845.25003093551</v>
      </c>
      <c r="J33" s="462">
        <f t="shared" si="13"/>
        <v>-71940.375761052361</v>
      </c>
      <c r="K33" s="462">
        <f t="shared" si="13"/>
        <v>-114369.99274260056</v>
      </c>
      <c r="L33" s="462">
        <f t="shared" si="13"/>
        <v>-366219.9409840263</v>
      </c>
      <c r="M33" s="462">
        <f t="shared" si="13"/>
        <v>-84525.901496703038</v>
      </c>
      <c r="N33" s="462">
        <f t="shared" si="13"/>
        <v>-220077.00079465914</v>
      </c>
      <c r="O33" s="462">
        <f t="shared" si="13"/>
        <v>-1028046.392048663</v>
      </c>
      <c r="P33" s="463">
        <f>SUM(D33:O33)</f>
        <v>-2612375.7107866891</v>
      </c>
      <c r="Q33" s="462">
        <f>Q31-Q32</f>
        <v>-94347.578991024522</v>
      </c>
      <c r="R33" s="462">
        <f t="shared" ref="R33" si="14">R31-R32</f>
        <v>-4496.2292654103367</v>
      </c>
      <c r="S33" s="462">
        <f t="shared" ref="S33" si="15">S31-S32</f>
        <v>-292072.32171169668</v>
      </c>
      <c r="T33" s="462">
        <f t="shared" ref="T33" si="16">T31-T32</f>
        <v>-8158.8432054849109</v>
      </c>
      <c r="U33" s="462">
        <f t="shared" ref="U33" si="17">U31-U32</f>
        <v>-86114.504764460726</v>
      </c>
      <c r="V33" s="462">
        <f t="shared" ref="V33" si="18">V31-V32</f>
        <v>-278941.43710505916</v>
      </c>
      <c r="W33" s="462">
        <f t="shared" ref="W33" si="19">W31-W32</f>
        <v>22804.568542188499</v>
      </c>
      <c r="X33" s="462">
        <f t="shared" ref="X33" si="20">X31-X32</f>
        <v>62790.750152927358</v>
      </c>
      <c r="Y33" s="462">
        <f t="shared" ref="Y33" si="21">Y31-Y32</f>
        <v>-265903.7927942141</v>
      </c>
      <c r="Z33" s="462">
        <f t="shared" ref="Z33" si="22">Z31-Z32</f>
        <v>132062.11219024239</v>
      </c>
      <c r="AA33" s="462">
        <f t="shared" ref="AA33" si="23">AA31-AA32</f>
        <v>85538.183791085612</v>
      </c>
      <c r="AB33" s="462">
        <f t="shared" ref="AB33" si="24">AB31-AB32</f>
        <v>-1268639.2578443787</v>
      </c>
      <c r="AC33" s="463">
        <f>SUM(Q33:AB33)</f>
        <v>-1995478.3510052853</v>
      </c>
    </row>
    <row r="34" spans="2:29" s="331" customFormat="1" ht="16" customHeight="1">
      <c r="D34" s="464"/>
      <c r="E34" s="464"/>
      <c r="F34" s="464"/>
      <c r="G34" s="464"/>
      <c r="H34" s="464"/>
      <c r="I34" s="464"/>
      <c r="J34" s="464"/>
      <c r="K34" s="464"/>
      <c r="L34" s="464"/>
      <c r="M34" s="464"/>
      <c r="N34" s="464"/>
      <c r="O34" s="464"/>
      <c r="P34" s="464"/>
      <c r="Q34" s="464"/>
      <c r="R34" s="464"/>
      <c r="S34" s="464"/>
      <c r="T34" s="464"/>
      <c r="U34" s="464"/>
      <c r="V34" s="464"/>
      <c r="W34" s="464"/>
      <c r="X34" s="464"/>
      <c r="Y34" s="464"/>
      <c r="Z34" s="464"/>
      <c r="AA34" s="464"/>
      <c r="AB34" s="464"/>
      <c r="AC34" s="464"/>
    </row>
    <row r="35" spans="2:29" s="331" customFormat="1" ht="16" customHeight="1">
      <c r="B35" s="336" t="s">
        <v>279</v>
      </c>
      <c r="C35" s="337"/>
      <c r="D35" s="465"/>
      <c r="E35" s="465"/>
      <c r="F35" s="465"/>
      <c r="G35" s="465"/>
      <c r="H35" s="465"/>
      <c r="I35" s="465"/>
      <c r="J35" s="465"/>
      <c r="K35" s="465"/>
      <c r="L35" s="465"/>
      <c r="M35" s="465"/>
      <c r="N35" s="465"/>
      <c r="O35" s="466"/>
      <c r="P35" s="466"/>
      <c r="Q35" s="465"/>
      <c r="R35" s="465"/>
      <c r="S35" s="465"/>
      <c r="T35" s="465"/>
      <c r="U35" s="465"/>
      <c r="V35" s="465"/>
      <c r="W35" s="465"/>
      <c r="X35" s="465"/>
      <c r="Y35" s="465"/>
      <c r="Z35" s="465"/>
      <c r="AA35" s="465"/>
      <c r="AB35" s="465"/>
      <c r="AC35" s="467"/>
    </row>
    <row r="36" spans="2:29" s="331" customFormat="1" ht="16" customHeight="1">
      <c r="B36" s="340" t="s">
        <v>203</v>
      </c>
      <c r="C36" s="341"/>
      <c r="D36" s="468">
        <v>500000</v>
      </c>
      <c r="E36" s="457">
        <f>D39</f>
        <v>5428930.75</v>
      </c>
      <c r="F36" s="457">
        <f t="shared" ref="F36:O36" si="25">E39</f>
        <v>5418833.3537499998</v>
      </c>
      <c r="G36" s="457">
        <f t="shared" si="25"/>
        <v>5176609.2875687499</v>
      </c>
      <c r="H36" s="457">
        <f t="shared" si="25"/>
        <v>5162784.3169232812</v>
      </c>
      <c r="I36" s="457">
        <f t="shared" si="25"/>
        <v>5126649.1430719504</v>
      </c>
      <c r="J36" s="457">
        <f t="shared" si="25"/>
        <v>4772803.8930410147</v>
      </c>
      <c r="K36" s="457">
        <f t="shared" si="25"/>
        <v>4700863.5172799621</v>
      </c>
      <c r="L36" s="457">
        <f t="shared" si="25"/>
        <v>4586493.5245373612</v>
      </c>
      <c r="M36" s="457">
        <f t="shared" si="25"/>
        <v>4220273.5835533347</v>
      </c>
      <c r="N36" s="457">
        <f t="shared" si="25"/>
        <v>4135747.6820566319</v>
      </c>
      <c r="O36" s="457">
        <f t="shared" si="25"/>
        <v>3915670.6812619725</v>
      </c>
      <c r="P36" s="458"/>
      <c r="Q36" s="457">
        <f>O39</f>
        <v>2887624.2892133095</v>
      </c>
      <c r="R36" s="457">
        <f>Q39</f>
        <v>2793276.7102222852</v>
      </c>
      <c r="S36" s="457">
        <f t="shared" ref="S36:AB36" si="26">R39</f>
        <v>2788780.4809568748</v>
      </c>
      <c r="T36" s="457">
        <f t="shared" si="26"/>
        <v>2496708.1592451781</v>
      </c>
      <c r="U36" s="457">
        <f t="shared" si="26"/>
        <v>2488549.3160396931</v>
      </c>
      <c r="V36" s="457">
        <f t="shared" si="26"/>
        <v>2402434.8112752326</v>
      </c>
      <c r="W36" s="457">
        <f t="shared" si="26"/>
        <v>2123493.3741701734</v>
      </c>
      <c r="X36" s="457">
        <f t="shared" si="26"/>
        <v>2146297.9427123619</v>
      </c>
      <c r="Y36" s="457">
        <f t="shared" si="26"/>
        <v>2209088.6928652893</v>
      </c>
      <c r="Z36" s="457">
        <f t="shared" si="26"/>
        <v>1943184.9000710752</v>
      </c>
      <c r="AA36" s="457">
        <f t="shared" si="26"/>
        <v>2075247.0122613176</v>
      </c>
      <c r="AB36" s="457">
        <f t="shared" si="26"/>
        <v>2160785.1960524032</v>
      </c>
      <c r="AC36" s="458"/>
    </row>
    <row r="37" spans="2:29" s="331" customFormat="1" ht="16" customHeight="1">
      <c r="B37" s="340" t="s">
        <v>204</v>
      </c>
      <c r="C37" s="341"/>
      <c r="D37" s="468">
        <v>5000000</v>
      </c>
      <c r="E37" s="468">
        <v>0</v>
      </c>
      <c r="F37" s="468">
        <v>0</v>
      </c>
      <c r="G37" s="468">
        <v>0</v>
      </c>
      <c r="H37" s="468">
        <v>0</v>
      </c>
      <c r="I37" s="468">
        <v>0</v>
      </c>
      <c r="J37" s="468">
        <v>0</v>
      </c>
      <c r="K37" s="468">
        <v>0</v>
      </c>
      <c r="L37" s="468">
        <v>0</v>
      </c>
      <c r="M37" s="468">
        <v>0</v>
      </c>
      <c r="N37" s="468">
        <v>0</v>
      </c>
      <c r="O37" s="468">
        <v>0</v>
      </c>
      <c r="P37" s="458">
        <f>SUM(D37:O37)</f>
        <v>5000000</v>
      </c>
      <c r="Q37" s="468">
        <v>0</v>
      </c>
      <c r="R37" s="468">
        <v>0</v>
      </c>
      <c r="S37" s="468">
        <v>0</v>
      </c>
      <c r="T37" s="468">
        <v>0</v>
      </c>
      <c r="U37" s="468">
        <v>0</v>
      </c>
      <c r="V37" s="468">
        <v>0</v>
      </c>
      <c r="W37" s="468">
        <v>0</v>
      </c>
      <c r="X37" s="468">
        <v>0</v>
      </c>
      <c r="Y37" s="468">
        <v>0</v>
      </c>
      <c r="Z37" s="468">
        <v>0</v>
      </c>
      <c r="AA37" s="468">
        <v>0</v>
      </c>
      <c r="AB37" s="468">
        <v>0</v>
      </c>
      <c r="AC37" s="458">
        <f>SUM(Q37:AB37)</f>
        <v>0</v>
      </c>
    </row>
    <row r="38" spans="2:29" s="331" customFormat="1" ht="16" customHeight="1">
      <c r="B38" s="364" t="s">
        <v>206</v>
      </c>
      <c r="C38" s="355"/>
      <c r="D38" s="459">
        <f>D33</f>
        <v>-71069.25</v>
      </c>
      <c r="E38" s="459">
        <f t="shared" ref="E38" si="27">E33</f>
        <v>-10097.396249999991</v>
      </c>
      <c r="F38" s="459">
        <f t="shared" ref="F38:O38" si="28">F33</f>
        <v>-242224.06618124997</v>
      </c>
      <c r="G38" s="459">
        <f t="shared" si="28"/>
        <v>-13824.97064546874</v>
      </c>
      <c r="H38" s="459">
        <f t="shared" si="28"/>
        <v>-36135.173851330415</v>
      </c>
      <c r="I38" s="459">
        <f t="shared" si="28"/>
        <v>-353845.25003093551</v>
      </c>
      <c r="J38" s="459">
        <f t="shared" si="28"/>
        <v>-71940.375761052361</v>
      </c>
      <c r="K38" s="459">
        <f t="shared" si="28"/>
        <v>-114369.99274260056</v>
      </c>
      <c r="L38" s="459">
        <f t="shared" si="28"/>
        <v>-366219.9409840263</v>
      </c>
      <c r="M38" s="459">
        <f t="shared" si="28"/>
        <v>-84525.901496703038</v>
      </c>
      <c r="N38" s="459">
        <f t="shared" si="28"/>
        <v>-220077.00079465914</v>
      </c>
      <c r="O38" s="459">
        <f t="shared" si="28"/>
        <v>-1028046.392048663</v>
      </c>
      <c r="P38" s="458">
        <f>SUM(D38:O38)</f>
        <v>-2612375.7107866891</v>
      </c>
      <c r="Q38" s="459">
        <f>Q33</f>
        <v>-94347.578991024522</v>
      </c>
      <c r="R38" s="459">
        <f t="shared" ref="R38:AB38" si="29">R33</f>
        <v>-4496.2292654103367</v>
      </c>
      <c r="S38" s="459">
        <f t="shared" si="29"/>
        <v>-292072.32171169668</v>
      </c>
      <c r="T38" s="459">
        <f t="shared" si="29"/>
        <v>-8158.8432054849109</v>
      </c>
      <c r="U38" s="459">
        <f t="shared" si="29"/>
        <v>-86114.504764460726</v>
      </c>
      <c r="V38" s="459">
        <f t="shared" si="29"/>
        <v>-278941.43710505916</v>
      </c>
      <c r="W38" s="459">
        <f t="shared" si="29"/>
        <v>22804.568542188499</v>
      </c>
      <c r="X38" s="459">
        <f t="shared" si="29"/>
        <v>62790.750152927358</v>
      </c>
      <c r="Y38" s="459">
        <f t="shared" si="29"/>
        <v>-265903.7927942141</v>
      </c>
      <c r="Z38" s="459">
        <f t="shared" si="29"/>
        <v>132062.11219024239</v>
      </c>
      <c r="AA38" s="459">
        <f t="shared" si="29"/>
        <v>85538.183791085612</v>
      </c>
      <c r="AB38" s="459">
        <f t="shared" si="29"/>
        <v>-1268639.2578443787</v>
      </c>
      <c r="AC38" s="458">
        <f>SUM(Q38:AB38)</f>
        <v>-1995478.3510052853</v>
      </c>
    </row>
    <row r="39" spans="2:29" s="331" customFormat="1" ht="16" customHeight="1" thickBot="1">
      <c r="B39" s="362" t="s">
        <v>205</v>
      </c>
      <c r="C39" s="363"/>
      <c r="D39" s="462">
        <f>D36+D37+D38</f>
        <v>5428930.75</v>
      </c>
      <c r="E39" s="462">
        <f t="shared" ref="E39:O39" si="30">E36+E37+E38</f>
        <v>5418833.3537499998</v>
      </c>
      <c r="F39" s="462">
        <f t="shared" si="30"/>
        <v>5176609.2875687499</v>
      </c>
      <c r="G39" s="462">
        <f t="shared" si="30"/>
        <v>5162784.3169232812</v>
      </c>
      <c r="H39" s="462">
        <f t="shared" si="30"/>
        <v>5126649.1430719504</v>
      </c>
      <c r="I39" s="462">
        <f t="shared" si="30"/>
        <v>4772803.8930410147</v>
      </c>
      <c r="J39" s="462">
        <f t="shared" si="30"/>
        <v>4700863.5172799621</v>
      </c>
      <c r="K39" s="462">
        <f t="shared" si="30"/>
        <v>4586493.5245373612</v>
      </c>
      <c r="L39" s="462">
        <f t="shared" si="30"/>
        <v>4220273.5835533347</v>
      </c>
      <c r="M39" s="462">
        <f t="shared" si="30"/>
        <v>4135747.6820566319</v>
      </c>
      <c r="N39" s="462">
        <f t="shared" si="30"/>
        <v>3915670.6812619725</v>
      </c>
      <c r="O39" s="462">
        <f t="shared" si="30"/>
        <v>2887624.2892133095</v>
      </c>
      <c r="P39" s="463"/>
      <c r="Q39" s="462">
        <f>Q36+Q37+Q38</f>
        <v>2793276.7102222852</v>
      </c>
      <c r="R39" s="462">
        <f t="shared" ref="R39" si="31">R36+R37+R38</f>
        <v>2788780.4809568748</v>
      </c>
      <c r="S39" s="462">
        <f t="shared" ref="S39" si="32">S36+S37+S38</f>
        <v>2496708.1592451781</v>
      </c>
      <c r="T39" s="462">
        <f t="shared" ref="T39" si="33">T36+T37+T38</f>
        <v>2488549.3160396931</v>
      </c>
      <c r="U39" s="462">
        <f t="shared" ref="U39" si="34">U36+U37+U38</f>
        <v>2402434.8112752326</v>
      </c>
      <c r="V39" s="462">
        <f t="shared" ref="V39" si="35">V36+V37+V38</f>
        <v>2123493.3741701734</v>
      </c>
      <c r="W39" s="462">
        <f t="shared" ref="W39" si="36">W36+W37+W38</f>
        <v>2146297.9427123619</v>
      </c>
      <c r="X39" s="462">
        <f t="shared" ref="X39" si="37">X36+X37+X38</f>
        <v>2209088.6928652893</v>
      </c>
      <c r="Y39" s="462">
        <f t="shared" ref="Y39" si="38">Y36+Y37+Y38</f>
        <v>1943184.9000710752</v>
      </c>
      <c r="Z39" s="462">
        <f t="shared" ref="Z39" si="39">Z36+Z37+Z38</f>
        <v>2075247.0122613176</v>
      </c>
      <c r="AA39" s="462">
        <f t="shared" ref="AA39" si="40">AA36+AA37+AA38</f>
        <v>2160785.1960524032</v>
      </c>
      <c r="AB39" s="462">
        <f t="shared" ref="AB39" si="41">AB36+AB37+AB38</f>
        <v>892145.93820802448</v>
      </c>
      <c r="AC39" s="463"/>
    </row>
    <row r="40" spans="2:29" s="331" customFormat="1" ht="16" customHeight="1">
      <c r="D40" s="464"/>
      <c r="E40" s="464"/>
      <c r="F40" s="464"/>
      <c r="G40" s="464"/>
      <c r="H40" s="464"/>
      <c r="I40" s="464"/>
      <c r="J40" s="464"/>
      <c r="K40" s="464"/>
      <c r="L40" s="464"/>
      <c r="M40" s="464"/>
      <c r="N40" s="464"/>
      <c r="O40" s="464"/>
      <c r="P40" s="464"/>
      <c r="Q40" s="464"/>
      <c r="R40" s="464"/>
      <c r="S40" s="464"/>
      <c r="T40" s="464"/>
      <c r="U40" s="464"/>
      <c r="V40" s="464"/>
      <c r="W40" s="464"/>
      <c r="X40" s="464"/>
      <c r="Y40" s="464"/>
      <c r="Z40" s="464"/>
      <c r="AA40" s="464"/>
      <c r="AB40" s="464"/>
      <c r="AC40" s="464"/>
    </row>
    <row r="41" spans="2:29" s="530" customFormat="1" ht="16" customHeight="1">
      <c r="B41" s="540" t="s">
        <v>287</v>
      </c>
      <c r="C41" s="540"/>
      <c r="D41" s="540"/>
      <c r="E41" s="540"/>
      <c r="F41" s="531"/>
      <c r="G41" s="531"/>
      <c r="H41" s="531"/>
      <c r="I41" s="531"/>
      <c r="J41" s="531"/>
      <c r="K41" s="531"/>
      <c r="L41" s="531"/>
      <c r="M41" s="531"/>
      <c r="N41" s="531"/>
      <c r="O41" s="531"/>
      <c r="P41" s="531"/>
      <c r="Q41" s="539" t="s">
        <v>288</v>
      </c>
      <c r="R41" s="539"/>
      <c r="S41" s="539"/>
      <c r="T41" s="539"/>
      <c r="U41" s="539"/>
      <c r="V41" s="539"/>
      <c r="W41" s="539"/>
      <c r="X41" s="539"/>
      <c r="Y41" s="539"/>
      <c r="Z41" s="539"/>
      <c r="AA41" s="539"/>
      <c r="AB41" s="539"/>
      <c r="AC41" s="539"/>
    </row>
    <row r="42" spans="2:29" s="526" customFormat="1" ht="15" customHeight="1">
      <c r="B42" s="541" t="s">
        <v>291</v>
      </c>
      <c r="C42" s="541"/>
      <c r="D42" s="541"/>
      <c r="E42" s="541"/>
      <c r="F42" s="541"/>
      <c r="G42" s="527"/>
      <c r="H42" s="527"/>
      <c r="I42" s="527"/>
      <c r="J42" s="527"/>
      <c r="K42" s="527"/>
      <c r="L42" s="527"/>
      <c r="M42" s="527"/>
      <c r="N42" s="527"/>
      <c r="O42" s="527"/>
      <c r="Q42" s="527"/>
      <c r="R42" s="527"/>
      <c r="S42" s="527"/>
      <c r="T42" s="527"/>
      <c r="U42" s="527"/>
      <c r="V42" s="527"/>
      <c r="W42" s="527"/>
      <c r="X42" s="527"/>
      <c r="Y42" s="542" t="s">
        <v>286</v>
      </c>
      <c r="Z42" s="542"/>
      <c r="AA42" s="542"/>
      <c r="AB42" s="542"/>
      <c r="AC42" s="542"/>
    </row>
    <row r="43" spans="2:29" s="526" customFormat="1" ht="15" customHeight="1">
      <c r="B43" s="528"/>
      <c r="D43" s="527"/>
      <c r="E43" s="527"/>
      <c r="F43" s="527"/>
      <c r="G43" s="527"/>
      <c r="H43" s="527"/>
      <c r="I43" s="527"/>
      <c r="J43" s="527"/>
      <c r="K43" s="527"/>
      <c r="L43" s="527"/>
      <c r="M43" s="527"/>
      <c r="N43" s="527"/>
      <c r="O43" s="527"/>
      <c r="Q43" s="527"/>
      <c r="R43" s="527"/>
      <c r="S43" s="527"/>
      <c r="T43" s="527"/>
      <c r="U43" s="527"/>
      <c r="V43" s="527"/>
      <c r="W43" s="527"/>
      <c r="X43" s="527"/>
      <c r="Y43" s="527"/>
      <c r="Z43" s="529"/>
      <c r="AA43" s="529"/>
      <c r="AB43" s="529"/>
      <c r="AC43" s="529"/>
    </row>
    <row r="44" spans="2:29" s="331" customFormat="1">
      <c r="AA44" s="538"/>
      <c r="AB44" s="538"/>
      <c r="AC44" s="538"/>
    </row>
    <row r="45" spans="2:29" s="331" customFormat="1"/>
    <row r="46" spans="2:29" s="331" customFormat="1"/>
    <row r="47" spans="2:29" s="331" customFormat="1"/>
    <row r="48" spans="2:29" s="331" customFormat="1"/>
    <row r="49" s="331" customFormat="1"/>
    <row r="50" s="331" customFormat="1"/>
    <row r="51" s="331" customFormat="1"/>
    <row r="52" s="331" customFormat="1"/>
    <row r="53" s="331" customFormat="1"/>
    <row r="54" s="331" customFormat="1"/>
    <row r="55" s="331" customFormat="1"/>
    <row r="56" s="331" customFormat="1"/>
    <row r="57" s="331" customFormat="1"/>
    <row r="58" s="331" customFormat="1"/>
    <row r="59" s="331" customFormat="1"/>
    <row r="60" s="331" customFormat="1"/>
    <row r="61" s="331" customFormat="1"/>
    <row r="62" s="331" customFormat="1"/>
    <row r="63" s="331" customFormat="1"/>
    <row r="64" s="331" customFormat="1"/>
    <row r="65" spans="18:18" s="331" customFormat="1"/>
    <row r="66" spans="18:18" s="331" customFormat="1"/>
    <row r="67" spans="18:18" s="331" customFormat="1"/>
    <row r="68" spans="18:18" s="331" customFormat="1"/>
    <row r="69" spans="18:18" s="331" customFormat="1"/>
    <row r="70" spans="18:18" s="331" customFormat="1"/>
    <row r="71" spans="18:18" s="331" customFormat="1"/>
    <row r="72" spans="18:18" s="331" customFormat="1"/>
    <row r="73" spans="18:18" s="331" customFormat="1"/>
    <row r="74" spans="18:18" s="331" customFormat="1"/>
    <row r="75" spans="18:18" s="331" customFormat="1"/>
    <row r="76" spans="18:18" s="331" customFormat="1"/>
    <row r="77" spans="18:18" s="331" customFormat="1"/>
    <row r="78" spans="18:18" s="331" customFormat="1"/>
    <row r="79" spans="18:18" s="331" customFormat="1"/>
    <row r="80" spans="18:18" s="331" customFormat="1"/>
    <row r="81" spans="2:29" s="331" customFormat="1"/>
    <row r="82" spans="2:29" s="331" customFormat="1"/>
    <row r="83" spans="2:29" s="331" customFormat="1"/>
    <row r="84" spans="2:29" s="331" customFormat="1"/>
    <row r="85" spans="2:29" s="331" customFormat="1"/>
    <row r="86" spans="2:29">
      <c r="B86" s="331"/>
      <c r="C86" s="331"/>
      <c r="D86" s="331"/>
      <c r="E86" s="331"/>
      <c r="F86" s="331"/>
      <c r="G86" s="331"/>
      <c r="H86" s="331"/>
      <c r="I86" s="331"/>
      <c r="J86" s="331"/>
      <c r="K86" s="331"/>
      <c r="L86" s="331"/>
      <c r="M86" s="331"/>
      <c r="N86" s="331"/>
      <c r="O86" s="331"/>
      <c r="P86" s="331"/>
      <c r="Q86" s="331"/>
      <c r="R86" s="331"/>
      <c r="S86" s="331"/>
      <c r="T86" s="331"/>
      <c r="U86" s="331"/>
      <c r="V86" s="331"/>
      <c r="W86" s="331"/>
      <c r="X86" s="331"/>
      <c r="Y86" s="331"/>
      <c r="Z86" s="331"/>
      <c r="AA86" s="331"/>
      <c r="AB86" s="331"/>
      <c r="AC86" s="331"/>
    </row>
    <row r="87" spans="2:29">
      <c r="B87" s="331"/>
      <c r="C87" s="331"/>
      <c r="D87" s="331"/>
      <c r="E87" s="331"/>
      <c r="F87" s="331"/>
      <c r="G87" s="331"/>
      <c r="H87" s="331"/>
      <c r="I87" s="331"/>
      <c r="J87" s="331"/>
      <c r="K87" s="331"/>
      <c r="L87" s="331"/>
      <c r="M87" s="331"/>
      <c r="N87" s="331"/>
      <c r="O87" s="331"/>
      <c r="P87" s="331"/>
      <c r="Q87" s="331"/>
      <c r="R87" s="331"/>
      <c r="S87" s="331"/>
      <c r="T87" s="331"/>
      <c r="U87" s="331"/>
      <c r="V87" s="331"/>
      <c r="W87" s="331"/>
      <c r="X87" s="331"/>
      <c r="Y87" s="331"/>
      <c r="Z87" s="331"/>
      <c r="AA87" s="331"/>
      <c r="AB87" s="331"/>
      <c r="AC87" s="331"/>
    </row>
    <row r="88" spans="2:29">
      <c r="B88" s="331"/>
      <c r="C88" s="331"/>
      <c r="D88" s="331"/>
      <c r="E88" s="331"/>
      <c r="F88" s="331"/>
      <c r="G88" s="331"/>
      <c r="H88" s="331"/>
      <c r="I88" s="331"/>
      <c r="J88" s="331"/>
      <c r="K88" s="331"/>
      <c r="L88" s="331"/>
      <c r="M88" s="331"/>
      <c r="N88" s="331"/>
      <c r="O88" s="331"/>
      <c r="P88" s="331"/>
      <c r="Q88" s="331"/>
      <c r="R88" s="331"/>
      <c r="S88" s="331"/>
      <c r="T88" s="331"/>
      <c r="U88" s="331"/>
      <c r="V88" s="331"/>
      <c r="W88" s="331"/>
      <c r="X88" s="331"/>
      <c r="Y88" s="331"/>
      <c r="Z88" s="331"/>
      <c r="AA88" s="331"/>
      <c r="AB88" s="331"/>
      <c r="AC88" s="331"/>
    </row>
    <row r="89" spans="2:29">
      <c r="B89" s="331"/>
      <c r="C89" s="331"/>
      <c r="D89" s="331"/>
      <c r="E89" s="331"/>
      <c r="F89" s="331"/>
      <c r="G89" s="331"/>
      <c r="H89" s="331"/>
      <c r="I89" s="331"/>
      <c r="J89" s="331"/>
      <c r="K89" s="331"/>
      <c r="L89" s="331"/>
      <c r="M89" s="331"/>
      <c r="N89" s="331"/>
      <c r="O89" s="331"/>
      <c r="P89" s="331"/>
      <c r="Q89" s="331"/>
      <c r="R89" s="331"/>
      <c r="S89" s="331"/>
      <c r="T89" s="331"/>
      <c r="U89" s="331"/>
      <c r="V89" s="331"/>
      <c r="W89" s="331"/>
      <c r="X89" s="331"/>
      <c r="Y89" s="331"/>
      <c r="Z89" s="331"/>
      <c r="AA89" s="331"/>
      <c r="AB89" s="331"/>
      <c r="AC89" s="331"/>
    </row>
    <row r="90" spans="2:29">
      <c r="B90" s="331"/>
      <c r="C90" s="331"/>
      <c r="D90" s="331"/>
      <c r="E90" s="331"/>
      <c r="F90" s="331"/>
      <c r="G90" s="331"/>
      <c r="H90" s="331"/>
      <c r="I90" s="331"/>
      <c r="J90" s="331"/>
      <c r="K90" s="331"/>
      <c r="L90" s="331"/>
      <c r="M90" s="331"/>
      <c r="N90" s="331"/>
      <c r="O90" s="331"/>
      <c r="P90" s="331"/>
      <c r="Q90" s="331"/>
      <c r="R90" s="331"/>
      <c r="S90" s="331"/>
      <c r="T90" s="331"/>
      <c r="U90" s="331"/>
      <c r="V90" s="331"/>
      <c r="W90" s="331"/>
      <c r="X90" s="331"/>
      <c r="Y90" s="331"/>
      <c r="Z90" s="331"/>
      <c r="AA90" s="331"/>
      <c r="AB90" s="331"/>
      <c r="AC90" s="331"/>
    </row>
    <row r="91" spans="2:29">
      <c r="B91" s="331"/>
      <c r="C91" s="331"/>
      <c r="D91" s="331"/>
      <c r="E91" s="331"/>
      <c r="F91" s="331"/>
      <c r="G91" s="331"/>
      <c r="H91" s="331"/>
      <c r="I91" s="331"/>
      <c r="J91" s="331"/>
      <c r="K91" s="331"/>
      <c r="L91" s="331"/>
      <c r="M91" s="331"/>
      <c r="N91" s="331"/>
      <c r="O91" s="331"/>
      <c r="P91" s="331"/>
      <c r="Q91" s="331"/>
      <c r="R91" s="331"/>
      <c r="S91" s="331"/>
      <c r="T91" s="331"/>
      <c r="U91" s="331"/>
      <c r="V91" s="331"/>
      <c r="W91" s="331"/>
      <c r="X91" s="331"/>
      <c r="Y91" s="331"/>
      <c r="Z91" s="331"/>
      <c r="AA91" s="331"/>
      <c r="AB91" s="331"/>
      <c r="AC91" s="331"/>
    </row>
    <row r="92" spans="2:29">
      <c r="B92" s="331"/>
      <c r="C92" s="331"/>
      <c r="D92" s="331"/>
      <c r="E92" s="331"/>
      <c r="F92" s="331"/>
      <c r="G92" s="331"/>
      <c r="H92" s="331"/>
      <c r="I92" s="331"/>
      <c r="J92" s="331"/>
      <c r="K92" s="331"/>
      <c r="L92" s="331"/>
      <c r="M92" s="331"/>
      <c r="N92" s="331"/>
      <c r="O92" s="331"/>
      <c r="P92" s="331"/>
      <c r="Q92" s="331"/>
      <c r="R92" s="331"/>
      <c r="S92" s="331"/>
      <c r="T92" s="331"/>
      <c r="U92" s="331"/>
      <c r="V92" s="331"/>
      <c r="W92" s="331"/>
      <c r="X92" s="331"/>
      <c r="Y92" s="331"/>
      <c r="Z92" s="331"/>
      <c r="AA92" s="331"/>
      <c r="AB92" s="331"/>
      <c r="AC92" s="331"/>
    </row>
    <row r="93" spans="2:29">
      <c r="B93" s="331"/>
      <c r="C93" s="331"/>
      <c r="D93" s="331"/>
      <c r="E93" s="331"/>
      <c r="F93" s="331"/>
      <c r="G93" s="331"/>
      <c r="H93" s="331"/>
      <c r="I93" s="331"/>
      <c r="J93" s="331"/>
      <c r="K93" s="331"/>
      <c r="L93" s="331"/>
      <c r="M93" s="331"/>
      <c r="N93" s="331"/>
      <c r="O93" s="331"/>
      <c r="P93" s="331"/>
      <c r="Q93" s="331"/>
      <c r="R93" s="331"/>
      <c r="S93" s="331"/>
      <c r="T93" s="331"/>
      <c r="U93" s="331"/>
      <c r="V93" s="331"/>
      <c r="W93" s="331"/>
      <c r="X93" s="331"/>
      <c r="Y93" s="331"/>
      <c r="Z93" s="331"/>
      <c r="AA93" s="331"/>
      <c r="AB93" s="331"/>
      <c r="AC93" s="331"/>
    </row>
    <row r="94" spans="2:29">
      <c r="B94" s="331"/>
      <c r="C94" s="331"/>
      <c r="D94" s="331"/>
      <c r="E94" s="331"/>
      <c r="F94" s="331"/>
      <c r="G94" s="331"/>
      <c r="H94" s="331"/>
      <c r="I94" s="331"/>
      <c r="J94" s="331"/>
      <c r="K94" s="331"/>
      <c r="L94" s="331"/>
      <c r="M94" s="331"/>
      <c r="N94" s="331"/>
      <c r="O94" s="331"/>
      <c r="P94" s="331"/>
      <c r="Q94" s="331"/>
      <c r="R94" s="331"/>
      <c r="S94" s="331"/>
      <c r="T94" s="331"/>
      <c r="U94" s="331"/>
      <c r="V94" s="331"/>
      <c r="W94" s="331"/>
      <c r="X94" s="331"/>
      <c r="Y94" s="331"/>
      <c r="Z94" s="331"/>
      <c r="AA94" s="331"/>
      <c r="AB94" s="331"/>
      <c r="AC94" s="331"/>
    </row>
    <row r="95" spans="2:29">
      <c r="B95" s="331"/>
      <c r="C95" s="331"/>
      <c r="D95" s="331"/>
      <c r="E95" s="331"/>
      <c r="F95" s="331"/>
      <c r="G95" s="331"/>
      <c r="H95" s="331"/>
      <c r="I95" s="331"/>
      <c r="J95" s="331"/>
      <c r="K95" s="331"/>
      <c r="L95" s="331"/>
      <c r="M95" s="331"/>
      <c r="N95" s="331"/>
      <c r="O95" s="331"/>
      <c r="P95" s="331"/>
      <c r="Q95" s="331"/>
      <c r="R95" s="331"/>
      <c r="S95" s="331"/>
      <c r="T95" s="331"/>
      <c r="U95" s="331"/>
      <c r="V95" s="331"/>
      <c r="W95" s="331"/>
      <c r="X95" s="331"/>
      <c r="Y95" s="331"/>
      <c r="Z95" s="331"/>
      <c r="AA95" s="331"/>
      <c r="AB95" s="331"/>
      <c r="AC95" s="331"/>
    </row>
    <row r="96" spans="2:29">
      <c r="B96" s="331"/>
      <c r="C96" s="331"/>
      <c r="D96" s="331"/>
      <c r="E96" s="331"/>
      <c r="F96" s="331"/>
      <c r="G96" s="331"/>
      <c r="H96" s="331"/>
      <c r="I96" s="331"/>
      <c r="J96" s="331"/>
      <c r="K96" s="331"/>
      <c r="L96" s="331"/>
      <c r="M96" s="331"/>
      <c r="N96" s="331"/>
      <c r="O96" s="331"/>
      <c r="P96" s="331"/>
      <c r="Q96" s="331"/>
      <c r="R96" s="331"/>
      <c r="S96" s="331"/>
      <c r="T96" s="331"/>
      <c r="U96" s="331"/>
      <c r="V96" s="331"/>
      <c r="W96" s="331"/>
      <c r="X96" s="331"/>
      <c r="Y96" s="331"/>
      <c r="Z96" s="331"/>
      <c r="AA96" s="331"/>
      <c r="AB96" s="331"/>
      <c r="AC96" s="331"/>
    </row>
    <row r="97" spans="2:29">
      <c r="B97" s="331"/>
      <c r="C97" s="331"/>
      <c r="D97" s="331"/>
      <c r="E97" s="331"/>
      <c r="F97" s="331"/>
      <c r="G97" s="331"/>
      <c r="H97" s="331"/>
      <c r="I97" s="331"/>
      <c r="J97" s="331"/>
      <c r="K97" s="331"/>
      <c r="L97" s="331"/>
      <c r="M97" s="331"/>
      <c r="N97" s="331"/>
      <c r="O97" s="331"/>
      <c r="P97" s="331"/>
      <c r="Q97" s="331"/>
      <c r="R97" s="331"/>
      <c r="S97" s="331"/>
      <c r="T97" s="331"/>
      <c r="U97" s="331"/>
      <c r="V97" s="331"/>
      <c r="W97" s="331"/>
      <c r="X97" s="331"/>
      <c r="Y97" s="331"/>
      <c r="Z97" s="331"/>
      <c r="AA97" s="331"/>
      <c r="AB97" s="331"/>
      <c r="AC97" s="331"/>
    </row>
    <row r="98" spans="2:29">
      <c r="B98" s="331"/>
      <c r="C98" s="331"/>
      <c r="D98" s="331"/>
      <c r="E98" s="331"/>
      <c r="F98" s="331"/>
      <c r="G98" s="331"/>
      <c r="H98" s="331"/>
      <c r="I98" s="331"/>
      <c r="J98" s="331"/>
      <c r="K98" s="331"/>
      <c r="L98" s="331"/>
      <c r="M98" s="331"/>
      <c r="N98" s="331"/>
      <c r="O98" s="331"/>
      <c r="P98" s="331"/>
      <c r="Q98" s="331"/>
      <c r="R98" s="331"/>
      <c r="S98" s="331"/>
      <c r="T98" s="331"/>
      <c r="U98" s="331"/>
      <c r="V98" s="331"/>
      <c r="W98" s="331"/>
      <c r="X98" s="331"/>
      <c r="Y98" s="331"/>
      <c r="Z98" s="331"/>
      <c r="AA98" s="331"/>
      <c r="AB98" s="331"/>
      <c r="AC98" s="331"/>
    </row>
    <row r="99" spans="2:29">
      <c r="B99" s="331"/>
      <c r="C99" s="331"/>
      <c r="D99" s="331"/>
      <c r="E99" s="331"/>
      <c r="F99" s="331"/>
      <c r="G99" s="331"/>
      <c r="H99" s="331"/>
      <c r="I99" s="331"/>
      <c r="J99" s="331"/>
      <c r="K99" s="331"/>
      <c r="L99" s="331"/>
      <c r="M99" s="331"/>
      <c r="N99" s="331"/>
      <c r="O99" s="331"/>
      <c r="P99" s="331"/>
      <c r="Q99" s="331"/>
      <c r="R99" s="331"/>
      <c r="S99" s="331"/>
      <c r="T99" s="331"/>
      <c r="U99" s="331"/>
      <c r="V99" s="331"/>
      <c r="W99" s="331"/>
      <c r="X99" s="331"/>
      <c r="Y99" s="331"/>
      <c r="Z99" s="331"/>
      <c r="AA99" s="331"/>
      <c r="AB99" s="331"/>
      <c r="AC99" s="331"/>
    </row>
    <row r="100" spans="2:29">
      <c r="B100" s="331"/>
      <c r="C100" s="331"/>
      <c r="D100" s="331"/>
      <c r="E100" s="331"/>
      <c r="F100" s="331"/>
      <c r="G100" s="331"/>
      <c r="H100" s="331"/>
      <c r="I100" s="331"/>
      <c r="J100" s="331"/>
      <c r="K100" s="331"/>
      <c r="L100" s="331"/>
      <c r="M100" s="331"/>
      <c r="N100" s="331"/>
      <c r="O100" s="331"/>
      <c r="P100" s="331"/>
      <c r="Q100" s="331"/>
      <c r="R100" s="331"/>
      <c r="S100" s="331"/>
      <c r="T100" s="331"/>
      <c r="U100" s="331"/>
      <c r="V100" s="331"/>
      <c r="W100" s="331"/>
      <c r="X100" s="331"/>
      <c r="Y100" s="331"/>
      <c r="Z100" s="331"/>
      <c r="AA100" s="331"/>
      <c r="AB100" s="331"/>
      <c r="AC100" s="331"/>
    </row>
    <row r="101" spans="2:29">
      <c r="B101" s="331"/>
      <c r="C101" s="331"/>
      <c r="D101" s="331"/>
      <c r="E101" s="331"/>
      <c r="F101" s="331"/>
      <c r="G101" s="331"/>
      <c r="H101" s="331"/>
      <c r="I101" s="331"/>
      <c r="J101" s="331"/>
      <c r="K101" s="331"/>
      <c r="L101" s="331"/>
      <c r="M101" s="331"/>
      <c r="N101" s="331"/>
      <c r="O101" s="331"/>
      <c r="P101" s="331"/>
      <c r="Q101" s="331"/>
      <c r="R101" s="331"/>
      <c r="S101" s="331"/>
      <c r="T101" s="331"/>
      <c r="U101" s="331"/>
      <c r="V101" s="331"/>
      <c r="W101" s="331"/>
      <c r="X101" s="331"/>
      <c r="Y101" s="331"/>
      <c r="Z101" s="331"/>
      <c r="AA101" s="331"/>
      <c r="AB101" s="331"/>
      <c r="AC101" s="331"/>
    </row>
    <row r="102" spans="2:29">
      <c r="B102" s="331"/>
      <c r="C102" s="331"/>
      <c r="D102" s="331"/>
      <c r="E102" s="331"/>
      <c r="F102" s="331"/>
      <c r="G102" s="331"/>
      <c r="H102" s="331"/>
      <c r="I102" s="331"/>
      <c r="J102" s="331"/>
      <c r="K102" s="331"/>
      <c r="L102" s="331"/>
      <c r="M102" s="331"/>
      <c r="N102" s="331"/>
      <c r="O102" s="331"/>
      <c r="P102" s="331"/>
      <c r="Q102" s="331"/>
      <c r="R102" s="331"/>
      <c r="S102" s="331"/>
      <c r="T102" s="331"/>
      <c r="U102" s="331"/>
      <c r="V102" s="331"/>
      <c r="W102" s="331"/>
      <c r="X102" s="331"/>
      <c r="Y102" s="331"/>
      <c r="Z102" s="331"/>
      <c r="AA102" s="331"/>
      <c r="AB102" s="331"/>
      <c r="AC102" s="331"/>
    </row>
    <row r="103" spans="2:29">
      <c r="B103" s="331"/>
      <c r="C103" s="331"/>
      <c r="D103" s="331"/>
      <c r="E103" s="331"/>
      <c r="F103" s="331"/>
      <c r="G103" s="331"/>
      <c r="H103" s="331"/>
      <c r="I103" s="331"/>
      <c r="J103" s="331"/>
      <c r="K103" s="331"/>
      <c r="L103" s="331"/>
      <c r="M103" s="331"/>
      <c r="N103" s="331"/>
      <c r="O103" s="331"/>
      <c r="P103" s="331"/>
      <c r="Q103" s="331"/>
      <c r="R103" s="331"/>
      <c r="S103" s="331"/>
      <c r="T103" s="331"/>
      <c r="U103" s="331"/>
      <c r="V103" s="331"/>
      <c r="W103" s="331"/>
      <c r="X103" s="331"/>
      <c r="Y103" s="331"/>
      <c r="Z103" s="331"/>
      <c r="AA103" s="331"/>
      <c r="AB103" s="331"/>
      <c r="AC103" s="331"/>
    </row>
    <row r="104" spans="2:29">
      <c r="B104" s="331"/>
      <c r="C104" s="331"/>
      <c r="D104" s="331"/>
      <c r="E104" s="331"/>
      <c r="F104" s="331"/>
      <c r="G104" s="331"/>
      <c r="H104" s="331"/>
      <c r="I104" s="331"/>
      <c r="J104" s="331"/>
      <c r="K104" s="331"/>
      <c r="L104" s="331"/>
      <c r="M104" s="331"/>
      <c r="N104" s="331"/>
      <c r="O104" s="331"/>
      <c r="P104" s="331"/>
      <c r="Q104" s="331"/>
      <c r="R104" s="331"/>
      <c r="S104" s="331"/>
      <c r="T104" s="331"/>
      <c r="U104" s="331"/>
      <c r="V104" s="331"/>
      <c r="W104" s="331"/>
      <c r="X104" s="331"/>
      <c r="Y104" s="331"/>
      <c r="Z104" s="331"/>
      <c r="AA104" s="331"/>
      <c r="AB104" s="331"/>
      <c r="AC104" s="331"/>
    </row>
    <row r="105" spans="2:29" s="347" customFormat="1" ht="12" customHeight="1">
      <c r="B105" s="372" t="s">
        <v>39</v>
      </c>
      <c r="D105" s="469"/>
      <c r="E105" s="469"/>
      <c r="F105" s="469"/>
      <c r="G105" s="469"/>
      <c r="H105" s="469"/>
      <c r="I105" s="469"/>
      <c r="J105" s="469"/>
      <c r="K105" s="469"/>
      <c r="L105" s="469"/>
      <c r="M105" s="469"/>
      <c r="N105" s="469"/>
      <c r="O105" s="469"/>
      <c r="P105" s="469"/>
      <c r="Q105" s="469"/>
      <c r="R105" s="469"/>
      <c r="S105" s="469"/>
      <c r="T105" s="469"/>
      <c r="U105" s="469"/>
      <c r="V105" s="469"/>
      <c r="W105" s="469"/>
      <c r="X105" s="469"/>
      <c r="Y105" s="469"/>
      <c r="Z105" s="469"/>
      <c r="AA105" s="469"/>
      <c r="AB105" s="469"/>
      <c r="AC105" s="469"/>
    </row>
    <row r="106" spans="2:29" s="347" customFormat="1" ht="12" customHeight="1">
      <c r="B106" s="347" t="s">
        <v>261</v>
      </c>
      <c r="D106" s="469">
        <f t="shared" ref="D106:O106" si="42">-D8</f>
        <v>-38891.75</v>
      </c>
      <c r="E106" s="469">
        <f t="shared" si="42"/>
        <v>-50981.758750000001</v>
      </c>
      <c r="F106" s="469">
        <f t="shared" si="42"/>
        <v>-48695.611993749997</v>
      </c>
      <c r="G106" s="469">
        <f t="shared" si="42"/>
        <v>-70810.26300015625</v>
      </c>
      <c r="H106" s="469">
        <f t="shared" si="42"/>
        <v>-64727.179448135154</v>
      </c>
      <c r="I106" s="469">
        <f t="shared" si="42"/>
        <v>-77552.20086401212</v>
      </c>
      <c r="J106" s="469">
        <f t="shared" si="42"/>
        <v>-85547.477526370581</v>
      </c>
      <c r="K106" s="469">
        <f t="shared" si="42"/>
        <v>-93706.416898125957</v>
      </c>
      <c r="L106" s="469">
        <f t="shared" si="42"/>
        <v>-139146.01735995116</v>
      </c>
      <c r="M106" s="469">
        <f t="shared" si="42"/>
        <v>-139922.59927489044</v>
      </c>
      <c r="N106" s="469">
        <f t="shared" si="42"/>
        <v>-147147.05772538032</v>
      </c>
      <c r="O106" s="469">
        <f t="shared" si="42"/>
        <v>-156568.85164839728</v>
      </c>
      <c r="P106" s="469"/>
      <c r="Q106" s="469">
        <f t="shared" ref="Q106:AB106" si="43">-Q8</f>
        <v>-188984.05293151783</v>
      </c>
      <c r="R106" s="469">
        <f t="shared" si="43"/>
        <v>-192514.96591033542</v>
      </c>
      <c r="S106" s="469">
        <f t="shared" si="43"/>
        <v>-225045.78341561364</v>
      </c>
      <c r="T106" s="469">
        <f t="shared" si="43"/>
        <v>-227096.67436709109</v>
      </c>
      <c r="U106" s="469">
        <f t="shared" si="43"/>
        <v>-246906.95617921485</v>
      </c>
      <c r="V106" s="469">
        <f t="shared" si="43"/>
        <v>-265255.46571799996</v>
      </c>
      <c r="W106" s="469">
        <f t="shared" si="43"/>
        <v>-304653.05008796073</v>
      </c>
      <c r="X106" s="469">
        <f t="shared" si="43"/>
        <v>-325644.4667780333</v>
      </c>
      <c r="Y106" s="469">
        <f t="shared" si="43"/>
        <v>-349762.05504334316</v>
      </c>
      <c r="Z106" s="469">
        <f t="shared" si="43"/>
        <v>-386474.60061985045</v>
      </c>
      <c r="AA106" s="469">
        <f t="shared" si="43"/>
        <v>-405711.98915866157</v>
      </c>
      <c r="AB106" s="469">
        <f t="shared" si="43"/>
        <v>-444770.41974939639</v>
      </c>
      <c r="AC106" s="469"/>
    </row>
    <row r="107" spans="2:29" s="347" customFormat="1" ht="12" customHeight="1">
      <c r="B107" s="347" t="s">
        <v>262</v>
      </c>
      <c r="D107" s="469">
        <f t="shared" ref="D107:O107" si="44">-D16</f>
        <v>-54900</v>
      </c>
      <c r="E107" s="469">
        <f t="shared" si="44"/>
        <v>-54900</v>
      </c>
      <c r="F107" s="469">
        <f t="shared" si="44"/>
        <v>-77600</v>
      </c>
      <c r="G107" s="469">
        <f t="shared" si="44"/>
        <v>-82750</v>
      </c>
      <c r="H107" s="469">
        <f t="shared" si="44"/>
        <v>-90100</v>
      </c>
      <c r="I107" s="469">
        <f t="shared" si="44"/>
        <v>-86100</v>
      </c>
      <c r="J107" s="469">
        <f t="shared" si="44"/>
        <v>-134550</v>
      </c>
      <c r="K107" s="469">
        <f t="shared" si="44"/>
        <v>-135700</v>
      </c>
      <c r="L107" s="469">
        <f t="shared" si="44"/>
        <v>-156200</v>
      </c>
      <c r="M107" s="469">
        <f t="shared" si="44"/>
        <v>-148200</v>
      </c>
      <c r="N107" s="469">
        <f t="shared" si="44"/>
        <v>-159550</v>
      </c>
      <c r="O107" s="469">
        <f t="shared" si="44"/>
        <v>-166900</v>
      </c>
      <c r="P107" s="469"/>
      <c r="Q107" s="469">
        <f t="shared" ref="Q107:AB107" si="45">-Q16</f>
        <v>-208950</v>
      </c>
      <c r="R107" s="469">
        <f t="shared" si="45"/>
        <v>-196950</v>
      </c>
      <c r="S107" s="469">
        <f t="shared" si="45"/>
        <v>-208300</v>
      </c>
      <c r="T107" s="469">
        <f t="shared" si="45"/>
        <v>-217450</v>
      </c>
      <c r="U107" s="469">
        <f t="shared" si="45"/>
        <v>-224800</v>
      </c>
      <c r="V107" s="469">
        <f t="shared" si="45"/>
        <v>-244100</v>
      </c>
      <c r="W107" s="469">
        <f t="shared" si="45"/>
        <v>-250450</v>
      </c>
      <c r="X107" s="469">
        <f t="shared" si="45"/>
        <v>-246450</v>
      </c>
      <c r="Y107" s="469">
        <f t="shared" si="45"/>
        <v>-246450</v>
      </c>
      <c r="Z107" s="469">
        <f t="shared" si="45"/>
        <v>-246450</v>
      </c>
      <c r="AA107" s="469">
        <f t="shared" si="45"/>
        <v>-259600</v>
      </c>
      <c r="AB107" s="469">
        <f t="shared" si="45"/>
        <v>-255600</v>
      </c>
      <c r="AC107" s="469"/>
    </row>
    <row r="108" spans="2:29" s="347" customFormat="1" ht="12" customHeight="1">
      <c r="B108" s="347" t="s">
        <v>263</v>
      </c>
      <c r="D108" s="469">
        <f t="shared" ref="D108:O108" si="46">-D19</f>
        <v>-120250</v>
      </c>
      <c r="E108" s="469">
        <f t="shared" si="46"/>
        <v>-302400</v>
      </c>
      <c r="F108" s="469">
        <f t="shared" si="46"/>
        <v>-291650</v>
      </c>
      <c r="G108" s="469">
        <f t="shared" si="46"/>
        <v>-297650</v>
      </c>
      <c r="H108" s="469">
        <f t="shared" si="46"/>
        <v>-330900</v>
      </c>
      <c r="I108" s="469">
        <f t="shared" si="46"/>
        <v>-349350</v>
      </c>
      <c r="J108" s="469">
        <f t="shared" si="46"/>
        <v>-355350</v>
      </c>
      <c r="K108" s="469">
        <f t="shared" si="46"/>
        <v>-365350</v>
      </c>
      <c r="L108" s="469">
        <f t="shared" si="46"/>
        <v>-375350</v>
      </c>
      <c r="M108" s="469">
        <f t="shared" si="46"/>
        <v>-385350</v>
      </c>
      <c r="N108" s="469">
        <f t="shared" si="46"/>
        <v>-395350</v>
      </c>
      <c r="O108" s="469">
        <f t="shared" si="46"/>
        <v>-405350</v>
      </c>
      <c r="P108" s="469"/>
      <c r="Q108" s="469">
        <f t="shared" ref="Q108:AB108" si="47">-Q19</f>
        <v>-415350</v>
      </c>
      <c r="R108" s="469">
        <f t="shared" si="47"/>
        <v>-440200</v>
      </c>
      <c r="S108" s="469">
        <f t="shared" si="47"/>
        <v>-457450</v>
      </c>
      <c r="T108" s="469">
        <f t="shared" si="47"/>
        <v>-463450</v>
      </c>
      <c r="U108" s="469">
        <f t="shared" si="47"/>
        <v>-473450</v>
      </c>
      <c r="V108" s="469">
        <f t="shared" si="47"/>
        <v>-539450</v>
      </c>
      <c r="W108" s="469">
        <f t="shared" si="47"/>
        <v>-533450</v>
      </c>
      <c r="X108" s="469">
        <f t="shared" si="47"/>
        <v>-595200</v>
      </c>
      <c r="Y108" s="469">
        <f t="shared" si="47"/>
        <v>-637950</v>
      </c>
      <c r="Z108" s="469">
        <f t="shared" si="47"/>
        <v>-649600</v>
      </c>
      <c r="AA108" s="469">
        <f t="shared" si="47"/>
        <v>-655600</v>
      </c>
      <c r="AB108" s="469">
        <f t="shared" si="47"/>
        <v>-665600</v>
      </c>
      <c r="AC108" s="469"/>
    </row>
    <row r="109" spans="2:29" s="347" customFormat="1" ht="12" customHeight="1">
      <c r="B109" s="347" t="s">
        <v>264</v>
      </c>
      <c r="D109" s="469">
        <f t="shared" ref="D109:O109" si="48">-D22</f>
        <v>-244677.5</v>
      </c>
      <c r="E109" s="469">
        <f t="shared" si="48"/>
        <v>-110783.3875</v>
      </c>
      <c r="F109" s="469">
        <f t="shared" si="48"/>
        <v>-111932.71293750001</v>
      </c>
      <c r="G109" s="469">
        <f t="shared" si="48"/>
        <v>-98141.331176562497</v>
      </c>
      <c r="H109" s="469">
        <f t="shared" si="48"/>
        <v>-99410.105557726565</v>
      </c>
      <c r="I109" s="469">
        <f t="shared" si="48"/>
        <v>-160992.4710964777</v>
      </c>
      <c r="J109" s="469">
        <f t="shared" si="48"/>
        <v>-140316.16325080622</v>
      </c>
      <c r="K109" s="469">
        <f t="shared" si="48"/>
        <v>-179036.12758713291</v>
      </c>
      <c r="L109" s="469">
        <f t="shared" si="48"/>
        <v>-136082.95138820657</v>
      </c>
      <c r="M109" s="469">
        <f t="shared" si="48"/>
        <v>-172660.35251464145</v>
      </c>
      <c r="N109" s="469">
        <f t="shared" si="48"/>
        <v>-168924.73983845901</v>
      </c>
      <c r="O109" s="469">
        <f t="shared" si="48"/>
        <v>-227466.97155788075</v>
      </c>
      <c r="P109" s="469"/>
      <c r="Q109" s="469">
        <f t="shared" ref="Q109:AB109" si="49">-Q22</f>
        <v>-189722.97231265754</v>
      </c>
      <c r="R109" s="469">
        <f t="shared" si="49"/>
        <v>-237372.03877078553</v>
      </c>
      <c r="S109" s="469">
        <f t="shared" si="49"/>
        <v>-195132.81377389038</v>
      </c>
      <c r="T109" s="469">
        <f t="shared" si="49"/>
        <v>-228023.04374534771</v>
      </c>
      <c r="U109" s="469">
        <f t="shared" si="49"/>
        <v>-305686.44481130282</v>
      </c>
      <c r="V109" s="469">
        <f t="shared" si="49"/>
        <v>-260129.68571647056</v>
      </c>
      <c r="W109" s="469">
        <f t="shared" si="49"/>
        <v>-278713.558875271</v>
      </c>
      <c r="X109" s="469">
        <f t="shared" si="49"/>
        <v>-282720.27457531373</v>
      </c>
      <c r="Y109" s="469">
        <f t="shared" si="49"/>
        <v>-271918.85590784892</v>
      </c>
      <c r="Z109" s="469">
        <f t="shared" si="49"/>
        <v>-276320.35330579442</v>
      </c>
      <c r="AA109" s="469">
        <f t="shared" si="49"/>
        <v>-277202.64068156568</v>
      </c>
      <c r="AB109" s="469">
        <f t="shared" si="49"/>
        <v>-218538.48220552725</v>
      </c>
      <c r="AC109" s="469"/>
    </row>
    <row r="110" spans="2:29" s="347" customFormat="1">
      <c r="B110" s="347" t="s">
        <v>280</v>
      </c>
      <c r="D110" s="469">
        <f t="shared" ref="D110:O110" si="50">-D32</f>
        <v>-400619.25</v>
      </c>
      <c r="E110" s="469">
        <f t="shared" si="50"/>
        <v>-405765.14624999999</v>
      </c>
      <c r="F110" s="469">
        <f t="shared" si="50"/>
        <v>-644878.32493124995</v>
      </c>
      <c r="G110" s="469">
        <f t="shared" si="50"/>
        <v>-424651.59417671873</v>
      </c>
      <c r="H110" s="469">
        <f t="shared" si="50"/>
        <v>-456337.28500586166</v>
      </c>
      <c r="I110" s="469">
        <f t="shared" si="50"/>
        <v>-844694.67196048982</v>
      </c>
      <c r="J110" s="469">
        <f t="shared" si="50"/>
        <v>-574263.64077717683</v>
      </c>
      <c r="K110" s="469">
        <f t="shared" si="50"/>
        <v>-630092.54448525887</v>
      </c>
      <c r="L110" s="469">
        <f t="shared" si="50"/>
        <v>-956878.96874815773</v>
      </c>
      <c r="M110" s="469">
        <f t="shared" si="50"/>
        <v>-691732.95178953186</v>
      </c>
      <c r="N110" s="469">
        <f t="shared" si="50"/>
        <v>-713571.79756383935</v>
      </c>
      <c r="O110" s="469">
        <f t="shared" si="50"/>
        <v>-1542385.823206278</v>
      </c>
      <c r="P110" s="469"/>
      <c r="Q110" s="469">
        <f t="shared" ref="Q110:AB110" si="51">-Q32</f>
        <v>-835807.02524417534</v>
      </c>
      <c r="R110" s="469">
        <f t="shared" si="51"/>
        <v>-897437.00468112098</v>
      </c>
      <c r="S110" s="469">
        <f t="shared" si="51"/>
        <v>-1212728.597189504</v>
      </c>
      <c r="T110" s="469">
        <f t="shared" si="51"/>
        <v>-959119.7181124388</v>
      </c>
      <c r="U110" s="469">
        <f t="shared" si="51"/>
        <v>-1069843.4009905178</v>
      </c>
      <c r="V110" s="469">
        <f t="shared" si="51"/>
        <v>-1424535.1514344704</v>
      </c>
      <c r="W110" s="469">
        <f t="shared" si="51"/>
        <v>-1161466.6089632318</v>
      </c>
      <c r="X110" s="469">
        <f t="shared" si="51"/>
        <v>-1223614.741353347</v>
      </c>
      <c r="Y110" s="469">
        <f t="shared" si="51"/>
        <v>-1658280.910951192</v>
      </c>
      <c r="Z110" s="469">
        <f t="shared" si="51"/>
        <v>-1310344.953925645</v>
      </c>
      <c r="AA110" s="469">
        <f t="shared" si="51"/>
        <v>-1345014.6298402273</v>
      </c>
      <c r="AB110" s="469">
        <f t="shared" si="51"/>
        <v>-2818408.9019549238</v>
      </c>
      <c r="AC110" s="469"/>
    </row>
    <row r="111" spans="2:29" s="347" customFormat="1">
      <c r="B111" s="347" t="s">
        <v>207</v>
      </c>
      <c r="D111" s="470">
        <f>D19/(Revenues!I111*12)</f>
        <v>0.62435098650051923</v>
      </c>
      <c r="E111" s="470">
        <f>E19/(Revenues!J111*12)</f>
        <v>1.1393563992720779</v>
      </c>
      <c r="F111" s="470">
        <f>F19/(Revenues!K111*12)</f>
        <v>1.0573230989967826</v>
      </c>
      <c r="G111" s="470">
        <f>G19/(Revenues!L111*12)</f>
        <v>1.0261373635196309</v>
      </c>
      <c r="H111" s="470">
        <f>H19/(Revenues!M111*12)</f>
        <v>1.0866786250326395</v>
      </c>
      <c r="I111" s="470">
        <f>I19/(Revenues!N111*12)</f>
        <v>0.91990438640923433</v>
      </c>
      <c r="J111" s="470">
        <f>J19/(Revenues!O111*12)</f>
        <v>0.91188775905142294</v>
      </c>
      <c r="K111" s="470">
        <f>K19/(Revenues!P111*12)</f>
        <v>0.88507164626320523</v>
      </c>
      <c r="L111" s="470">
        <f>L19/(Revenues!Q111*12)</f>
        <v>0.76409035917647772</v>
      </c>
      <c r="M111" s="470">
        <f>M19/(Revenues!R111*12)</f>
        <v>0.75473542814689132</v>
      </c>
      <c r="N111" s="470">
        <f>N19/(Revenues!S111*12)</f>
        <v>0.68228144275625568</v>
      </c>
      <c r="O111" s="470">
        <f>O19/(Revenues!T111*12)</f>
        <v>0.6643604988602313</v>
      </c>
      <c r="P111" s="470"/>
      <c r="Q111" s="470">
        <f>Q19/(Revenues!V111*12)</f>
        <v>0.76712075398717217</v>
      </c>
      <c r="R111" s="470">
        <f>R19/(Revenues!W111*12)</f>
        <v>0.69238227717503642</v>
      </c>
      <c r="S111" s="470">
        <f>S19/(Revenues!X111*12)</f>
        <v>0.69040094340288072</v>
      </c>
      <c r="T111" s="470">
        <f>T19/(Revenues!Y111*12)</f>
        <v>0.66812734133159102</v>
      </c>
      <c r="U111" s="470">
        <f>U19/(Revenues!Z111*12)</f>
        <v>0.65464513025518778</v>
      </c>
      <c r="V111" s="470">
        <f>V19/(Revenues!AA111*12)</f>
        <v>0.65278857774950205</v>
      </c>
      <c r="W111" s="470">
        <f>W19/(Revenues!AB111*12)</f>
        <v>0.62019726559666721</v>
      </c>
      <c r="X111" s="470">
        <f>X19/(Revenues!AC111*12)</f>
        <v>0.61896081121342494</v>
      </c>
      <c r="Y111" s="470">
        <f>Y19/(Revenues!AD111*12)</f>
        <v>0.63310075224741702</v>
      </c>
      <c r="Z111" s="470">
        <f>Z19/(Revenues!AE111*12)</f>
        <v>0.61494223941381632</v>
      </c>
      <c r="AA111" s="470">
        <f>AA19/(Revenues!AF111*12)</f>
        <v>0.56529474640995814</v>
      </c>
      <c r="AB111" s="470">
        <f>AB19/(Revenues!AG111*12)</f>
        <v>0.51975556636739584</v>
      </c>
      <c r="AC111" s="469"/>
    </row>
    <row r="112" spans="2:29">
      <c r="B112" s="331"/>
      <c r="C112" s="331"/>
      <c r="D112" s="331"/>
      <c r="E112" s="331"/>
      <c r="F112" s="331"/>
      <c r="G112" s="331"/>
      <c r="H112" s="331"/>
      <c r="I112" s="331"/>
      <c r="J112" s="331"/>
      <c r="K112" s="331"/>
      <c r="L112" s="331"/>
      <c r="M112" s="331"/>
      <c r="N112" s="331"/>
      <c r="O112" s="331"/>
      <c r="P112" s="331"/>
      <c r="Q112" s="331"/>
      <c r="R112" s="331"/>
      <c r="S112" s="331"/>
      <c r="T112" s="331"/>
      <c r="U112" s="331"/>
      <c r="V112" s="331"/>
      <c r="W112" s="331"/>
      <c r="X112" s="331"/>
      <c r="Y112" s="331"/>
      <c r="Z112" s="331"/>
      <c r="AA112" s="331"/>
      <c r="AB112" s="331"/>
      <c r="AC112" s="331"/>
    </row>
    <row r="113" spans="2:29">
      <c r="B113" s="331"/>
      <c r="C113" s="331"/>
      <c r="D113" s="331"/>
      <c r="E113" s="331"/>
      <c r="F113" s="331"/>
      <c r="G113" s="331"/>
      <c r="H113" s="331"/>
      <c r="I113" s="331"/>
      <c r="J113" s="331"/>
      <c r="K113" s="331"/>
      <c r="L113" s="331"/>
      <c r="M113" s="331"/>
      <c r="N113" s="331"/>
      <c r="O113" s="331"/>
      <c r="P113" s="331"/>
      <c r="Q113" s="331"/>
      <c r="R113" s="331"/>
      <c r="S113" s="331"/>
      <c r="T113" s="331"/>
      <c r="U113" s="331"/>
      <c r="V113" s="331"/>
      <c r="W113" s="331"/>
      <c r="X113" s="331"/>
      <c r="Y113" s="331"/>
      <c r="Z113" s="331"/>
      <c r="AA113" s="331"/>
      <c r="AB113" s="331"/>
      <c r="AC113" s="331"/>
    </row>
    <row r="114" spans="2:29">
      <c r="B114" s="331"/>
      <c r="C114" s="331"/>
      <c r="D114" s="331"/>
      <c r="E114" s="331"/>
      <c r="F114" s="331"/>
      <c r="G114" s="331"/>
      <c r="H114" s="331"/>
      <c r="I114" s="331"/>
      <c r="J114" s="331"/>
      <c r="K114" s="331"/>
      <c r="L114" s="331"/>
      <c r="M114" s="331"/>
      <c r="N114" s="331"/>
      <c r="O114" s="331"/>
      <c r="P114" s="331"/>
      <c r="Q114" s="331"/>
      <c r="R114" s="331"/>
      <c r="S114" s="331"/>
      <c r="T114" s="331"/>
      <c r="U114" s="331"/>
      <c r="V114" s="331"/>
      <c r="W114" s="331"/>
      <c r="X114" s="331"/>
      <c r="Y114" s="331"/>
      <c r="Z114" s="331"/>
      <c r="AA114" s="331"/>
      <c r="AB114" s="331"/>
      <c r="AC114" s="331"/>
    </row>
    <row r="115" spans="2:29">
      <c r="B115" s="331"/>
      <c r="C115" s="331"/>
      <c r="D115" s="331"/>
      <c r="E115" s="331"/>
      <c r="F115" s="331"/>
      <c r="G115" s="331"/>
      <c r="H115" s="331"/>
      <c r="I115" s="331"/>
      <c r="J115" s="331"/>
      <c r="K115" s="331"/>
      <c r="L115" s="331"/>
      <c r="M115" s="331"/>
      <c r="N115" s="331"/>
      <c r="O115" s="331"/>
      <c r="P115" s="331"/>
      <c r="Q115" s="331"/>
      <c r="R115" s="331"/>
      <c r="S115" s="331"/>
      <c r="T115" s="331"/>
      <c r="U115" s="331"/>
      <c r="V115" s="331"/>
      <c r="W115" s="331"/>
      <c r="X115" s="331"/>
      <c r="Y115" s="331"/>
      <c r="Z115" s="331"/>
      <c r="AA115" s="331"/>
      <c r="AB115" s="331"/>
      <c r="AC115" s="331"/>
    </row>
    <row r="116" spans="2:29">
      <c r="B116" s="331"/>
      <c r="C116" s="331"/>
      <c r="D116" s="331"/>
      <c r="E116" s="331"/>
      <c r="F116" s="331"/>
      <c r="G116" s="331"/>
      <c r="H116" s="331"/>
      <c r="I116" s="331"/>
      <c r="J116" s="331"/>
      <c r="K116" s="331"/>
      <c r="L116" s="331"/>
      <c r="M116" s="331"/>
      <c r="N116" s="331"/>
      <c r="O116" s="331"/>
      <c r="P116" s="331"/>
      <c r="Q116" s="331"/>
      <c r="R116" s="331"/>
      <c r="S116" s="331"/>
      <c r="T116" s="331"/>
      <c r="U116" s="331"/>
      <c r="V116" s="331"/>
      <c r="W116" s="331"/>
      <c r="X116" s="331"/>
      <c r="Y116" s="331"/>
      <c r="Z116" s="331"/>
      <c r="AA116" s="331"/>
      <c r="AB116" s="331"/>
      <c r="AC116" s="331"/>
    </row>
    <row r="117" spans="2:29">
      <c r="B117" s="331"/>
      <c r="C117" s="331"/>
      <c r="D117" s="331"/>
      <c r="E117" s="331"/>
      <c r="F117" s="331"/>
      <c r="G117" s="331"/>
      <c r="H117" s="331"/>
      <c r="I117" s="331"/>
      <c r="J117" s="331"/>
      <c r="K117" s="331"/>
      <c r="L117" s="331"/>
      <c r="M117" s="331"/>
      <c r="N117" s="331"/>
      <c r="O117" s="331"/>
      <c r="P117" s="331"/>
      <c r="Q117" s="331"/>
      <c r="R117" s="331"/>
      <c r="S117" s="331"/>
      <c r="T117" s="331"/>
      <c r="U117" s="331"/>
      <c r="V117" s="331"/>
      <c r="W117" s="331"/>
      <c r="X117" s="331"/>
      <c r="Y117" s="331"/>
      <c r="Z117" s="331"/>
      <c r="AA117" s="331"/>
      <c r="AB117" s="331"/>
      <c r="AC117" s="331"/>
    </row>
    <row r="118" spans="2:29">
      <c r="B118" s="331"/>
      <c r="C118" s="331"/>
      <c r="D118" s="331"/>
      <c r="E118" s="331"/>
      <c r="F118" s="331"/>
      <c r="G118" s="331"/>
      <c r="H118" s="331"/>
      <c r="I118" s="331"/>
      <c r="J118" s="331"/>
      <c r="K118" s="331"/>
      <c r="L118" s="331"/>
      <c r="M118" s="331"/>
      <c r="N118" s="331"/>
      <c r="O118" s="331"/>
      <c r="P118" s="331"/>
      <c r="Q118" s="331"/>
      <c r="R118" s="331"/>
      <c r="S118" s="331"/>
      <c r="T118" s="331"/>
      <c r="U118" s="331"/>
      <c r="V118" s="331"/>
      <c r="W118" s="331"/>
      <c r="X118" s="331"/>
      <c r="Y118" s="331"/>
      <c r="Z118" s="331"/>
      <c r="AA118" s="331"/>
      <c r="AB118" s="331"/>
      <c r="AC118" s="331"/>
    </row>
    <row r="119" spans="2:29">
      <c r="B119" s="331"/>
      <c r="C119" s="331"/>
      <c r="D119" s="331"/>
      <c r="E119" s="331"/>
      <c r="F119" s="331"/>
      <c r="G119" s="331"/>
      <c r="H119" s="331"/>
      <c r="I119" s="331"/>
      <c r="J119" s="331"/>
      <c r="K119" s="331"/>
      <c r="L119" s="331"/>
      <c r="M119" s="331"/>
      <c r="N119" s="331"/>
      <c r="O119" s="331"/>
      <c r="P119" s="331"/>
      <c r="Q119" s="331"/>
      <c r="R119" s="331"/>
      <c r="S119" s="331"/>
      <c r="T119" s="331"/>
      <c r="U119" s="331"/>
      <c r="V119" s="331"/>
      <c r="W119" s="331"/>
      <c r="X119" s="331"/>
      <c r="Y119" s="331"/>
      <c r="Z119" s="331"/>
      <c r="AA119" s="331"/>
      <c r="AB119" s="331"/>
      <c r="AC119" s="331"/>
    </row>
    <row r="120" spans="2:29">
      <c r="B120" s="331"/>
      <c r="C120" s="331"/>
      <c r="D120" s="331"/>
      <c r="E120" s="331"/>
      <c r="F120" s="331"/>
      <c r="G120" s="331"/>
      <c r="H120" s="331"/>
      <c r="I120" s="331"/>
      <c r="J120" s="331"/>
      <c r="K120" s="331"/>
      <c r="L120" s="331"/>
      <c r="M120" s="331"/>
      <c r="N120" s="331"/>
      <c r="O120" s="331"/>
      <c r="P120" s="331"/>
      <c r="Q120" s="331"/>
      <c r="R120" s="331"/>
      <c r="S120" s="331"/>
      <c r="T120" s="331"/>
      <c r="U120" s="331"/>
      <c r="V120" s="331"/>
      <c r="W120" s="331"/>
      <c r="X120" s="331"/>
      <c r="Y120" s="331"/>
      <c r="Z120" s="331"/>
      <c r="AA120" s="331"/>
      <c r="AB120" s="331"/>
      <c r="AC120" s="331"/>
    </row>
    <row r="121" spans="2:29">
      <c r="B121" s="331"/>
      <c r="C121" s="331"/>
      <c r="D121" s="331"/>
      <c r="E121" s="331"/>
      <c r="F121" s="331"/>
      <c r="G121" s="331"/>
      <c r="H121" s="331"/>
      <c r="I121" s="331"/>
      <c r="J121" s="331"/>
      <c r="K121" s="331"/>
      <c r="L121" s="331"/>
      <c r="M121" s="331"/>
      <c r="N121" s="331"/>
      <c r="O121" s="331"/>
      <c r="P121" s="331"/>
      <c r="Q121" s="331"/>
      <c r="R121" s="331"/>
      <c r="S121" s="331"/>
      <c r="T121" s="331"/>
      <c r="U121" s="331"/>
      <c r="V121" s="331"/>
      <c r="W121" s="331"/>
      <c r="X121" s="331"/>
      <c r="Y121" s="331"/>
      <c r="Z121" s="331"/>
      <c r="AA121" s="331"/>
      <c r="AB121" s="331"/>
      <c r="AC121" s="331"/>
    </row>
    <row r="122" spans="2:29">
      <c r="B122" s="331"/>
      <c r="C122" s="331"/>
      <c r="D122" s="331"/>
      <c r="E122" s="331"/>
      <c r="F122" s="331"/>
      <c r="G122" s="331"/>
      <c r="H122" s="331"/>
      <c r="I122" s="331"/>
      <c r="J122" s="331"/>
      <c r="K122" s="331"/>
      <c r="L122" s="331"/>
      <c r="M122" s="331"/>
      <c r="N122" s="331"/>
      <c r="O122" s="331"/>
      <c r="P122" s="331"/>
      <c r="Q122" s="331"/>
      <c r="R122" s="331"/>
      <c r="S122" s="331"/>
      <c r="T122" s="331"/>
      <c r="U122" s="331"/>
      <c r="V122" s="331"/>
      <c r="W122" s="331"/>
      <c r="X122" s="331"/>
      <c r="Y122" s="331"/>
      <c r="Z122" s="331"/>
      <c r="AA122" s="331"/>
      <c r="AB122" s="331"/>
      <c r="AC122" s="331"/>
    </row>
    <row r="123" spans="2:29">
      <c r="B123" s="331"/>
      <c r="C123" s="331"/>
      <c r="D123" s="331"/>
      <c r="E123" s="331"/>
      <c r="F123" s="331"/>
      <c r="G123" s="331"/>
      <c r="H123" s="331"/>
      <c r="I123" s="331"/>
      <c r="J123" s="331"/>
      <c r="K123" s="331"/>
      <c r="L123" s="331"/>
      <c r="M123" s="331"/>
      <c r="N123" s="331"/>
      <c r="O123" s="331"/>
      <c r="P123" s="331"/>
      <c r="Q123" s="331"/>
      <c r="R123" s="331"/>
      <c r="S123" s="331"/>
      <c r="T123" s="331"/>
      <c r="U123" s="331"/>
      <c r="V123" s="331"/>
      <c r="W123" s="331"/>
      <c r="X123" s="331"/>
      <c r="Y123" s="331"/>
      <c r="Z123" s="331"/>
      <c r="AA123" s="331"/>
      <c r="AB123" s="331"/>
      <c r="AC123" s="331"/>
    </row>
    <row r="124" spans="2:29">
      <c r="B124" s="331"/>
      <c r="C124" s="331"/>
      <c r="D124" s="331"/>
      <c r="E124" s="331"/>
      <c r="F124" s="331"/>
      <c r="G124" s="331"/>
      <c r="H124" s="331"/>
      <c r="I124" s="331"/>
      <c r="J124" s="331"/>
      <c r="K124" s="331"/>
      <c r="L124" s="331"/>
      <c r="M124" s="331"/>
      <c r="N124" s="331"/>
      <c r="O124" s="331"/>
      <c r="P124" s="331"/>
      <c r="Q124" s="331"/>
      <c r="R124" s="331"/>
      <c r="S124" s="331"/>
      <c r="T124" s="331"/>
      <c r="U124" s="331"/>
      <c r="V124" s="331"/>
      <c r="W124" s="331"/>
      <c r="X124" s="331"/>
      <c r="Y124" s="331"/>
      <c r="Z124" s="331"/>
      <c r="AA124" s="331"/>
      <c r="AB124" s="331"/>
      <c r="AC124" s="331"/>
    </row>
    <row r="125" spans="2:29">
      <c r="B125" s="331"/>
      <c r="C125" s="331"/>
      <c r="D125" s="331"/>
      <c r="E125" s="331"/>
      <c r="F125" s="331"/>
      <c r="G125" s="331"/>
      <c r="H125" s="331"/>
      <c r="I125" s="331"/>
      <c r="J125" s="331"/>
      <c r="K125" s="331"/>
      <c r="L125" s="331"/>
      <c r="M125" s="331"/>
      <c r="N125" s="331"/>
      <c r="O125" s="331"/>
      <c r="P125" s="331"/>
      <c r="Q125" s="331"/>
      <c r="R125" s="331"/>
      <c r="S125" s="331"/>
      <c r="T125" s="331"/>
      <c r="U125" s="331"/>
      <c r="V125" s="331"/>
      <c r="W125" s="331"/>
      <c r="X125" s="331"/>
      <c r="Y125" s="331"/>
      <c r="Z125" s="331"/>
      <c r="AA125" s="331"/>
      <c r="AB125" s="331"/>
      <c r="AC125" s="331"/>
    </row>
    <row r="126" spans="2:29">
      <c r="B126" s="331"/>
      <c r="C126" s="331"/>
      <c r="D126" s="331"/>
      <c r="E126" s="331"/>
      <c r="F126" s="331"/>
      <c r="G126" s="331"/>
      <c r="H126" s="331"/>
      <c r="I126" s="331"/>
      <c r="J126" s="331"/>
      <c r="K126" s="331"/>
      <c r="L126" s="331"/>
      <c r="M126" s="331"/>
      <c r="N126" s="331"/>
      <c r="O126" s="331"/>
      <c r="P126" s="331"/>
      <c r="Q126" s="331"/>
      <c r="R126" s="331"/>
      <c r="S126" s="331"/>
      <c r="T126" s="331"/>
      <c r="U126" s="331"/>
      <c r="V126" s="331"/>
      <c r="W126" s="331"/>
      <c r="X126" s="331"/>
      <c r="Y126" s="331"/>
      <c r="Z126" s="331"/>
      <c r="AA126" s="331"/>
      <c r="AB126" s="331"/>
      <c r="AC126" s="331"/>
    </row>
    <row r="127" spans="2:29">
      <c r="B127" s="331"/>
      <c r="C127" s="331"/>
      <c r="D127" s="331"/>
      <c r="E127" s="331"/>
      <c r="F127" s="331"/>
      <c r="G127" s="331"/>
      <c r="H127" s="331"/>
      <c r="I127" s="331"/>
      <c r="J127" s="331"/>
      <c r="K127" s="331"/>
      <c r="L127" s="331"/>
      <c r="M127" s="331"/>
      <c r="N127" s="331"/>
      <c r="O127" s="331"/>
      <c r="P127" s="331"/>
      <c r="Q127" s="331"/>
      <c r="R127" s="331"/>
      <c r="S127" s="331"/>
      <c r="T127" s="331"/>
      <c r="U127" s="331"/>
      <c r="V127" s="331"/>
      <c r="W127" s="331"/>
      <c r="X127" s="331"/>
      <c r="Y127" s="331"/>
      <c r="Z127" s="331"/>
      <c r="AA127" s="331"/>
      <c r="AB127" s="331"/>
      <c r="AC127" s="331"/>
    </row>
    <row r="128" spans="2:29">
      <c r="B128" s="331"/>
      <c r="C128" s="331"/>
      <c r="D128" s="331"/>
      <c r="E128" s="331"/>
      <c r="F128" s="331"/>
      <c r="G128" s="331"/>
      <c r="H128" s="331"/>
      <c r="I128" s="331"/>
      <c r="J128" s="331"/>
      <c r="K128" s="331"/>
      <c r="L128" s="331"/>
      <c r="M128" s="331"/>
      <c r="N128" s="331"/>
      <c r="O128" s="331"/>
      <c r="P128" s="331"/>
      <c r="Q128" s="331"/>
      <c r="R128" s="331"/>
      <c r="S128" s="331"/>
      <c r="T128" s="331"/>
      <c r="U128" s="331"/>
      <c r="V128" s="331"/>
      <c r="W128" s="331"/>
      <c r="X128" s="331"/>
      <c r="Y128" s="331"/>
      <c r="Z128" s="331"/>
      <c r="AA128" s="331"/>
      <c r="AB128" s="331"/>
      <c r="AC128" s="331"/>
    </row>
    <row r="129" spans="2:29">
      <c r="B129" s="331"/>
      <c r="C129" s="331"/>
      <c r="D129" s="331"/>
      <c r="E129" s="331"/>
      <c r="F129" s="331"/>
      <c r="G129" s="331"/>
      <c r="H129" s="331"/>
      <c r="I129" s="331"/>
      <c r="J129" s="331"/>
      <c r="K129" s="331"/>
      <c r="L129" s="331"/>
      <c r="M129" s="331"/>
      <c r="N129" s="331"/>
      <c r="O129" s="331"/>
      <c r="P129" s="331"/>
      <c r="Q129" s="331"/>
      <c r="R129" s="331"/>
      <c r="S129" s="331"/>
      <c r="T129" s="331"/>
      <c r="U129" s="331"/>
      <c r="V129" s="331"/>
      <c r="W129" s="331"/>
      <c r="X129" s="331"/>
      <c r="Y129" s="331"/>
      <c r="Z129" s="331"/>
      <c r="AA129" s="331"/>
      <c r="AB129" s="331"/>
      <c r="AC129" s="331"/>
    </row>
    <row r="130" spans="2:29">
      <c r="B130" s="331"/>
      <c r="C130" s="331"/>
      <c r="D130" s="331"/>
      <c r="E130" s="331"/>
      <c r="F130" s="331"/>
      <c r="G130" s="331"/>
      <c r="H130" s="331"/>
      <c r="I130" s="331"/>
      <c r="J130" s="331"/>
      <c r="K130" s="331"/>
      <c r="L130" s="331"/>
      <c r="M130" s="331"/>
      <c r="N130" s="331"/>
      <c r="O130" s="331"/>
      <c r="P130" s="331"/>
      <c r="Q130" s="331"/>
      <c r="R130" s="331"/>
      <c r="S130" s="331"/>
      <c r="T130" s="331"/>
      <c r="U130" s="331"/>
      <c r="V130" s="331"/>
      <c r="W130" s="331"/>
      <c r="X130" s="331"/>
      <c r="Y130" s="331"/>
      <c r="Z130" s="331"/>
      <c r="AA130" s="331"/>
      <c r="AB130" s="331"/>
      <c r="AC130" s="331"/>
    </row>
    <row r="131" spans="2:29">
      <c r="B131" s="331"/>
      <c r="C131" s="331"/>
      <c r="D131" s="331"/>
      <c r="E131" s="331"/>
      <c r="F131" s="331"/>
      <c r="G131" s="331"/>
      <c r="H131" s="331"/>
      <c r="I131" s="331"/>
      <c r="J131" s="331"/>
      <c r="K131" s="331"/>
      <c r="L131" s="331"/>
      <c r="M131" s="331"/>
      <c r="N131" s="331"/>
      <c r="O131" s="331"/>
      <c r="P131" s="331"/>
      <c r="Q131" s="331"/>
      <c r="R131" s="331"/>
      <c r="S131" s="331"/>
      <c r="T131" s="331"/>
      <c r="U131" s="331"/>
      <c r="V131" s="331"/>
      <c r="W131" s="331"/>
      <c r="X131" s="331"/>
      <c r="Y131" s="331"/>
      <c r="Z131" s="331"/>
      <c r="AA131" s="331"/>
      <c r="AB131" s="331"/>
      <c r="AC131" s="331"/>
    </row>
    <row r="132" spans="2:29">
      <c r="B132" s="331"/>
      <c r="C132" s="331"/>
      <c r="D132" s="331"/>
      <c r="E132" s="331"/>
      <c r="F132" s="331"/>
      <c r="G132" s="331"/>
      <c r="H132" s="331"/>
      <c r="I132" s="331"/>
      <c r="J132" s="331"/>
      <c r="K132" s="331"/>
      <c r="L132" s="331"/>
      <c r="M132" s="331"/>
      <c r="N132" s="331"/>
      <c r="O132" s="331"/>
      <c r="P132" s="331"/>
      <c r="Q132" s="331"/>
      <c r="R132" s="331"/>
      <c r="S132" s="331"/>
      <c r="T132" s="331"/>
      <c r="U132" s="331"/>
      <c r="V132" s="331"/>
      <c r="W132" s="331"/>
      <c r="X132" s="331"/>
      <c r="Y132" s="331"/>
      <c r="Z132" s="331"/>
      <c r="AA132" s="331"/>
      <c r="AB132" s="331"/>
      <c r="AC132" s="331"/>
    </row>
    <row r="133" spans="2:29">
      <c r="B133" s="331"/>
      <c r="C133" s="331"/>
      <c r="D133" s="331"/>
      <c r="E133" s="331"/>
      <c r="F133" s="331"/>
      <c r="G133" s="331"/>
      <c r="H133" s="331"/>
      <c r="I133" s="331"/>
      <c r="J133" s="331"/>
      <c r="K133" s="331"/>
      <c r="L133" s="331"/>
      <c r="M133" s="331"/>
      <c r="N133" s="331"/>
      <c r="O133" s="331"/>
      <c r="P133" s="331"/>
      <c r="Q133" s="331"/>
      <c r="R133" s="331"/>
      <c r="S133" s="331"/>
      <c r="T133" s="331"/>
      <c r="U133" s="331"/>
      <c r="V133" s="331"/>
      <c r="W133" s="331"/>
      <c r="X133" s="331"/>
      <c r="Y133" s="331"/>
      <c r="Z133" s="331"/>
      <c r="AA133" s="331"/>
      <c r="AB133" s="331"/>
      <c r="AC133" s="331"/>
    </row>
    <row r="134" spans="2:29">
      <c r="B134" s="331"/>
      <c r="C134" s="331"/>
      <c r="D134" s="331"/>
      <c r="E134" s="331"/>
      <c r="F134" s="331"/>
      <c r="G134" s="331"/>
      <c r="H134" s="331"/>
      <c r="I134" s="331"/>
      <c r="J134" s="331"/>
      <c r="K134" s="331"/>
      <c r="L134" s="331"/>
      <c r="M134" s="331"/>
      <c r="N134" s="331"/>
      <c r="O134" s="331"/>
      <c r="P134" s="331"/>
      <c r="Q134" s="331"/>
      <c r="R134" s="331"/>
      <c r="S134" s="331"/>
      <c r="T134" s="331"/>
      <c r="U134" s="331"/>
      <c r="V134" s="331"/>
      <c r="W134" s="331"/>
      <c r="X134" s="331"/>
      <c r="Y134" s="331"/>
      <c r="Z134" s="331"/>
      <c r="AA134" s="331"/>
      <c r="AB134" s="331"/>
      <c r="AC134" s="331"/>
    </row>
    <row r="135" spans="2:29">
      <c r="B135" s="331"/>
      <c r="C135" s="331"/>
      <c r="D135" s="331"/>
      <c r="E135" s="331"/>
      <c r="F135" s="331"/>
      <c r="G135" s="331"/>
      <c r="H135" s="331"/>
      <c r="I135" s="331"/>
      <c r="J135" s="331"/>
      <c r="K135" s="331"/>
      <c r="L135" s="331"/>
      <c r="M135" s="331"/>
      <c r="N135" s="331"/>
      <c r="O135" s="331"/>
      <c r="P135" s="331"/>
      <c r="Q135" s="331"/>
      <c r="R135" s="331"/>
      <c r="S135" s="331"/>
      <c r="T135" s="331"/>
      <c r="U135" s="331"/>
      <c r="V135" s="331"/>
      <c r="W135" s="331"/>
      <c r="X135" s="331"/>
      <c r="Y135" s="331"/>
      <c r="Z135" s="331"/>
      <c r="AA135" s="331"/>
      <c r="AB135" s="331"/>
      <c r="AC135" s="331"/>
    </row>
    <row r="136" spans="2:29">
      <c r="B136" s="331"/>
      <c r="C136" s="331"/>
      <c r="D136" s="331"/>
      <c r="E136" s="331"/>
      <c r="F136" s="331"/>
      <c r="G136" s="331"/>
      <c r="H136" s="331"/>
      <c r="I136" s="331"/>
      <c r="J136" s="331"/>
      <c r="K136" s="331"/>
      <c r="L136" s="331"/>
      <c r="M136" s="331"/>
      <c r="N136" s="331"/>
      <c r="O136" s="331"/>
      <c r="P136" s="331"/>
      <c r="Q136" s="331"/>
      <c r="R136" s="331"/>
      <c r="S136" s="331"/>
      <c r="T136" s="331"/>
      <c r="U136" s="331"/>
      <c r="V136" s="331"/>
      <c r="W136" s="331"/>
      <c r="X136" s="331"/>
      <c r="Y136" s="331"/>
      <c r="Z136" s="331"/>
      <c r="AA136" s="331"/>
      <c r="AB136" s="331"/>
      <c r="AC136" s="331"/>
    </row>
    <row r="137" spans="2:29">
      <c r="B137" s="331"/>
      <c r="C137" s="331"/>
      <c r="D137" s="331"/>
      <c r="E137" s="331"/>
      <c r="F137" s="331"/>
      <c r="G137" s="331"/>
      <c r="H137" s="331"/>
      <c r="I137" s="331"/>
      <c r="J137" s="331"/>
      <c r="K137" s="331"/>
      <c r="L137" s="331"/>
      <c r="M137" s="331"/>
      <c r="N137" s="331"/>
      <c r="O137" s="331"/>
      <c r="P137" s="331"/>
      <c r="Q137" s="331"/>
      <c r="R137" s="331"/>
      <c r="S137" s="331"/>
      <c r="T137" s="331"/>
      <c r="U137" s="331"/>
      <c r="V137" s="331"/>
      <c r="W137" s="331"/>
      <c r="X137" s="331"/>
      <c r="Y137" s="331"/>
      <c r="Z137" s="331"/>
      <c r="AA137" s="331"/>
      <c r="AB137" s="331"/>
      <c r="AC137" s="331"/>
    </row>
    <row r="138" spans="2:29">
      <c r="B138" s="331"/>
      <c r="C138" s="331"/>
      <c r="D138" s="331"/>
      <c r="E138" s="331"/>
      <c r="F138" s="331"/>
      <c r="G138" s="331"/>
      <c r="H138" s="331"/>
      <c r="I138" s="331"/>
      <c r="J138" s="331"/>
      <c r="K138" s="331"/>
      <c r="L138" s="331"/>
      <c r="M138" s="331"/>
      <c r="N138" s="331"/>
      <c r="O138" s="331"/>
      <c r="P138" s="331"/>
      <c r="Q138" s="331"/>
      <c r="R138" s="331"/>
      <c r="S138" s="331"/>
      <c r="T138" s="331"/>
      <c r="U138" s="331"/>
      <c r="V138" s="331"/>
      <c r="W138" s="331"/>
      <c r="X138" s="331"/>
      <c r="Y138" s="331"/>
      <c r="Z138" s="331"/>
      <c r="AA138" s="331"/>
      <c r="AB138" s="331"/>
      <c r="AC138" s="331"/>
    </row>
    <row r="139" spans="2:29">
      <c r="B139" s="331"/>
      <c r="C139" s="331"/>
      <c r="D139" s="331"/>
      <c r="E139" s="331"/>
      <c r="F139" s="331"/>
      <c r="G139" s="331"/>
      <c r="H139" s="331"/>
      <c r="I139" s="331"/>
      <c r="J139" s="331"/>
      <c r="K139" s="331"/>
      <c r="L139" s="331"/>
      <c r="M139" s="331"/>
      <c r="N139" s="331"/>
      <c r="O139" s="331"/>
      <c r="P139" s="331"/>
      <c r="Q139" s="331"/>
      <c r="R139" s="331"/>
      <c r="S139" s="331"/>
      <c r="T139" s="331"/>
      <c r="U139" s="331"/>
      <c r="V139" s="331"/>
      <c r="W139" s="331"/>
      <c r="X139" s="331"/>
      <c r="Y139" s="331"/>
      <c r="Z139" s="331"/>
      <c r="AA139" s="331"/>
      <c r="AB139" s="331"/>
      <c r="AC139" s="331"/>
    </row>
    <row r="140" spans="2:29">
      <c r="B140" s="331"/>
      <c r="C140" s="331"/>
      <c r="D140" s="331"/>
      <c r="E140" s="331"/>
      <c r="F140" s="331"/>
      <c r="G140" s="331"/>
      <c r="H140" s="331"/>
      <c r="I140" s="331"/>
      <c r="J140" s="331"/>
      <c r="K140" s="331"/>
      <c r="L140" s="331"/>
      <c r="M140" s="331"/>
      <c r="N140" s="331"/>
      <c r="O140" s="331"/>
      <c r="P140" s="331"/>
      <c r="Q140" s="331"/>
      <c r="R140" s="331"/>
      <c r="S140" s="331"/>
      <c r="T140" s="331"/>
      <c r="U140" s="331"/>
      <c r="V140" s="331"/>
      <c r="W140" s="331"/>
      <c r="X140" s="331"/>
      <c r="Y140" s="331"/>
      <c r="Z140" s="331"/>
      <c r="AA140" s="331"/>
      <c r="AB140" s="331"/>
      <c r="AC140" s="331"/>
    </row>
    <row r="141" spans="2:29">
      <c r="B141" s="331"/>
      <c r="C141" s="331"/>
      <c r="D141" s="331"/>
      <c r="E141" s="331"/>
      <c r="F141" s="331"/>
      <c r="G141" s="331"/>
      <c r="H141" s="331"/>
      <c r="I141" s="331"/>
      <c r="J141" s="331"/>
      <c r="K141" s="331"/>
      <c r="L141" s="331"/>
      <c r="M141" s="331"/>
      <c r="N141" s="331"/>
      <c r="O141" s="331"/>
      <c r="P141" s="331"/>
      <c r="Q141" s="331"/>
      <c r="R141" s="331"/>
      <c r="S141" s="331"/>
      <c r="T141" s="331"/>
      <c r="U141" s="331"/>
      <c r="V141" s="331"/>
      <c r="W141" s="331"/>
      <c r="X141" s="331"/>
      <c r="Y141" s="331"/>
      <c r="Z141" s="331"/>
      <c r="AA141" s="331"/>
      <c r="AB141" s="331"/>
      <c r="AC141" s="331"/>
    </row>
    <row r="142" spans="2:29">
      <c r="B142" s="331"/>
      <c r="C142" s="331"/>
      <c r="D142" s="331"/>
      <c r="E142" s="331"/>
      <c r="F142" s="331"/>
      <c r="G142" s="331"/>
      <c r="H142" s="331"/>
      <c r="I142" s="331"/>
      <c r="J142" s="331"/>
      <c r="K142" s="331"/>
      <c r="L142" s="331"/>
      <c r="M142" s="331"/>
      <c r="N142" s="331"/>
      <c r="O142" s="331"/>
      <c r="P142" s="331"/>
      <c r="Q142" s="331"/>
      <c r="R142" s="331"/>
      <c r="S142" s="331"/>
      <c r="T142" s="331"/>
      <c r="U142" s="331"/>
      <c r="V142" s="331"/>
      <c r="W142" s="331"/>
      <c r="X142" s="331"/>
      <c r="Y142" s="331"/>
      <c r="Z142" s="331"/>
      <c r="AA142" s="331"/>
      <c r="AB142" s="331"/>
      <c r="AC142" s="331"/>
    </row>
    <row r="143" spans="2:29">
      <c r="B143" s="331"/>
      <c r="C143" s="331"/>
      <c r="D143" s="331"/>
      <c r="E143" s="331"/>
      <c r="F143" s="331"/>
      <c r="G143" s="331"/>
      <c r="H143" s="331"/>
      <c r="I143" s="331"/>
      <c r="J143" s="331"/>
      <c r="K143" s="331"/>
      <c r="L143" s="331"/>
      <c r="M143" s="331"/>
      <c r="N143" s="331"/>
      <c r="O143" s="331"/>
      <c r="P143" s="331"/>
      <c r="Q143" s="331"/>
      <c r="R143" s="331"/>
      <c r="S143" s="331"/>
      <c r="T143" s="331"/>
      <c r="U143" s="331"/>
      <c r="V143" s="331"/>
      <c r="W143" s="331"/>
      <c r="X143" s="331"/>
      <c r="Y143" s="331"/>
      <c r="Z143" s="331"/>
      <c r="AA143" s="331"/>
      <c r="AB143" s="331"/>
      <c r="AC143" s="331"/>
    </row>
    <row r="144" spans="2:29">
      <c r="B144" s="331"/>
      <c r="C144" s="331"/>
      <c r="D144" s="331"/>
      <c r="E144" s="331"/>
      <c r="F144" s="331"/>
      <c r="G144" s="331"/>
      <c r="H144" s="331"/>
      <c r="I144" s="331"/>
      <c r="J144" s="331"/>
      <c r="K144" s="331"/>
      <c r="L144" s="331"/>
      <c r="M144" s="331"/>
      <c r="N144" s="331"/>
      <c r="O144" s="331"/>
      <c r="P144" s="331"/>
      <c r="Q144" s="331"/>
      <c r="R144" s="331"/>
      <c r="S144" s="331"/>
      <c r="T144" s="331"/>
      <c r="U144" s="331"/>
      <c r="V144" s="331"/>
      <c r="W144" s="331"/>
      <c r="X144" s="331"/>
      <c r="Y144" s="331"/>
      <c r="Z144" s="331"/>
      <c r="AA144" s="331"/>
      <c r="AB144" s="331"/>
      <c r="AC144" s="331"/>
    </row>
    <row r="145" spans="2:29">
      <c r="B145" s="331"/>
      <c r="C145" s="331"/>
      <c r="D145" s="331"/>
      <c r="E145" s="331"/>
      <c r="F145" s="331"/>
      <c r="G145" s="331"/>
      <c r="H145" s="331"/>
      <c r="I145" s="331"/>
      <c r="J145" s="331"/>
      <c r="K145" s="331"/>
      <c r="L145" s="331"/>
      <c r="M145" s="331"/>
      <c r="N145" s="331"/>
      <c r="O145" s="331"/>
      <c r="P145" s="331"/>
      <c r="Q145" s="331"/>
      <c r="R145" s="331"/>
      <c r="S145" s="331"/>
      <c r="T145" s="331"/>
      <c r="U145" s="331"/>
      <c r="V145" s="331"/>
      <c r="W145" s="331"/>
      <c r="X145" s="331"/>
      <c r="Y145" s="331"/>
      <c r="Z145" s="331"/>
      <c r="AA145" s="331"/>
      <c r="AB145" s="331"/>
      <c r="AC145" s="331"/>
    </row>
    <row r="146" spans="2:29">
      <c r="B146" s="331"/>
      <c r="C146" s="331"/>
      <c r="D146" s="331"/>
      <c r="E146" s="331"/>
      <c r="F146" s="331"/>
      <c r="G146" s="331"/>
      <c r="H146" s="331"/>
      <c r="I146" s="331"/>
      <c r="J146" s="331"/>
      <c r="K146" s="331"/>
      <c r="L146" s="331"/>
      <c r="M146" s="331"/>
      <c r="N146" s="331"/>
      <c r="O146" s="331"/>
      <c r="P146" s="331"/>
      <c r="Q146" s="331"/>
      <c r="R146" s="331"/>
      <c r="S146" s="331"/>
      <c r="T146" s="331"/>
      <c r="U146" s="331"/>
      <c r="V146" s="331"/>
      <c r="W146" s="331"/>
      <c r="X146" s="331"/>
      <c r="Y146" s="331"/>
      <c r="Z146" s="331"/>
      <c r="AA146" s="331"/>
      <c r="AB146" s="331"/>
      <c r="AC146" s="331"/>
    </row>
    <row r="147" spans="2:29">
      <c r="B147" s="331"/>
      <c r="C147" s="331"/>
      <c r="D147" s="331"/>
      <c r="E147" s="331"/>
      <c r="F147" s="331"/>
      <c r="G147" s="331"/>
      <c r="H147" s="331"/>
      <c r="I147" s="331"/>
      <c r="J147" s="331"/>
      <c r="K147" s="331"/>
      <c r="L147" s="331"/>
      <c r="M147" s="331"/>
      <c r="N147" s="331"/>
      <c r="O147" s="331"/>
      <c r="P147" s="331"/>
      <c r="Q147" s="331"/>
      <c r="R147" s="331"/>
      <c r="S147" s="331"/>
      <c r="T147" s="331"/>
      <c r="U147" s="331"/>
      <c r="V147" s="331"/>
      <c r="W147" s="331"/>
      <c r="X147" s="331"/>
      <c r="Y147" s="331"/>
      <c r="Z147" s="331"/>
      <c r="AA147" s="331"/>
      <c r="AB147" s="331"/>
      <c r="AC147" s="331"/>
    </row>
    <row r="148" spans="2:29">
      <c r="B148" s="331"/>
      <c r="C148" s="331"/>
      <c r="D148" s="331"/>
      <c r="E148" s="331"/>
      <c r="F148" s="331"/>
      <c r="G148" s="331"/>
      <c r="H148" s="331"/>
      <c r="I148" s="331"/>
      <c r="J148" s="331"/>
      <c r="K148" s="331"/>
      <c r="L148" s="331"/>
      <c r="M148" s="331"/>
      <c r="N148" s="331"/>
      <c r="O148" s="331"/>
      <c r="P148" s="331"/>
      <c r="Q148" s="331"/>
      <c r="R148" s="331"/>
      <c r="S148" s="331"/>
      <c r="T148" s="331"/>
      <c r="U148" s="331"/>
      <c r="V148" s="331"/>
      <c r="W148" s="331"/>
      <c r="X148" s="331"/>
      <c r="Y148" s="331"/>
      <c r="Z148" s="331"/>
      <c r="AA148" s="331"/>
      <c r="AB148" s="331"/>
      <c r="AC148" s="331"/>
    </row>
    <row r="149" spans="2:29">
      <c r="B149" s="331"/>
      <c r="C149" s="331"/>
      <c r="D149" s="331"/>
      <c r="E149" s="331"/>
      <c r="F149" s="331"/>
      <c r="G149" s="331"/>
      <c r="H149" s="331"/>
      <c r="I149" s="331"/>
      <c r="J149" s="331"/>
      <c r="K149" s="331"/>
      <c r="L149" s="331"/>
      <c r="M149" s="331"/>
      <c r="N149" s="331"/>
      <c r="O149" s="331"/>
      <c r="P149" s="331"/>
      <c r="Q149" s="331"/>
      <c r="R149" s="331"/>
      <c r="S149" s="331"/>
      <c r="T149" s="331"/>
      <c r="U149" s="331"/>
      <c r="V149" s="331"/>
      <c r="W149" s="331"/>
      <c r="X149" s="331"/>
      <c r="Y149" s="331"/>
      <c r="Z149" s="331"/>
      <c r="AA149" s="331"/>
      <c r="AB149" s="331"/>
      <c r="AC149" s="331"/>
    </row>
    <row r="150" spans="2:29">
      <c r="B150" s="331"/>
      <c r="C150" s="331"/>
      <c r="D150" s="331"/>
      <c r="E150" s="331"/>
      <c r="F150" s="331"/>
      <c r="G150" s="331"/>
      <c r="H150" s="331"/>
      <c r="I150" s="331"/>
      <c r="J150" s="331"/>
      <c r="K150" s="331"/>
      <c r="L150" s="331"/>
      <c r="M150" s="331"/>
      <c r="N150" s="331"/>
      <c r="O150" s="331"/>
      <c r="P150" s="331"/>
      <c r="Q150" s="331"/>
      <c r="R150" s="331"/>
      <c r="S150" s="331"/>
      <c r="T150" s="331"/>
      <c r="U150" s="331"/>
      <c r="V150" s="331"/>
      <c r="W150" s="331"/>
      <c r="X150" s="331"/>
      <c r="Y150" s="331"/>
      <c r="Z150" s="331"/>
      <c r="AA150" s="331"/>
      <c r="AB150" s="331"/>
      <c r="AC150" s="331"/>
    </row>
    <row r="151" spans="2:29">
      <c r="B151" s="331"/>
      <c r="C151" s="331"/>
      <c r="D151" s="331"/>
      <c r="E151" s="331"/>
      <c r="F151" s="331"/>
      <c r="G151" s="331"/>
      <c r="H151" s="331"/>
      <c r="I151" s="331"/>
      <c r="J151" s="331"/>
      <c r="K151" s="331"/>
      <c r="L151" s="331"/>
      <c r="M151" s="331"/>
      <c r="N151" s="331"/>
      <c r="O151" s="331"/>
      <c r="P151" s="331"/>
      <c r="Q151" s="331"/>
      <c r="R151" s="331"/>
      <c r="S151" s="331"/>
      <c r="T151" s="331"/>
      <c r="U151" s="331"/>
      <c r="V151" s="331"/>
      <c r="W151" s="331"/>
      <c r="X151" s="331"/>
      <c r="Y151" s="331"/>
      <c r="Z151" s="331"/>
      <c r="AA151" s="331"/>
      <c r="AB151" s="331"/>
      <c r="AC151" s="331"/>
    </row>
    <row r="152" spans="2:29">
      <c r="B152" s="331"/>
      <c r="C152" s="331"/>
      <c r="D152" s="331"/>
      <c r="E152" s="331"/>
      <c r="F152" s="331"/>
      <c r="G152" s="331"/>
      <c r="H152" s="331"/>
      <c r="I152" s="331"/>
      <c r="J152" s="331"/>
      <c r="K152" s="331"/>
      <c r="L152" s="331"/>
      <c r="M152" s="331"/>
      <c r="N152" s="331"/>
      <c r="O152" s="331"/>
      <c r="P152" s="331"/>
      <c r="Q152" s="331"/>
      <c r="R152" s="331"/>
      <c r="S152" s="331"/>
      <c r="T152" s="331"/>
      <c r="U152" s="331"/>
      <c r="V152" s="331"/>
      <c r="W152" s="331"/>
      <c r="X152" s="331"/>
      <c r="Y152" s="331"/>
      <c r="Z152" s="331"/>
      <c r="AA152" s="331"/>
      <c r="AB152" s="331"/>
      <c r="AC152" s="331"/>
    </row>
    <row r="153" spans="2:29">
      <c r="B153" s="331"/>
      <c r="C153" s="331"/>
      <c r="D153" s="331"/>
      <c r="E153" s="331"/>
      <c r="F153" s="331"/>
      <c r="G153" s="331"/>
      <c r="H153" s="331"/>
      <c r="I153" s="331"/>
      <c r="J153" s="331"/>
      <c r="K153" s="331"/>
      <c r="L153" s="331"/>
      <c r="M153" s="331"/>
      <c r="N153" s="331"/>
      <c r="O153" s="331"/>
      <c r="P153" s="331"/>
      <c r="Q153" s="331"/>
      <c r="R153" s="331"/>
      <c r="S153" s="331"/>
      <c r="T153" s="331"/>
      <c r="U153" s="331"/>
      <c r="V153" s="331"/>
      <c r="W153" s="331"/>
      <c r="X153" s="331"/>
      <c r="Y153" s="331"/>
      <c r="Z153" s="331"/>
      <c r="AA153" s="331"/>
      <c r="AB153" s="331"/>
      <c r="AC153" s="331"/>
    </row>
  </sheetData>
  <mergeCells count="5">
    <mergeCell ref="AA44:AC44"/>
    <mergeCell ref="Q41:AC41"/>
    <mergeCell ref="B41:E41"/>
    <mergeCell ref="B42:F42"/>
    <mergeCell ref="Y42:AC42"/>
  </mergeCells>
  <hyperlinks>
    <hyperlink ref="B41" r:id="rId1" display="Template created by Christoph Janz"/>
    <hyperlink ref="B42" r:id="rId2"/>
    <hyperlink ref="C42" r:id="rId3" display="http://www.theangelvc.net/2016/03/saas-financial-plan-20.html"/>
    <hyperlink ref="D42" r:id="rId4" display="http://www.theangelvc.net/2016/03/saas-financial-plan-20.html"/>
    <hyperlink ref="E42" r:id="rId5" display="http://www.theangelvc.net/2016/03/saas-financial-plan-20.html"/>
    <hyperlink ref="F42" r:id="rId6" display="http://www.theangelvc.net/2016/03/saas-financial-plan-20.html"/>
  </hyperlinks>
  <pageMargins left="0.75" right="0.75" top="1" bottom="1" header="0.5" footer="0.5"/>
  <pageSetup paperSize="9" orientation="portrait" horizontalDpi="4294967292" verticalDpi="4294967292"/>
  <drawing r:id="rId7"/>
  <legacyDrawing r:id="rId8"/>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BA316"/>
  <sheetViews>
    <sheetView topLeftCell="A6" zoomScale="125" zoomScaleNormal="125" zoomScalePageLayoutView="125" workbookViewId="0">
      <selection activeCell="L24" sqref="L24"/>
    </sheetView>
  </sheetViews>
  <sheetFormatPr baseColWidth="10" defaultColWidth="9.1640625" defaultRowHeight="12" x14ac:dyDescent="0"/>
  <cols>
    <col min="1" max="1" width="1.6640625" style="7" customWidth="1"/>
    <col min="2" max="2" width="1.5" style="5" customWidth="1"/>
    <col min="3" max="3" width="19.6640625" style="97" customWidth="1"/>
    <col min="4" max="4" width="15.6640625" style="97" customWidth="1"/>
    <col min="5" max="5" width="11.83203125" style="98" customWidth="1"/>
    <col min="6" max="6" width="1.5" style="98" customWidth="1"/>
    <col min="7" max="7" width="1.83203125" style="5" customWidth="1"/>
    <col min="8" max="8" width="46.1640625" style="5" customWidth="1"/>
    <col min="9" max="9" width="13.5" style="100" customWidth="1"/>
    <col min="10" max="21" width="13.5" style="5" customWidth="1"/>
    <col min="22" max="30" width="13.5" style="7" customWidth="1"/>
    <col min="31" max="34" width="13.5" style="5" customWidth="1"/>
    <col min="35" max="41" width="9.1640625" style="7"/>
    <col min="42" max="16384" width="9.1640625" style="5"/>
  </cols>
  <sheetData>
    <row r="1" spans="1:41" s="1" customFormat="1" ht="13" thickBot="1">
      <c r="A1" s="4"/>
      <c r="C1" s="2"/>
      <c r="D1" s="2"/>
      <c r="E1" s="3"/>
      <c r="F1" s="3"/>
      <c r="H1" s="391"/>
      <c r="V1" s="4"/>
      <c r="W1" s="4"/>
      <c r="X1" s="4"/>
      <c r="Y1" s="4"/>
      <c r="Z1" s="4"/>
      <c r="AA1" s="4"/>
      <c r="AB1" s="4"/>
      <c r="AC1" s="4"/>
      <c r="AD1" s="4"/>
      <c r="AI1" s="4"/>
      <c r="AJ1" s="4"/>
      <c r="AK1" s="4"/>
      <c r="AL1" s="4"/>
      <c r="AM1" s="4"/>
      <c r="AN1" s="4"/>
      <c r="AO1" s="4"/>
    </row>
    <row r="2" spans="1:41" ht="13" thickBot="1">
      <c r="B2" s="549" t="s">
        <v>0</v>
      </c>
      <c r="C2" s="550"/>
      <c r="D2" s="550"/>
      <c r="E2" s="550"/>
      <c r="F2" s="551"/>
      <c r="G2" s="6"/>
      <c r="H2" s="7"/>
      <c r="I2" s="8">
        <v>42370</v>
      </c>
      <c r="J2" s="9">
        <v>42401</v>
      </c>
      <c r="K2" s="9">
        <v>42430</v>
      </c>
      <c r="L2" s="9">
        <v>42461</v>
      </c>
      <c r="M2" s="9">
        <v>42491</v>
      </c>
      <c r="N2" s="9">
        <v>42522</v>
      </c>
      <c r="O2" s="9">
        <v>42552</v>
      </c>
      <c r="P2" s="9">
        <v>42583</v>
      </c>
      <c r="Q2" s="9">
        <v>42614</v>
      </c>
      <c r="R2" s="9">
        <v>42644</v>
      </c>
      <c r="S2" s="9">
        <v>42675</v>
      </c>
      <c r="T2" s="10">
        <v>42705</v>
      </c>
      <c r="U2" s="192" t="s">
        <v>1</v>
      </c>
      <c r="V2" s="8">
        <v>42736</v>
      </c>
      <c r="W2" s="9">
        <v>42767</v>
      </c>
      <c r="X2" s="9">
        <v>42795</v>
      </c>
      <c r="Y2" s="9">
        <v>42826</v>
      </c>
      <c r="Z2" s="9">
        <v>42856</v>
      </c>
      <c r="AA2" s="9">
        <v>42887</v>
      </c>
      <c r="AB2" s="9">
        <v>42917</v>
      </c>
      <c r="AC2" s="9">
        <v>42948</v>
      </c>
      <c r="AD2" s="9">
        <v>42979</v>
      </c>
      <c r="AE2" s="9">
        <v>43009</v>
      </c>
      <c r="AF2" s="9">
        <v>43040</v>
      </c>
      <c r="AG2" s="10">
        <v>43070</v>
      </c>
      <c r="AH2" s="192" t="s">
        <v>2</v>
      </c>
    </row>
    <row r="3" spans="1:41">
      <c r="B3" s="552"/>
      <c r="C3" s="553"/>
      <c r="D3" s="553"/>
      <c r="E3" s="553"/>
      <c r="F3" s="554"/>
      <c r="G3" s="7"/>
      <c r="H3" s="11"/>
      <c r="I3" s="12"/>
      <c r="J3" s="12"/>
      <c r="K3" s="12"/>
      <c r="L3" s="12"/>
      <c r="M3" s="12"/>
      <c r="N3" s="12"/>
      <c r="O3" s="12"/>
      <c r="P3" s="12"/>
      <c r="Q3" s="12"/>
      <c r="R3" s="12"/>
      <c r="S3" s="12"/>
      <c r="T3" s="12"/>
      <c r="U3" s="12"/>
      <c r="V3" s="12"/>
      <c r="W3" s="12"/>
      <c r="X3" s="12"/>
      <c r="Y3" s="12"/>
      <c r="Z3" s="12"/>
      <c r="AA3" s="12"/>
      <c r="AB3" s="12"/>
      <c r="AC3" s="12"/>
      <c r="AD3" s="12"/>
      <c r="AE3" s="12"/>
      <c r="AF3" s="12"/>
      <c r="AG3" s="12"/>
      <c r="AH3" s="12"/>
    </row>
    <row r="4" spans="1:41">
      <c r="B4" s="13"/>
      <c r="C4" s="14"/>
      <c r="D4" s="14"/>
      <c r="E4" s="15"/>
      <c r="F4" s="16"/>
      <c r="G4" s="17"/>
      <c r="H4" s="385" t="s">
        <v>3</v>
      </c>
      <c r="I4" s="18"/>
      <c r="J4" s="19"/>
      <c r="K4" s="19"/>
      <c r="L4" s="19"/>
      <c r="M4" s="19"/>
      <c r="N4" s="19"/>
      <c r="O4" s="19"/>
      <c r="P4" s="19"/>
      <c r="Q4" s="19"/>
      <c r="R4" s="19"/>
      <c r="S4" s="19"/>
      <c r="T4" s="20"/>
      <c r="U4" s="20"/>
      <c r="V4" s="18"/>
      <c r="W4" s="19"/>
      <c r="X4" s="19"/>
      <c r="Y4" s="19"/>
      <c r="Z4" s="19"/>
      <c r="AA4" s="19"/>
      <c r="AB4" s="19"/>
      <c r="AC4" s="19"/>
      <c r="AD4" s="19"/>
      <c r="AE4" s="19"/>
      <c r="AF4" s="19"/>
      <c r="AG4" s="20"/>
      <c r="AH4" s="20"/>
    </row>
    <row r="5" spans="1:41">
      <c r="B5" s="21"/>
      <c r="C5" s="22"/>
      <c r="D5" s="22"/>
      <c r="E5" s="23"/>
      <c r="F5" s="24"/>
      <c r="G5" s="17"/>
      <c r="H5" s="93"/>
      <c r="I5" s="25"/>
      <c r="J5" s="7"/>
      <c r="K5" s="7"/>
      <c r="L5" s="7"/>
      <c r="M5" s="7"/>
      <c r="N5" s="7"/>
      <c r="O5" s="7"/>
      <c r="P5" s="7"/>
      <c r="Q5" s="7"/>
      <c r="R5" s="7"/>
      <c r="S5" s="7"/>
      <c r="T5" s="26"/>
      <c r="U5" s="27"/>
      <c r="V5" s="25"/>
      <c r="AE5" s="7"/>
      <c r="AF5" s="7"/>
      <c r="AG5" s="26"/>
      <c r="AH5" s="27"/>
    </row>
    <row r="6" spans="1:41" s="28" customFormat="1">
      <c r="A6" s="7"/>
      <c r="B6" s="29"/>
      <c r="C6" s="543" t="s">
        <v>4</v>
      </c>
      <c r="D6" s="543"/>
      <c r="E6" s="107">
        <v>5000</v>
      </c>
      <c r="F6" s="32"/>
      <c r="G6" s="33"/>
      <c r="H6" s="94" t="s">
        <v>5</v>
      </c>
      <c r="I6" s="34">
        <f>E6</f>
        <v>5000</v>
      </c>
      <c r="J6" s="35">
        <f t="shared" ref="J6:T6" si="0">I14</f>
        <v>5600</v>
      </c>
      <c r="K6" s="35">
        <f t="shared" si="0"/>
        <v>6310</v>
      </c>
      <c r="L6" s="35">
        <f t="shared" si="0"/>
        <v>7137.2</v>
      </c>
      <c r="M6" s="35">
        <f t="shared" si="0"/>
        <v>8089.6639999999998</v>
      </c>
      <c r="N6" s="35">
        <f t="shared" si="0"/>
        <v>9176.4236799999999</v>
      </c>
      <c r="O6" s="35">
        <f t="shared" si="0"/>
        <v>10407.5945216</v>
      </c>
      <c r="P6" s="35">
        <f t="shared" si="0"/>
        <v>11794.505864192</v>
      </c>
      <c r="Q6" s="35">
        <f t="shared" si="0"/>
        <v>13349.846567895042</v>
      </c>
      <c r="R6" s="35">
        <f t="shared" si="0"/>
        <v>15087.828156042448</v>
      </c>
      <c r="S6" s="35">
        <f t="shared" si="0"/>
        <v>17024.367534767542</v>
      </c>
      <c r="T6" s="36">
        <f t="shared" si="0"/>
        <v>19177.291638939649</v>
      </c>
      <c r="U6" s="37"/>
      <c r="V6" s="34">
        <f>T14</f>
        <v>21566.566635612406</v>
      </c>
      <c r="W6" s="35">
        <f t="shared" ref="W6:AG6" si="1">V14</f>
        <v>24162.376381985712</v>
      </c>
      <c r="X6" s="35">
        <f t="shared" si="1"/>
        <v>26978.809005532617</v>
      </c>
      <c r="Y6" s="35">
        <f t="shared" si="1"/>
        <v>30031.220565198746</v>
      </c>
      <c r="Z6" s="35">
        <f t="shared" si="1"/>
        <v>33336.349165234824</v>
      </c>
      <c r="AA6" s="35">
        <f t="shared" si="1"/>
        <v>36912.439339274148</v>
      </c>
      <c r="AB6" s="35">
        <f t="shared" si="1"/>
        <v>40779.37762897701</v>
      </c>
      <c r="AC6" s="35">
        <f t="shared" si="1"/>
        <v>44958.84036475313</v>
      </c>
      <c r="AD6" s="35">
        <f t="shared" si="1"/>
        <v>49474.454746749107</v>
      </c>
      <c r="AE6" s="35">
        <f t="shared" si="1"/>
        <v>54351.974423124717</v>
      </c>
      <c r="AF6" s="35">
        <f t="shared" si="1"/>
        <v>59619.470870374134</v>
      </c>
      <c r="AG6" s="36">
        <f t="shared" si="1"/>
        <v>65307.541997876004</v>
      </c>
      <c r="AH6" s="37"/>
      <c r="AI6" s="7"/>
      <c r="AJ6" s="7"/>
      <c r="AK6" s="7"/>
      <c r="AL6" s="7"/>
      <c r="AM6" s="7"/>
      <c r="AN6" s="7"/>
      <c r="AO6" s="7"/>
    </row>
    <row r="7" spans="1:41" s="28" customFormat="1">
      <c r="A7" s="7"/>
      <c r="B7" s="38"/>
      <c r="C7" s="543" t="s">
        <v>6</v>
      </c>
      <c r="D7" s="543"/>
      <c r="E7" s="107">
        <v>500</v>
      </c>
      <c r="F7" s="32"/>
      <c r="G7" s="39"/>
      <c r="H7" s="118" t="s">
        <v>7</v>
      </c>
      <c r="I7" s="40"/>
      <c r="J7" s="35"/>
      <c r="K7" s="35"/>
      <c r="L7" s="35"/>
      <c r="M7" s="35"/>
      <c r="N7" s="35"/>
      <c r="O7" s="35"/>
      <c r="P7" s="35"/>
      <c r="Q7" s="35"/>
      <c r="R7" s="35"/>
      <c r="S7" s="35"/>
      <c r="T7" s="36"/>
      <c r="U7" s="37"/>
      <c r="V7" s="40"/>
      <c r="W7" s="35"/>
      <c r="X7" s="35"/>
      <c r="Y7" s="35"/>
      <c r="Z7" s="35"/>
      <c r="AA7" s="35"/>
      <c r="AB7" s="35"/>
      <c r="AC7" s="35"/>
      <c r="AD7" s="35"/>
      <c r="AE7" s="35"/>
      <c r="AF7" s="35"/>
      <c r="AG7" s="36"/>
      <c r="AH7" s="37"/>
      <c r="AI7" s="7"/>
      <c r="AJ7" s="7"/>
      <c r="AK7" s="7"/>
      <c r="AL7" s="7"/>
      <c r="AM7" s="7"/>
      <c r="AN7" s="7"/>
      <c r="AO7" s="7"/>
    </row>
    <row r="8" spans="1:41" s="41" customFormat="1">
      <c r="A8" s="330"/>
      <c r="B8" s="42"/>
      <c r="C8" s="543" t="s">
        <v>32</v>
      </c>
      <c r="D8" s="543"/>
      <c r="E8" s="107">
        <v>500</v>
      </c>
      <c r="F8" s="45"/>
      <c r="G8" s="46"/>
      <c r="H8" s="119" t="s">
        <v>8</v>
      </c>
      <c r="I8" s="125">
        <f>E8/E7-1</f>
        <v>0</v>
      </c>
      <c r="J8" s="47">
        <f t="shared" ref="J8:T8" si="2">$E$9</f>
        <v>0.12</v>
      </c>
      <c r="K8" s="47">
        <f t="shared" si="2"/>
        <v>0.12</v>
      </c>
      <c r="L8" s="47">
        <f t="shared" si="2"/>
        <v>0.12</v>
      </c>
      <c r="M8" s="47">
        <f t="shared" si="2"/>
        <v>0.12</v>
      </c>
      <c r="N8" s="47">
        <f t="shared" si="2"/>
        <v>0.12</v>
      </c>
      <c r="O8" s="47">
        <f t="shared" si="2"/>
        <v>0.12</v>
      </c>
      <c r="P8" s="47">
        <f t="shared" si="2"/>
        <v>0.12</v>
      </c>
      <c r="Q8" s="47">
        <f t="shared" si="2"/>
        <v>0.12</v>
      </c>
      <c r="R8" s="47">
        <f t="shared" si="2"/>
        <v>0.12</v>
      </c>
      <c r="S8" s="47">
        <f t="shared" si="2"/>
        <v>0.12</v>
      </c>
      <c r="T8" s="48">
        <f t="shared" si="2"/>
        <v>0.12</v>
      </c>
      <c r="U8" s="49"/>
      <c r="V8" s="47">
        <f t="shared" ref="V8:AG8" si="3">$E$10</f>
        <v>0.09</v>
      </c>
      <c r="W8" s="47">
        <f t="shared" si="3"/>
        <v>0.09</v>
      </c>
      <c r="X8" s="47">
        <f t="shared" si="3"/>
        <v>0.09</v>
      </c>
      <c r="Y8" s="47">
        <f t="shared" si="3"/>
        <v>0.09</v>
      </c>
      <c r="Z8" s="47">
        <f t="shared" si="3"/>
        <v>0.09</v>
      </c>
      <c r="AA8" s="47">
        <f t="shared" si="3"/>
        <v>0.09</v>
      </c>
      <c r="AB8" s="47">
        <f t="shared" si="3"/>
        <v>0.09</v>
      </c>
      <c r="AC8" s="47">
        <f t="shared" si="3"/>
        <v>0.09</v>
      </c>
      <c r="AD8" s="47">
        <f t="shared" si="3"/>
        <v>0.09</v>
      </c>
      <c r="AE8" s="47">
        <f t="shared" si="3"/>
        <v>0.09</v>
      </c>
      <c r="AF8" s="47">
        <f t="shared" si="3"/>
        <v>0.09</v>
      </c>
      <c r="AG8" s="48">
        <f t="shared" si="3"/>
        <v>0.09</v>
      </c>
      <c r="AH8" s="50"/>
      <c r="AI8" s="330"/>
      <c r="AJ8" s="330"/>
      <c r="AK8" s="330"/>
      <c r="AL8" s="330"/>
      <c r="AM8" s="330"/>
      <c r="AN8" s="330"/>
      <c r="AO8" s="330"/>
    </row>
    <row r="9" spans="1:41" s="51" customFormat="1">
      <c r="A9" s="95"/>
      <c r="B9" s="29"/>
      <c r="C9" s="558" t="s">
        <v>33</v>
      </c>
      <c r="D9" s="558"/>
      <c r="E9" s="44">
        <v>0.12</v>
      </c>
      <c r="F9" s="32"/>
      <c r="G9" s="33"/>
      <c r="H9" s="96" t="s">
        <v>9</v>
      </c>
      <c r="I9" s="34">
        <f>$E$8</f>
        <v>500</v>
      </c>
      <c r="J9" s="52">
        <f t="shared" ref="J9:T9" si="4">I9*(1+J8)</f>
        <v>560</v>
      </c>
      <c r="K9" s="52">
        <f t="shared" si="4"/>
        <v>627.20000000000005</v>
      </c>
      <c r="L9" s="52">
        <f t="shared" si="4"/>
        <v>702.46400000000017</v>
      </c>
      <c r="M9" s="52">
        <f t="shared" si="4"/>
        <v>786.75968000000023</v>
      </c>
      <c r="N9" s="52">
        <f t="shared" si="4"/>
        <v>881.17084160000036</v>
      </c>
      <c r="O9" s="52">
        <f t="shared" si="4"/>
        <v>986.91134259200055</v>
      </c>
      <c r="P9" s="52">
        <f t="shared" si="4"/>
        <v>1105.3407037030406</v>
      </c>
      <c r="Q9" s="52">
        <f t="shared" si="4"/>
        <v>1237.9815881474055</v>
      </c>
      <c r="R9" s="52">
        <f t="shared" si="4"/>
        <v>1386.5393787250944</v>
      </c>
      <c r="S9" s="52">
        <f t="shared" si="4"/>
        <v>1552.9241041721059</v>
      </c>
      <c r="T9" s="53">
        <f t="shared" si="4"/>
        <v>1739.2749966727588</v>
      </c>
      <c r="U9" s="54">
        <f>SUM(I9:T9)</f>
        <v>12066.566635612406</v>
      </c>
      <c r="V9" s="52">
        <f>T9*(1+V8)</f>
        <v>1895.8097463733072</v>
      </c>
      <c r="W9" s="52">
        <f t="shared" ref="W9:AG9" si="5">V9*(1+W8)</f>
        <v>2066.4326235469052</v>
      </c>
      <c r="X9" s="52">
        <f t="shared" si="5"/>
        <v>2252.4115596661268</v>
      </c>
      <c r="Y9" s="52">
        <f t="shared" si="5"/>
        <v>2455.1286000360783</v>
      </c>
      <c r="Z9" s="52">
        <f t="shared" si="5"/>
        <v>2676.0901740393256</v>
      </c>
      <c r="AA9" s="52">
        <f t="shared" si="5"/>
        <v>2916.9382897028649</v>
      </c>
      <c r="AB9" s="52">
        <f t="shared" si="5"/>
        <v>3179.4627357761228</v>
      </c>
      <c r="AC9" s="52">
        <f t="shared" si="5"/>
        <v>3465.6143819959743</v>
      </c>
      <c r="AD9" s="52">
        <f t="shared" si="5"/>
        <v>3777.5196763756121</v>
      </c>
      <c r="AE9" s="52">
        <f t="shared" si="5"/>
        <v>4117.4964472494175</v>
      </c>
      <c r="AF9" s="52">
        <f t="shared" si="5"/>
        <v>4488.0711275018657</v>
      </c>
      <c r="AG9" s="53">
        <f t="shared" si="5"/>
        <v>4891.9975289770337</v>
      </c>
      <c r="AH9" s="54">
        <f>SUM(V9:AG9)</f>
        <v>38182.972891240643</v>
      </c>
      <c r="AI9" s="95"/>
      <c r="AJ9" s="95"/>
      <c r="AK9" s="95"/>
      <c r="AL9" s="95"/>
      <c r="AM9" s="95"/>
      <c r="AN9" s="95"/>
      <c r="AO9" s="95"/>
    </row>
    <row r="10" spans="1:41" s="28" customFormat="1">
      <c r="A10" s="7"/>
      <c r="B10" s="55"/>
      <c r="C10" s="43" t="s">
        <v>34</v>
      </c>
      <c r="D10" s="43"/>
      <c r="E10" s="44">
        <v>0.09</v>
      </c>
      <c r="F10" s="56"/>
      <c r="G10" s="57"/>
      <c r="H10" s="96" t="s">
        <v>210</v>
      </c>
      <c r="I10" s="34">
        <f>E12</f>
        <v>20000</v>
      </c>
      <c r="J10" s="52">
        <f t="shared" ref="J10:T10" si="6">I10+$E$13</f>
        <v>30000</v>
      </c>
      <c r="K10" s="52">
        <f t="shared" si="6"/>
        <v>40000</v>
      </c>
      <c r="L10" s="52">
        <f t="shared" si="6"/>
        <v>50000</v>
      </c>
      <c r="M10" s="52">
        <f t="shared" si="6"/>
        <v>60000</v>
      </c>
      <c r="N10" s="52">
        <f t="shared" si="6"/>
        <v>70000</v>
      </c>
      <c r="O10" s="52">
        <f t="shared" si="6"/>
        <v>80000</v>
      </c>
      <c r="P10" s="52">
        <f t="shared" si="6"/>
        <v>90000</v>
      </c>
      <c r="Q10" s="52">
        <f t="shared" si="6"/>
        <v>100000</v>
      </c>
      <c r="R10" s="52">
        <f t="shared" si="6"/>
        <v>110000</v>
      </c>
      <c r="S10" s="52">
        <f t="shared" si="6"/>
        <v>120000</v>
      </c>
      <c r="T10" s="53">
        <f t="shared" si="6"/>
        <v>130000</v>
      </c>
      <c r="U10" s="54">
        <f>SUM(I10:T10)</f>
        <v>900000</v>
      </c>
      <c r="V10" s="52">
        <f>T10+$E$13</f>
        <v>140000</v>
      </c>
      <c r="W10" s="52">
        <f t="shared" ref="W10:AG10" si="7">V10+$E$13</f>
        <v>150000</v>
      </c>
      <c r="X10" s="52">
        <f t="shared" si="7"/>
        <v>160000</v>
      </c>
      <c r="Y10" s="52">
        <f t="shared" si="7"/>
        <v>170000</v>
      </c>
      <c r="Z10" s="52">
        <f t="shared" si="7"/>
        <v>180000</v>
      </c>
      <c r="AA10" s="52">
        <f t="shared" si="7"/>
        <v>190000</v>
      </c>
      <c r="AB10" s="52">
        <f t="shared" si="7"/>
        <v>200000</v>
      </c>
      <c r="AC10" s="52">
        <f t="shared" si="7"/>
        <v>210000</v>
      </c>
      <c r="AD10" s="52">
        <f t="shared" si="7"/>
        <v>220000</v>
      </c>
      <c r="AE10" s="52">
        <f t="shared" si="7"/>
        <v>230000</v>
      </c>
      <c r="AF10" s="52">
        <f t="shared" si="7"/>
        <v>240000</v>
      </c>
      <c r="AG10" s="53">
        <f t="shared" si="7"/>
        <v>250000</v>
      </c>
      <c r="AH10" s="54">
        <f>SUM(V10:AG10)</f>
        <v>2340000</v>
      </c>
      <c r="AI10" s="7"/>
      <c r="AJ10" s="7"/>
      <c r="AK10" s="7"/>
      <c r="AL10" s="7"/>
      <c r="AM10" s="7"/>
      <c r="AN10" s="7"/>
      <c r="AO10" s="7"/>
    </row>
    <row r="11" spans="1:41" s="59" customFormat="1">
      <c r="A11" s="57"/>
      <c r="B11" s="60"/>
      <c r="C11" s="559" t="s">
        <v>265</v>
      </c>
      <c r="D11" s="559"/>
      <c r="E11" s="451">
        <v>200</v>
      </c>
      <c r="F11" s="61"/>
      <c r="G11" s="62"/>
      <c r="H11" s="120" t="s">
        <v>211</v>
      </c>
      <c r="I11" s="392">
        <f t="shared" ref="I11:T11" si="8">$E$11</f>
        <v>200</v>
      </c>
      <c r="J11" s="393">
        <f t="shared" si="8"/>
        <v>200</v>
      </c>
      <c r="K11" s="393">
        <f t="shared" si="8"/>
        <v>200</v>
      </c>
      <c r="L11" s="393">
        <f t="shared" si="8"/>
        <v>200</v>
      </c>
      <c r="M11" s="393">
        <f t="shared" si="8"/>
        <v>200</v>
      </c>
      <c r="N11" s="393">
        <f t="shared" si="8"/>
        <v>200</v>
      </c>
      <c r="O11" s="393">
        <f t="shared" si="8"/>
        <v>200</v>
      </c>
      <c r="P11" s="393">
        <f t="shared" si="8"/>
        <v>200</v>
      </c>
      <c r="Q11" s="393">
        <f t="shared" si="8"/>
        <v>200</v>
      </c>
      <c r="R11" s="393">
        <f t="shared" si="8"/>
        <v>200</v>
      </c>
      <c r="S11" s="393">
        <f t="shared" si="8"/>
        <v>200</v>
      </c>
      <c r="T11" s="394">
        <f t="shared" si="8"/>
        <v>200</v>
      </c>
      <c r="U11" s="395"/>
      <c r="V11" s="392">
        <f t="shared" ref="V11:AG11" si="9">$E$11</f>
        <v>200</v>
      </c>
      <c r="W11" s="393">
        <f t="shared" si="9"/>
        <v>200</v>
      </c>
      <c r="X11" s="393">
        <f t="shared" si="9"/>
        <v>200</v>
      </c>
      <c r="Y11" s="393">
        <f t="shared" si="9"/>
        <v>200</v>
      </c>
      <c r="Z11" s="393">
        <f t="shared" si="9"/>
        <v>200</v>
      </c>
      <c r="AA11" s="393">
        <f t="shared" si="9"/>
        <v>200</v>
      </c>
      <c r="AB11" s="393">
        <f t="shared" si="9"/>
        <v>200</v>
      </c>
      <c r="AC11" s="393">
        <f t="shared" si="9"/>
        <v>200</v>
      </c>
      <c r="AD11" s="393">
        <f t="shared" si="9"/>
        <v>200</v>
      </c>
      <c r="AE11" s="393">
        <f t="shared" si="9"/>
        <v>200</v>
      </c>
      <c r="AF11" s="393">
        <f t="shared" si="9"/>
        <v>200</v>
      </c>
      <c r="AG11" s="394">
        <f t="shared" si="9"/>
        <v>200</v>
      </c>
      <c r="AH11" s="396"/>
      <c r="AI11" s="57"/>
      <c r="AJ11" s="57"/>
      <c r="AK11" s="57"/>
      <c r="AL11" s="57"/>
      <c r="AM11" s="57"/>
      <c r="AN11" s="57"/>
      <c r="AO11" s="57"/>
    </row>
    <row r="12" spans="1:41" s="51" customFormat="1">
      <c r="A12" s="95"/>
      <c r="B12" s="63"/>
      <c r="C12" s="543" t="s">
        <v>266</v>
      </c>
      <c r="D12" s="543"/>
      <c r="E12" s="452">
        <v>20000</v>
      </c>
      <c r="F12" s="56"/>
      <c r="G12" s="65"/>
      <c r="H12" s="96" t="s">
        <v>10</v>
      </c>
      <c r="I12" s="34">
        <f t="shared" ref="I12:T12" si="10">I10/I11</f>
        <v>100</v>
      </c>
      <c r="J12" s="52">
        <f t="shared" si="10"/>
        <v>150</v>
      </c>
      <c r="K12" s="52">
        <f t="shared" si="10"/>
        <v>200</v>
      </c>
      <c r="L12" s="52">
        <f t="shared" si="10"/>
        <v>250</v>
      </c>
      <c r="M12" s="52">
        <f t="shared" si="10"/>
        <v>300</v>
      </c>
      <c r="N12" s="52">
        <f t="shared" si="10"/>
        <v>350</v>
      </c>
      <c r="O12" s="52">
        <f t="shared" si="10"/>
        <v>400</v>
      </c>
      <c r="P12" s="52">
        <f t="shared" si="10"/>
        <v>450</v>
      </c>
      <c r="Q12" s="52">
        <f t="shared" si="10"/>
        <v>500</v>
      </c>
      <c r="R12" s="52">
        <f t="shared" si="10"/>
        <v>550</v>
      </c>
      <c r="S12" s="52">
        <f t="shared" si="10"/>
        <v>600</v>
      </c>
      <c r="T12" s="53">
        <f t="shared" si="10"/>
        <v>650</v>
      </c>
      <c r="U12" s="54">
        <f>SUM(I12:T12)</f>
        <v>4500</v>
      </c>
      <c r="V12" s="34">
        <f t="shared" ref="V12:AG12" si="11">V10/V11</f>
        <v>700</v>
      </c>
      <c r="W12" s="52">
        <f t="shared" si="11"/>
        <v>750</v>
      </c>
      <c r="X12" s="52">
        <f t="shared" si="11"/>
        <v>800</v>
      </c>
      <c r="Y12" s="52">
        <f t="shared" si="11"/>
        <v>850</v>
      </c>
      <c r="Z12" s="52">
        <f t="shared" si="11"/>
        <v>900</v>
      </c>
      <c r="AA12" s="52">
        <f t="shared" si="11"/>
        <v>950</v>
      </c>
      <c r="AB12" s="52">
        <f t="shared" si="11"/>
        <v>1000</v>
      </c>
      <c r="AC12" s="52">
        <f t="shared" si="11"/>
        <v>1050</v>
      </c>
      <c r="AD12" s="52">
        <f t="shared" si="11"/>
        <v>1100</v>
      </c>
      <c r="AE12" s="52">
        <f t="shared" si="11"/>
        <v>1150</v>
      </c>
      <c r="AF12" s="52">
        <f t="shared" si="11"/>
        <v>1200</v>
      </c>
      <c r="AG12" s="53">
        <f t="shared" si="11"/>
        <v>1250</v>
      </c>
      <c r="AH12" s="54">
        <f>SUM(V12:AG12)</f>
        <v>11700</v>
      </c>
      <c r="AI12" s="95"/>
      <c r="AJ12" s="95"/>
      <c r="AK12" s="95"/>
      <c r="AL12" s="95"/>
      <c r="AM12" s="95"/>
      <c r="AN12" s="95"/>
      <c r="AO12" s="95"/>
    </row>
    <row r="13" spans="1:41" s="66" customFormat="1">
      <c r="A13" s="17"/>
      <c r="B13" s="67"/>
      <c r="C13" s="543" t="s">
        <v>267</v>
      </c>
      <c r="D13" s="543"/>
      <c r="E13" s="452">
        <v>10000</v>
      </c>
      <c r="F13" s="24"/>
      <c r="G13" s="68"/>
      <c r="H13" s="121" t="s">
        <v>11</v>
      </c>
      <c r="I13" s="69">
        <f t="shared" ref="I13:T13" si="12">I9+I12</f>
        <v>600</v>
      </c>
      <c r="J13" s="70">
        <f t="shared" si="12"/>
        <v>710</v>
      </c>
      <c r="K13" s="70">
        <f t="shared" si="12"/>
        <v>827.2</v>
      </c>
      <c r="L13" s="70">
        <f t="shared" si="12"/>
        <v>952.46400000000017</v>
      </c>
      <c r="M13" s="70">
        <f t="shared" si="12"/>
        <v>1086.7596800000001</v>
      </c>
      <c r="N13" s="70">
        <f t="shared" si="12"/>
        <v>1231.1708416000004</v>
      </c>
      <c r="O13" s="70">
        <f t="shared" si="12"/>
        <v>1386.9113425920004</v>
      </c>
      <c r="P13" s="70">
        <f t="shared" si="12"/>
        <v>1555.3407037030406</v>
      </c>
      <c r="Q13" s="70">
        <f t="shared" si="12"/>
        <v>1737.9815881474055</v>
      </c>
      <c r="R13" s="70">
        <f t="shared" si="12"/>
        <v>1936.5393787250944</v>
      </c>
      <c r="S13" s="70">
        <f t="shared" si="12"/>
        <v>2152.9241041721061</v>
      </c>
      <c r="T13" s="71">
        <f t="shared" si="12"/>
        <v>2389.2749966727588</v>
      </c>
      <c r="U13" s="71">
        <f>SUM(I13:T13)</f>
        <v>16566.566635612406</v>
      </c>
      <c r="V13" s="69">
        <f t="shared" ref="V13:AG13" si="13">V9+V12</f>
        <v>2595.8097463733075</v>
      </c>
      <c r="W13" s="70">
        <f t="shared" si="13"/>
        <v>2816.4326235469052</v>
      </c>
      <c r="X13" s="70">
        <f t="shared" si="13"/>
        <v>3052.4115596661268</v>
      </c>
      <c r="Y13" s="70">
        <f t="shared" si="13"/>
        <v>3305.1286000360783</v>
      </c>
      <c r="Z13" s="70">
        <f t="shared" si="13"/>
        <v>3576.0901740393256</v>
      </c>
      <c r="AA13" s="70">
        <f t="shared" si="13"/>
        <v>3866.9382897028649</v>
      </c>
      <c r="AB13" s="70">
        <f t="shared" si="13"/>
        <v>4179.4627357761228</v>
      </c>
      <c r="AC13" s="70">
        <f t="shared" si="13"/>
        <v>4515.6143819959743</v>
      </c>
      <c r="AD13" s="70">
        <f t="shared" si="13"/>
        <v>4877.5196763756121</v>
      </c>
      <c r="AE13" s="70">
        <f t="shared" si="13"/>
        <v>5267.4964472494175</v>
      </c>
      <c r="AF13" s="70">
        <f t="shared" si="13"/>
        <v>5688.0711275018657</v>
      </c>
      <c r="AG13" s="71">
        <f t="shared" si="13"/>
        <v>6141.9975289770337</v>
      </c>
      <c r="AH13" s="71">
        <f>SUM(V13:AG13)</f>
        <v>49882.972891240643</v>
      </c>
      <c r="AI13" s="17"/>
      <c r="AJ13" s="17"/>
      <c r="AK13" s="17"/>
      <c r="AL13" s="17"/>
      <c r="AM13" s="17"/>
      <c r="AN13" s="17"/>
      <c r="AO13" s="17"/>
    </row>
    <row r="14" spans="1:41" s="298" customFormat="1">
      <c r="A14" s="302"/>
      <c r="B14" s="299"/>
      <c r="C14" s="453"/>
      <c r="D14" s="300"/>
      <c r="E14" s="301"/>
      <c r="F14" s="290"/>
      <c r="G14" s="302"/>
      <c r="H14" s="532" t="s">
        <v>12</v>
      </c>
      <c r="I14" s="534">
        <f t="shared" ref="I14:T14" si="14">I6+I13</f>
        <v>5600</v>
      </c>
      <c r="J14" s="535">
        <f t="shared" si="14"/>
        <v>6310</v>
      </c>
      <c r="K14" s="535">
        <f t="shared" si="14"/>
        <v>7137.2</v>
      </c>
      <c r="L14" s="535">
        <f t="shared" si="14"/>
        <v>8089.6639999999998</v>
      </c>
      <c r="M14" s="535">
        <f t="shared" si="14"/>
        <v>9176.4236799999999</v>
      </c>
      <c r="N14" s="535">
        <f t="shared" si="14"/>
        <v>10407.5945216</v>
      </c>
      <c r="O14" s="535">
        <f t="shared" si="14"/>
        <v>11794.505864192</v>
      </c>
      <c r="P14" s="535">
        <f t="shared" si="14"/>
        <v>13349.846567895042</v>
      </c>
      <c r="Q14" s="535">
        <f t="shared" si="14"/>
        <v>15087.828156042448</v>
      </c>
      <c r="R14" s="535">
        <f t="shared" si="14"/>
        <v>17024.367534767542</v>
      </c>
      <c r="S14" s="535">
        <f t="shared" si="14"/>
        <v>19177.291638939649</v>
      </c>
      <c r="T14" s="536">
        <f t="shared" si="14"/>
        <v>21566.566635612406</v>
      </c>
      <c r="U14" s="537"/>
      <c r="V14" s="534">
        <f t="shared" ref="V14:AG14" si="15">V6+V13</f>
        <v>24162.376381985712</v>
      </c>
      <c r="W14" s="535">
        <f t="shared" si="15"/>
        <v>26978.809005532617</v>
      </c>
      <c r="X14" s="535">
        <f t="shared" si="15"/>
        <v>30031.220565198746</v>
      </c>
      <c r="Y14" s="535">
        <f t="shared" si="15"/>
        <v>33336.349165234824</v>
      </c>
      <c r="Z14" s="535">
        <f t="shared" si="15"/>
        <v>36912.439339274148</v>
      </c>
      <c r="AA14" s="535">
        <f t="shared" si="15"/>
        <v>40779.37762897701</v>
      </c>
      <c r="AB14" s="535">
        <f t="shared" si="15"/>
        <v>44958.84036475313</v>
      </c>
      <c r="AC14" s="535">
        <f t="shared" si="15"/>
        <v>49474.454746749107</v>
      </c>
      <c r="AD14" s="535">
        <f t="shared" si="15"/>
        <v>54351.974423124717</v>
      </c>
      <c r="AE14" s="535">
        <f t="shared" si="15"/>
        <v>59619.470870374134</v>
      </c>
      <c r="AF14" s="535">
        <f t="shared" si="15"/>
        <v>65307.541997876004</v>
      </c>
      <c r="AG14" s="536">
        <f t="shared" si="15"/>
        <v>71449.539526853041</v>
      </c>
      <c r="AH14" s="537"/>
      <c r="AI14" s="302"/>
      <c r="AJ14" s="302"/>
      <c r="AK14" s="302"/>
      <c r="AL14" s="302"/>
      <c r="AM14" s="302"/>
      <c r="AN14" s="302"/>
      <c r="AO14" s="302"/>
    </row>
    <row r="15" spans="1:41" s="298" customFormat="1" ht="13" thickBot="1">
      <c r="A15" s="302"/>
      <c r="B15" s="299"/>
      <c r="C15" s="453"/>
      <c r="D15" s="300"/>
      <c r="E15" s="301"/>
      <c r="F15" s="290"/>
      <c r="G15" s="302"/>
      <c r="H15" s="533" t="s">
        <v>292</v>
      </c>
      <c r="I15" s="433">
        <f t="shared" ref="I15:T15" si="16">I14-I22-I23-I48-I49</f>
        <v>5527</v>
      </c>
      <c r="J15" s="434">
        <f t="shared" si="16"/>
        <v>6224</v>
      </c>
      <c r="K15" s="434">
        <f t="shared" si="16"/>
        <v>7037.2</v>
      </c>
      <c r="L15" s="434">
        <f t="shared" si="16"/>
        <v>7973.6639999999998</v>
      </c>
      <c r="M15" s="434">
        <f t="shared" si="16"/>
        <v>9043.4236799999999</v>
      </c>
      <c r="N15" s="434">
        <f t="shared" si="16"/>
        <v>10255.5945216</v>
      </c>
      <c r="O15" s="434">
        <f t="shared" si="16"/>
        <v>11623.505864192</v>
      </c>
      <c r="P15" s="434">
        <f t="shared" si="16"/>
        <v>13155.846567895042</v>
      </c>
      <c r="Q15" s="434">
        <f t="shared" si="16"/>
        <v>14869.828156042448</v>
      </c>
      <c r="R15" s="434">
        <f t="shared" si="16"/>
        <v>16781.367534767542</v>
      </c>
      <c r="S15" s="434">
        <f t="shared" si="16"/>
        <v>18905.291638939649</v>
      </c>
      <c r="T15" s="435">
        <f t="shared" si="16"/>
        <v>21263.566635612406</v>
      </c>
      <c r="U15" s="436"/>
      <c r="V15" s="433">
        <f t="shared" ref="V15:AG15" si="17">V14-V22-V23-V48-V49</f>
        <v>23825.376381985712</v>
      </c>
      <c r="W15" s="434">
        <f t="shared" si="17"/>
        <v>26608.809005532617</v>
      </c>
      <c r="X15" s="434">
        <f t="shared" si="17"/>
        <v>29627.220565198746</v>
      </c>
      <c r="Y15" s="434">
        <f t="shared" si="17"/>
        <v>32896.349165234824</v>
      </c>
      <c r="Z15" s="434">
        <f t="shared" si="17"/>
        <v>36433.439339274148</v>
      </c>
      <c r="AA15" s="434">
        <f t="shared" si="17"/>
        <v>40258.37762897701</v>
      </c>
      <c r="AB15" s="434">
        <f t="shared" si="17"/>
        <v>44391.84036475313</v>
      </c>
      <c r="AC15" s="434">
        <f t="shared" si="17"/>
        <v>48859.454746749107</v>
      </c>
      <c r="AD15" s="434">
        <f t="shared" si="17"/>
        <v>53683.974423124717</v>
      </c>
      <c r="AE15" s="434">
        <f t="shared" si="17"/>
        <v>58894.470870374134</v>
      </c>
      <c r="AF15" s="434">
        <f t="shared" si="17"/>
        <v>64521.541997876004</v>
      </c>
      <c r="AG15" s="435">
        <f t="shared" si="17"/>
        <v>70597.539526853041</v>
      </c>
      <c r="AH15" s="436"/>
      <c r="AI15" s="302"/>
      <c r="AJ15" s="302"/>
      <c r="AK15" s="302"/>
      <c r="AL15" s="302"/>
      <c r="AM15" s="302"/>
      <c r="AN15" s="302"/>
      <c r="AO15" s="302"/>
    </row>
    <row r="16" spans="1:41" s="66" customFormat="1">
      <c r="A16" s="17"/>
      <c r="B16" s="21"/>
      <c r="C16" s="22"/>
      <c r="D16" s="22"/>
      <c r="E16" s="23"/>
      <c r="F16" s="24"/>
      <c r="G16" s="17"/>
      <c r="H16" s="7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7"/>
      <c r="AJ16" s="17"/>
      <c r="AK16" s="17"/>
      <c r="AL16" s="17"/>
      <c r="AM16" s="17"/>
      <c r="AN16" s="17"/>
      <c r="AO16" s="17"/>
    </row>
    <row r="17" spans="1:41" s="28" customFormat="1">
      <c r="A17" s="7"/>
      <c r="B17" s="73"/>
      <c r="C17" s="74"/>
      <c r="D17" s="74"/>
      <c r="E17" s="75"/>
      <c r="F17" s="76"/>
      <c r="G17" s="68"/>
      <c r="H17" s="122" t="s">
        <v>29</v>
      </c>
      <c r="I17" s="18"/>
      <c r="J17" s="19"/>
      <c r="K17" s="19"/>
      <c r="L17" s="19"/>
      <c r="M17" s="19"/>
      <c r="N17" s="19"/>
      <c r="O17" s="19"/>
      <c r="P17" s="19"/>
      <c r="Q17" s="19"/>
      <c r="R17" s="19"/>
      <c r="S17" s="19"/>
      <c r="T17" s="20"/>
      <c r="U17" s="20"/>
      <c r="V17" s="18"/>
      <c r="W17" s="19"/>
      <c r="X17" s="19"/>
      <c r="Y17" s="19"/>
      <c r="Z17" s="19"/>
      <c r="AA17" s="19"/>
      <c r="AB17" s="19"/>
      <c r="AC17" s="19"/>
      <c r="AD17" s="19"/>
      <c r="AE17" s="19"/>
      <c r="AF17" s="19"/>
      <c r="AG17" s="20"/>
      <c r="AH17" s="20"/>
      <c r="AI17" s="7"/>
      <c r="AJ17" s="7"/>
      <c r="AK17" s="7"/>
      <c r="AL17" s="7"/>
      <c r="AM17" s="7"/>
      <c r="AN17" s="7"/>
      <c r="AO17" s="7"/>
    </row>
    <row r="18" spans="1:41" s="28" customFormat="1">
      <c r="A18" s="7"/>
      <c r="B18" s="77"/>
      <c r="C18" s="78"/>
      <c r="D18" s="78"/>
      <c r="E18" s="79"/>
      <c r="F18" s="80"/>
      <c r="G18" s="68"/>
      <c r="H18" s="123"/>
      <c r="I18" s="25"/>
      <c r="J18" s="7"/>
      <c r="K18" s="7"/>
      <c r="L18" s="7"/>
      <c r="M18" s="7"/>
      <c r="N18" s="7"/>
      <c r="O18" s="7"/>
      <c r="P18" s="7"/>
      <c r="Q18" s="7"/>
      <c r="R18" s="7"/>
      <c r="S18" s="7"/>
      <c r="T18" s="26"/>
      <c r="U18" s="27"/>
      <c r="V18" s="25"/>
      <c r="W18" s="7"/>
      <c r="X18" s="7"/>
      <c r="Y18" s="7"/>
      <c r="Z18" s="7"/>
      <c r="AA18" s="7"/>
      <c r="AB18" s="7"/>
      <c r="AC18" s="7"/>
      <c r="AD18" s="7"/>
      <c r="AE18" s="7"/>
      <c r="AF18" s="7"/>
      <c r="AG18" s="26"/>
      <c r="AH18" s="27"/>
      <c r="AI18" s="7"/>
      <c r="AJ18" s="7"/>
      <c r="AK18" s="7"/>
      <c r="AL18" s="7"/>
      <c r="AM18" s="7"/>
      <c r="AN18" s="7"/>
      <c r="AO18" s="7"/>
    </row>
    <row r="19" spans="1:41" s="28" customFormat="1">
      <c r="A19" s="7"/>
      <c r="B19" s="77"/>
      <c r="C19" s="78"/>
      <c r="D19" s="78"/>
      <c r="E19" s="79"/>
      <c r="F19" s="80"/>
      <c r="G19" s="68"/>
      <c r="H19" s="92" t="s">
        <v>13</v>
      </c>
      <c r="I19" s="81"/>
      <c r="J19" s="82"/>
      <c r="K19" s="82"/>
      <c r="L19" s="82"/>
      <c r="M19" s="82"/>
      <c r="N19" s="82"/>
      <c r="O19" s="82"/>
      <c r="P19" s="82"/>
      <c r="Q19" s="82"/>
      <c r="R19" s="82"/>
      <c r="S19" s="82"/>
      <c r="T19" s="27"/>
      <c r="U19" s="83"/>
      <c r="V19" s="81"/>
      <c r="W19" s="82"/>
      <c r="X19" s="82"/>
      <c r="Y19" s="82"/>
      <c r="Z19" s="82"/>
      <c r="AA19" s="82"/>
      <c r="AB19" s="82"/>
      <c r="AC19" s="82"/>
      <c r="AD19" s="82"/>
      <c r="AE19" s="82"/>
      <c r="AF19" s="82"/>
      <c r="AG19" s="27"/>
      <c r="AH19" s="83"/>
      <c r="AI19" s="7"/>
      <c r="AJ19" s="7"/>
      <c r="AK19" s="7"/>
      <c r="AL19" s="7"/>
      <c r="AM19" s="7"/>
      <c r="AN19" s="7"/>
      <c r="AO19" s="7"/>
    </row>
    <row r="20" spans="1:41" s="28" customFormat="1">
      <c r="A20" s="7"/>
      <c r="B20" s="77"/>
      <c r="C20" s="543" t="s">
        <v>131</v>
      </c>
      <c r="D20" s="543"/>
      <c r="E20" s="107">
        <v>100</v>
      </c>
      <c r="F20" s="80"/>
      <c r="G20" s="68"/>
      <c r="H20" s="118" t="s">
        <v>14</v>
      </c>
      <c r="I20" s="40">
        <f>E20</f>
        <v>100</v>
      </c>
      <c r="J20" s="35">
        <f t="shared" ref="J20:T20" si="18">I28</f>
        <v>161</v>
      </c>
      <c r="K20" s="35">
        <f t="shared" si="18"/>
        <v>231</v>
      </c>
      <c r="L20" s="35">
        <f t="shared" si="18"/>
        <v>312</v>
      </c>
      <c r="M20" s="35">
        <f t="shared" si="18"/>
        <v>405</v>
      </c>
      <c r="N20" s="35">
        <f t="shared" si="18"/>
        <v>510</v>
      </c>
      <c r="O20" s="35">
        <f t="shared" si="18"/>
        <v>628</v>
      </c>
      <c r="P20" s="35">
        <f t="shared" si="18"/>
        <v>760</v>
      </c>
      <c r="Q20" s="35">
        <f t="shared" si="18"/>
        <v>907</v>
      </c>
      <c r="R20" s="35">
        <f t="shared" si="18"/>
        <v>1071</v>
      </c>
      <c r="S20" s="35">
        <f t="shared" si="18"/>
        <v>1253</v>
      </c>
      <c r="T20" s="36">
        <f t="shared" si="18"/>
        <v>1455</v>
      </c>
      <c r="U20" s="37"/>
      <c r="V20" s="40">
        <f>T28</f>
        <v>1677</v>
      </c>
      <c r="W20" s="35">
        <f t="shared" ref="W20:AG20" si="19">V28</f>
        <v>1923</v>
      </c>
      <c r="X20" s="35">
        <f t="shared" si="19"/>
        <v>2189</v>
      </c>
      <c r="Y20" s="35">
        <f t="shared" si="19"/>
        <v>2477</v>
      </c>
      <c r="Z20" s="35">
        <f t="shared" si="19"/>
        <v>2788</v>
      </c>
      <c r="AA20" s="35">
        <f t="shared" si="19"/>
        <v>3124</v>
      </c>
      <c r="AB20" s="35">
        <f t="shared" si="19"/>
        <v>3486</v>
      </c>
      <c r="AC20" s="35">
        <f t="shared" si="19"/>
        <v>3878</v>
      </c>
      <c r="AD20" s="35">
        <f t="shared" si="19"/>
        <v>4301</v>
      </c>
      <c r="AE20" s="35">
        <f t="shared" si="19"/>
        <v>4756</v>
      </c>
      <c r="AF20" s="35">
        <f t="shared" si="19"/>
        <v>5246</v>
      </c>
      <c r="AG20" s="36">
        <f t="shared" si="19"/>
        <v>5776</v>
      </c>
      <c r="AH20" s="37"/>
      <c r="AI20" s="7"/>
      <c r="AJ20" s="7"/>
      <c r="AK20" s="7"/>
      <c r="AL20" s="7"/>
      <c r="AM20" s="7"/>
      <c r="AN20" s="7"/>
      <c r="AO20" s="7"/>
    </row>
    <row r="21" spans="1:41" s="28" customFormat="1">
      <c r="A21" s="7"/>
      <c r="B21" s="77"/>
      <c r="C21" s="30"/>
      <c r="D21" s="30"/>
      <c r="E21" s="31"/>
      <c r="F21" s="80"/>
      <c r="G21" s="68"/>
      <c r="H21" s="118" t="s">
        <v>15</v>
      </c>
      <c r="I21" s="40"/>
      <c r="J21" s="35"/>
      <c r="K21" s="35"/>
      <c r="L21" s="35"/>
      <c r="M21" s="35"/>
      <c r="N21" s="35"/>
      <c r="O21" s="35"/>
      <c r="P21" s="35"/>
      <c r="Q21" s="35"/>
      <c r="R21" s="35"/>
      <c r="S21" s="35"/>
      <c r="T21" s="36"/>
      <c r="U21" s="37"/>
      <c r="V21" s="40"/>
      <c r="W21" s="35"/>
      <c r="X21" s="35"/>
      <c r="Y21" s="35"/>
      <c r="Z21" s="35"/>
      <c r="AA21" s="35"/>
      <c r="AB21" s="35"/>
      <c r="AC21" s="35"/>
      <c r="AD21" s="35"/>
      <c r="AE21" s="35"/>
      <c r="AF21" s="35"/>
      <c r="AG21" s="36"/>
      <c r="AH21" s="37"/>
      <c r="AI21" s="7"/>
      <c r="AJ21" s="7"/>
      <c r="AK21" s="7"/>
      <c r="AL21" s="7"/>
      <c r="AM21" s="7"/>
      <c r="AN21" s="7"/>
      <c r="AO21" s="7"/>
    </row>
    <row r="22" spans="1:41" s="28" customFormat="1">
      <c r="A22" s="7"/>
      <c r="B22" s="77"/>
      <c r="C22" s="543" t="s">
        <v>16</v>
      </c>
      <c r="D22" s="543"/>
      <c r="E22" s="44">
        <v>0.1</v>
      </c>
      <c r="F22" s="80"/>
      <c r="G22" s="68"/>
      <c r="H22" s="96" t="s">
        <v>17</v>
      </c>
      <c r="I22" s="40">
        <f>ROUND($E$7*$E$22,0)</f>
        <v>50</v>
      </c>
      <c r="J22" s="35">
        <f t="shared" ref="J22:T22" si="20">ROUND(I13*$E$22,0)</f>
        <v>60</v>
      </c>
      <c r="K22" s="35">
        <f t="shared" si="20"/>
        <v>71</v>
      </c>
      <c r="L22" s="35">
        <f>ROUND(K13*$E$22,0)</f>
        <v>83</v>
      </c>
      <c r="M22" s="35">
        <f t="shared" si="20"/>
        <v>95</v>
      </c>
      <c r="N22" s="35">
        <f t="shared" si="20"/>
        <v>109</v>
      </c>
      <c r="O22" s="35">
        <f t="shared" si="20"/>
        <v>123</v>
      </c>
      <c r="P22" s="35">
        <f t="shared" si="20"/>
        <v>139</v>
      </c>
      <c r="Q22" s="35">
        <f t="shared" si="20"/>
        <v>156</v>
      </c>
      <c r="R22" s="35">
        <f t="shared" si="20"/>
        <v>174</v>
      </c>
      <c r="S22" s="35">
        <f t="shared" si="20"/>
        <v>194</v>
      </c>
      <c r="T22" s="36">
        <f t="shared" si="20"/>
        <v>215</v>
      </c>
      <c r="U22" s="54">
        <f t="shared" ref="U22:U27" si="21">SUM(I22:T22)</f>
        <v>1469</v>
      </c>
      <c r="V22" s="35">
        <f>ROUND(T13*$E$22,0)</f>
        <v>239</v>
      </c>
      <c r="W22" s="35">
        <f t="shared" ref="W22:AG22" si="22">ROUND(V13*$E$22,0)</f>
        <v>260</v>
      </c>
      <c r="X22" s="35">
        <f t="shared" si="22"/>
        <v>282</v>
      </c>
      <c r="Y22" s="35">
        <f t="shared" si="22"/>
        <v>305</v>
      </c>
      <c r="Z22" s="35">
        <f t="shared" si="22"/>
        <v>331</v>
      </c>
      <c r="AA22" s="35">
        <f t="shared" si="22"/>
        <v>358</v>
      </c>
      <c r="AB22" s="35">
        <f t="shared" si="22"/>
        <v>387</v>
      </c>
      <c r="AC22" s="35">
        <f t="shared" si="22"/>
        <v>418</v>
      </c>
      <c r="AD22" s="35">
        <f t="shared" si="22"/>
        <v>452</v>
      </c>
      <c r="AE22" s="35">
        <f t="shared" si="22"/>
        <v>488</v>
      </c>
      <c r="AF22" s="35">
        <f t="shared" si="22"/>
        <v>527</v>
      </c>
      <c r="AG22" s="36">
        <f t="shared" si="22"/>
        <v>569</v>
      </c>
      <c r="AH22" s="54">
        <f t="shared" ref="AH22:AH27" si="23">SUM(V22:AG22)</f>
        <v>4616</v>
      </c>
      <c r="AI22" s="7"/>
      <c r="AJ22" s="7"/>
      <c r="AK22" s="7"/>
      <c r="AL22" s="7"/>
      <c r="AM22" s="7"/>
      <c r="AN22" s="7"/>
      <c r="AO22" s="7"/>
    </row>
    <row r="23" spans="1:41" s="28" customFormat="1">
      <c r="A23" s="7"/>
      <c r="B23" s="77"/>
      <c r="C23" s="543" t="s">
        <v>18</v>
      </c>
      <c r="D23" s="543"/>
      <c r="E23" s="44">
        <v>2.5000000000000001E-3</v>
      </c>
      <c r="F23" s="80"/>
      <c r="G23" s="68"/>
      <c r="H23" s="96" t="s">
        <v>19</v>
      </c>
      <c r="I23" s="40">
        <f>ROUND(I6*$E$23,0)</f>
        <v>13</v>
      </c>
      <c r="J23" s="35">
        <f>ROUND(I15*$E$23,0)</f>
        <v>14</v>
      </c>
      <c r="K23" s="35">
        <f t="shared" ref="K23:T23" si="24">ROUND(J15*$E$23,0)</f>
        <v>16</v>
      </c>
      <c r="L23" s="35">
        <f>ROUND(K15*$E$23,0)</f>
        <v>18</v>
      </c>
      <c r="M23" s="35">
        <f t="shared" si="24"/>
        <v>20</v>
      </c>
      <c r="N23" s="35">
        <f t="shared" si="24"/>
        <v>23</v>
      </c>
      <c r="O23" s="35">
        <f t="shared" si="24"/>
        <v>26</v>
      </c>
      <c r="P23" s="35">
        <f t="shared" si="24"/>
        <v>29</v>
      </c>
      <c r="Q23" s="35">
        <f t="shared" si="24"/>
        <v>33</v>
      </c>
      <c r="R23" s="35">
        <f t="shared" si="24"/>
        <v>37</v>
      </c>
      <c r="S23" s="35">
        <f t="shared" si="24"/>
        <v>42</v>
      </c>
      <c r="T23" s="36">
        <f t="shared" si="24"/>
        <v>47</v>
      </c>
      <c r="U23" s="54">
        <f t="shared" si="21"/>
        <v>318</v>
      </c>
      <c r="V23" s="35">
        <f>ROUND(T15*$E$23,0)</f>
        <v>53</v>
      </c>
      <c r="W23" s="35">
        <f t="shared" ref="W23:AG23" si="25">ROUND(V15*$E$23,0)</f>
        <v>60</v>
      </c>
      <c r="X23" s="35">
        <f t="shared" si="25"/>
        <v>67</v>
      </c>
      <c r="Y23" s="35">
        <f t="shared" si="25"/>
        <v>74</v>
      </c>
      <c r="Z23" s="35">
        <f t="shared" si="25"/>
        <v>82</v>
      </c>
      <c r="AA23" s="35">
        <f t="shared" si="25"/>
        <v>91</v>
      </c>
      <c r="AB23" s="35">
        <f t="shared" si="25"/>
        <v>101</v>
      </c>
      <c r="AC23" s="35">
        <f t="shared" si="25"/>
        <v>111</v>
      </c>
      <c r="AD23" s="35">
        <f t="shared" si="25"/>
        <v>122</v>
      </c>
      <c r="AE23" s="35">
        <f t="shared" si="25"/>
        <v>134</v>
      </c>
      <c r="AF23" s="35">
        <f t="shared" si="25"/>
        <v>147</v>
      </c>
      <c r="AG23" s="36">
        <f t="shared" si="25"/>
        <v>161</v>
      </c>
      <c r="AH23" s="54">
        <f t="shared" si="23"/>
        <v>1203</v>
      </c>
      <c r="AI23" s="7"/>
      <c r="AJ23" s="7"/>
      <c r="AK23" s="7"/>
      <c r="AL23" s="7"/>
      <c r="AM23" s="7"/>
      <c r="AN23" s="7"/>
      <c r="AO23" s="7"/>
    </row>
    <row r="24" spans="1:41" s="28" customFormat="1">
      <c r="A24" s="7"/>
      <c r="B24" s="77"/>
      <c r="C24" s="30"/>
      <c r="D24" s="30"/>
      <c r="E24" s="31"/>
      <c r="F24" s="80"/>
      <c r="G24" s="68"/>
      <c r="H24" s="118" t="s">
        <v>20</v>
      </c>
      <c r="I24" s="40">
        <f t="shared" ref="I24:T24" si="26">I22+I23</f>
        <v>63</v>
      </c>
      <c r="J24" s="35">
        <f t="shared" si="26"/>
        <v>74</v>
      </c>
      <c r="K24" s="35">
        <f t="shared" si="26"/>
        <v>87</v>
      </c>
      <c r="L24" s="35">
        <f t="shared" si="26"/>
        <v>101</v>
      </c>
      <c r="M24" s="35">
        <f t="shared" si="26"/>
        <v>115</v>
      </c>
      <c r="N24" s="35">
        <f t="shared" si="26"/>
        <v>132</v>
      </c>
      <c r="O24" s="35">
        <f t="shared" si="26"/>
        <v>149</v>
      </c>
      <c r="P24" s="35">
        <f t="shared" si="26"/>
        <v>168</v>
      </c>
      <c r="Q24" s="35">
        <f t="shared" si="26"/>
        <v>189</v>
      </c>
      <c r="R24" s="35">
        <f t="shared" si="26"/>
        <v>211</v>
      </c>
      <c r="S24" s="35">
        <f t="shared" si="26"/>
        <v>236</v>
      </c>
      <c r="T24" s="36">
        <f t="shared" si="26"/>
        <v>262</v>
      </c>
      <c r="U24" s="54">
        <f>SUM(I24:T24)</f>
        <v>1787</v>
      </c>
      <c r="V24" s="35">
        <f t="shared" ref="V24:AG24" si="27">V22+V23</f>
        <v>292</v>
      </c>
      <c r="W24" s="35">
        <f t="shared" si="27"/>
        <v>320</v>
      </c>
      <c r="X24" s="35">
        <f t="shared" si="27"/>
        <v>349</v>
      </c>
      <c r="Y24" s="35">
        <f t="shared" si="27"/>
        <v>379</v>
      </c>
      <c r="Z24" s="35">
        <f t="shared" si="27"/>
        <v>413</v>
      </c>
      <c r="AA24" s="35">
        <f t="shared" si="27"/>
        <v>449</v>
      </c>
      <c r="AB24" s="35">
        <f t="shared" si="27"/>
        <v>488</v>
      </c>
      <c r="AC24" s="35">
        <f t="shared" si="27"/>
        <v>529</v>
      </c>
      <c r="AD24" s="35">
        <f t="shared" si="27"/>
        <v>574</v>
      </c>
      <c r="AE24" s="35">
        <f t="shared" si="27"/>
        <v>622</v>
      </c>
      <c r="AF24" s="35">
        <f t="shared" si="27"/>
        <v>674</v>
      </c>
      <c r="AG24" s="36">
        <f t="shared" si="27"/>
        <v>730</v>
      </c>
      <c r="AH24" s="54">
        <f>SUM(V24:AG24)</f>
        <v>5819</v>
      </c>
      <c r="AI24" s="7"/>
      <c r="AJ24" s="7"/>
      <c r="AK24" s="7"/>
      <c r="AL24" s="7"/>
      <c r="AM24" s="7"/>
      <c r="AN24" s="7"/>
      <c r="AO24" s="7"/>
    </row>
    <row r="25" spans="1:41" s="28" customFormat="1">
      <c r="A25" s="7"/>
      <c r="B25" s="77"/>
      <c r="C25" s="30"/>
      <c r="D25" s="30"/>
      <c r="E25" s="44"/>
      <c r="F25" s="80"/>
      <c r="G25" s="68"/>
      <c r="H25" s="118" t="s">
        <v>134</v>
      </c>
      <c r="I25" s="40">
        <f t="shared" ref="I25:T25" si="28">I53</f>
        <v>2</v>
      </c>
      <c r="J25" s="35">
        <f t="shared" si="28"/>
        <v>2</v>
      </c>
      <c r="K25" s="35">
        <f t="shared" si="28"/>
        <v>2</v>
      </c>
      <c r="L25" s="35">
        <f t="shared" si="28"/>
        <v>3</v>
      </c>
      <c r="M25" s="35">
        <f t="shared" si="28"/>
        <v>4</v>
      </c>
      <c r="N25" s="35">
        <f t="shared" si="28"/>
        <v>4</v>
      </c>
      <c r="O25" s="35">
        <f t="shared" si="28"/>
        <v>5</v>
      </c>
      <c r="P25" s="35">
        <f t="shared" si="28"/>
        <v>6</v>
      </c>
      <c r="Q25" s="35">
        <f t="shared" si="28"/>
        <v>7</v>
      </c>
      <c r="R25" s="35">
        <f t="shared" si="28"/>
        <v>8</v>
      </c>
      <c r="S25" s="35">
        <f t="shared" si="28"/>
        <v>10</v>
      </c>
      <c r="T25" s="36">
        <f t="shared" si="28"/>
        <v>11</v>
      </c>
      <c r="U25" s="54">
        <f t="shared" si="21"/>
        <v>64</v>
      </c>
      <c r="V25" s="40">
        <f t="shared" ref="V25:AG25" si="29">V53</f>
        <v>12</v>
      </c>
      <c r="W25" s="35">
        <f t="shared" si="29"/>
        <v>14</v>
      </c>
      <c r="X25" s="35">
        <f t="shared" si="29"/>
        <v>16</v>
      </c>
      <c r="Y25" s="35">
        <f t="shared" si="29"/>
        <v>18</v>
      </c>
      <c r="Z25" s="35">
        <f t="shared" si="29"/>
        <v>21</v>
      </c>
      <c r="AA25" s="35">
        <f t="shared" si="29"/>
        <v>23</v>
      </c>
      <c r="AB25" s="35">
        <f t="shared" si="29"/>
        <v>26</v>
      </c>
      <c r="AC25" s="35">
        <f t="shared" si="29"/>
        <v>29</v>
      </c>
      <c r="AD25" s="35">
        <f t="shared" si="29"/>
        <v>32</v>
      </c>
      <c r="AE25" s="35">
        <f t="shared" si="29"/>
        <v>35</v>
      </c>
      <c r="AF25" s="35">
        <f t="shared" si="29"/>
        <v>39</v>
      </c>
      <c r="AG25" s="36">
        <f t="shared" si="29"/>
        <v>43</v>
      </c>
      <c r="AH25" s="54">
        <f t="shared" si="23"/>
        <v>308</v>
      </c>
      <c r="AI25" s="7"/>
      <c r="AJ25" s="7"/>
      <c r="AK25" s="7"/>
      <c r="AL25" s="7"/>
      <c r="AM25" s="7"/>
      <c r="AN25" s="7"/>
      <c r="AO25" s="7"/>
    </row>
    <row r="26" spans="1:41" s="28" customFormat="1">
      <c r="A26" s="7"/>
      <c r="B26" s="77"/>
      <c r="C26" s="543" t="s">
        <v>21</v>
      </c>
      <c r="D26" s="543"/>
      <c r="E26" s="44">
        <v>0.03</v>
      </c>
      <c r="F26" s="80"/>
      <c r="G26" s="68"/>
      <c r="H26" s="118" t="s">
        <v>22</v>
      </c>
      <c r="I26" s="34">
        <f t="shared" ref="I26:T26" si="30">ROUND(I20*$E$26,0)</f>
        <v>3</v>
      </c>
      <c r="J26" s="52">
        <f t="shared" si="30"/>
        <v>5</v>
      </c>
      <c r="K26" s="52">
        <f t="shared" si="30"/>
        <v>7</v>
      </c>
      <c r="L26" s="52">
        <f t="shared" si="30"/>
        <v>9</v>
      </c>
      <c r="M26" s="52">
        <f t="shared" si="30"/>
        <v>12</v>
      </c>
      <c r="N26" s="52">
        <f t="shared" si="30"/>
        <v>15</v>
      </c>
      <c r="O26" s="52">
        <f t="shared" si="30"/>
        <v>19</v>
      </c>
      <c r="P26" s="52">
        <f t="shared" si="30"/>
        <v>23</v>
      </c>
      <c r="Q26" s="52">
        <f t="shared" si="30"/>
        <v>27</v>
      </c>
      <c r="R26" s="52">
        <f t="shared" si="30"/>
        <v>32</v>
      </c>
      <c r="S26" s="52">
        <f t="shared" si="30"/>
        <v>38</v>
      </c>
      <c r="T26" s="53">
        <f t="shared" si="30"/>
        <v>44</v>
      </c>
      <c r="U26" s="54">
        <f t="shared" si="21"/>
        <v>234</v>
      </c>
      <c r="V26" s="52">
        <f t="shared" ref="V26:AG26" si="31">ROUND(V20*$E$26,0)</f>
        <v>50</v>
      </c>
      <c r="W26" s="52">
        <f t="shared" si="31"/>
        <v>58</v>
      </c>
      <c r="X26" s="52">
        <f t="shared" si="31"/>
        <v>66</v>
      </c>
      <c r="Y26" s="52">
        <f t="shared" si="31"/>
        <v>74</v>
      </c>
      <c r="Z26" s="52">
        <f t="shared" si="31"/>
        <v>84</v>
      </c>
      <c r="AA26" s="52">
        <f t="shared" si="31"/>
        <v>94</v>
      </c>
      <c r="AB26" s="52">
        <f t="shared" si="31"/>
        <v>105</v>
      </c>
      <c r="AC26" s="52">
        <f t="shared" si="31"/>
        <v>116</v>
      </c>
      <c r="AD26" s="52">
        <f t="shared" si="31"/>
        <v>129</v>
      </c>
      <c r="AE26" s="52">
        <f t="shared" si="31"/>
        <v>143</v>
      </c>
      <c r="AF26" s="52">
        <f t="shared" si="31"/>
        <v>157</v>
      </c>
      <c r="AG26" s="53">
        <f t="shared" si="31"/>
        <v>173</v>
      </c>
      <c r="AH26" s="54">
        <f t="shared" si="23"/>
        <v>1249</v>
      </c>
      <c r="AI26" s="7"/>
      <c r="AJ26" s="7"/>
      <c r="AK26" s="7"/>
      <c r="AL26" s="7"/>
      <c r="AM26" s="7"/>
      <c r="AN26" s="7"/>
      <c r="AO26" s="7"/>
    </row>
    <row r="27" spans="1:41" s="28" customFormat="1">
      <c r="A27" s="7"/>
      <c r="B27" s="77"/>
      <c r="C27" s="30"/>
      <c r="D27" s="30"/>
      <c r="E27" s="31"/>
      <c r="F27" s="80"/>
      <c r="G27" s="68"/>
      <c r="H27" s="118" t="s">
        <v>135</v>
      </c>
      <c r="I27" s="40">
        <f t="shared" ref="I27:T27" si="32">ROUND(I51,0)</f>
        <v>1</v>
      </c>
      <c r="J27" s="35">
        <f t="shared" si="32"/>
        <v>1</v>
      </c>
      <c r="K27" s="35">
        <f t="shared" si="32"/>
        <v>1</v>
      </c>
      <c r="L27" s="35">
        <f t="shared" si="32"/>
        <v>2</v>
      </c>
      <c r="M27" s="35">
        <f t="shared" si="32"/>
        <v>2</v>
      </c>
      <c r="N27" s="35">
        <f t="shared" si="32"/>
        <v>3</v>
      </c>
      <c r="O27" s="35">
        <f t="shared" si="32"/>
        <v>3</v>
      </c>
      <c r="P27" s="35">
        <f t="shared" si="32"/>
        <v>4</v>
      </c>
      <c r="Q27" s="35">
        <f t="shared" si="32"/>
        <v>5</v>
      </c>
      <c r="R27" s="35">
        <f t="shared" si="32"/>
        <v>5</v>
      </c>
      <c r="S27" s="35">
        <f t="shared" si="32"/>
        <v>6</v>
      </c>
      <c r="T27" s="36">
        <f t="shared" si="32"/>
        <v>7</v>
      </c>
      <c r="U27" s="54">
        <f t="shared" si="21"/>
        <v>40</v>
      </c>
      <c r="V27" s="35">
        <f t="shared" ref="V27:AG27" si="33">ROUND(V51,0)</f>
        <v>8</v>
      </c>
      <c r="W27" s="35">
        <f t="shared" si="33"/>
        <v>10</v>
      </c>
      <c r="X27" s="35">
        <f t="shared" si="33"/>
        <v>11</v>
      </c>
      <c r="Y27" s="35">
        <f t="shared" si="33"/>
        <v>12</v>
      </c>
      <c r="Z27" s="35">
        <f t="shared" si="33"/>
        <v>14</v>
      </c>
      <c r="AA27" s="35">
        <f t="shared" si="33"/>
        <v>16</v>
      </c>
      <c r="AB27" s="35">
        <f t="shared" si="33"/>
        <v>17</v>
      </c>
      <c r="AC27" s="35">
        <f t="shared" si="33"/>
        <v>19</v>
      </c>
      <c r="AD27" s="35">
        <f t="shared" si="33"/>
        <v>22</v>
      </c>
      <c r="AE27" s="35">
        <f t="shared" si="33"/>
        <v>24</v>
      </c>
      <c r="AF27" s="35">
        <f t="shared" si="33"/>
        <v>26</v>
      </c>
      <c r="AG27" s="36">
        <f t="shared" si="33"/>
        <v>29</v>
      </c>
      <c r="AH27" s="54">
        <f t="shared" si="23"/>
        <v>208</v>
      </c>
      <c r="AI27" s="7"/>
      <c r="AJ27" s="7"/>
      <c r="AK27" s="7"/>
      <c r="AL27" s="7"/>
      <c r="AM27" s="7"/>
      <c r="AN27" s="7"/>
      <c r="AO27" s="7"/>
    </row>
    <row r="28" spans="1:41" s="28" customFormat="1">
      <c r="A28" s="7"/>
      <c r="B28" s="77"/>
      <c r="C28" s="30"/>
      <c r="D28" s="30"/>
      <c r="E28" s="31"/>
      <c r="F28" s="80"/>
      <c r="G28" s="68"/>
      <c r="H28" s="121" t="s">
        <v>23</v>
      </c>
      <c r="I28" s="69">
        <f t="shared" ref="I28:T28" si="34">I20+I22+I23+I25-I26-I27</f>
        <v>161</v>
      </c>
      <c r="J28" s="70">
        <f t="shared" si="34"/>
        <v>231</v>
      </c>
      <c r="K28" s="70">
        <f t="shared" si="34"/>
        <v>312</v>
      </c>
      <c r="L28" s="70">
        <f t="shared" si="34"/>
        <v>405</v>
      </c>
      <c r="M28" s="70">
        <f t="shared" si="34"/>
        <v>510</v>
      </c>
      <c r="N28" s="70">
        <f t="shared" si="34"/>
        <v>628</v>
      </c>
      <c r="O28" s="70">
        <f t="shared" si="34"/>
        <v>760</v>
      </c>
      <c r="P28" s="70">
        <f t="shared" si="34"/>
        <v>907</v>
      </c>
      <c r="Q28" s="70">
        <f t="shared" si="34"/>
        <v>1071</v>
      </c>
      <c r="R28" s="70">
        <f t="shared" si="34"/>
        <v>1253</v>
      </c>
      <c r="S28" s="70">
        <f t="shared" si="34"/>
        <v>1455</v>
      </c>
      <c r="T28" s="71">
        <f t="shared" si="34"/>
        <v>1677</v>
      </c>
      <c r="U28" s="71">
        <f>T28</f>
        <v>1677</v>
      </c>
      <c r="V28" s="69">
        <f t="shared" ref="V28:AG28" si="35">V20+V22+V23+V25-V26-V27</f>
        <v>1923</v>
      </c>
      <c r="W28" s="70">
        <f t="shared" si="35"/>
        <v>2189</v>
      </c>
      <c r="X28" s="70">
        <f t="shared" si="35"/>
        <v>2477</v>
      </c>
      <c r="Y28" s="70">
        <f t="shared" si="35"/>
        <v>2788</v>
      </c>
      <c r="Z28" s="70">
        <f t="shared" si="35"/>
        <v>3124</v>
      </c>
      <c r="AA28" s="70">
        <f t="shared" si="35"/>
        <v>3486</v>
      </c>
      <c r="AB28" s="70">
        <f t="shared" si="35"/>
        <v>3878</v>
      </c>
      <c r="AC28" s="70">
        <f t="shared" si="35"/>
        <v>4301</v>
      </c>
      <c r="AD28" s="70">
        <f t="shared" si="35"/>
        <v>4756</v>
      </c>
      <c r="AE28" s="70">
        <f t="shared" si="35"/>
        <v>5246</v>
      </c>
      <c r="AF28" s="70">
        <f t="shared" si="35"/>
        <v>5776</v>
      </c>
      <c r="AG28" s="71">
        <f t="shared" si="35"/>
        <v>6347</v>
      </c>
      <c r="AH28" s="71">
        <f>AG28</f>
        <v>6347</v>
      </c>
      <c r="AI28" s="7"/>
      <c r="AJ28" s="7"/>
      <c r="AK28" s="7"/>
      <c r="AL28" s="7"/>
      <c r="AM28" s="7"/>
      <c r="AN28" s="7"/>
      <c r="AO28" s="7"/>
    </row>
    <row r="29" spans="1:41" s="510" customFormat="1">
      <c r="A29" s="286"/>
      <c r="B29" s="501"/>
      <c r="C29" s="502"/>
      <c r="D29" s="502"/>
      <c r="E29" s="503"/>
      <c r="F29" s="504"/>
      <c r="G29" s="291"/>
      <c r="H29" s="505" t="s">
        <v>281</v>
      </c>
      <c r="I29" s="506">
        <f>0.5*(Costs!J62+Costs!J96+Costs!J104+Costs!J112+Costs!J122)/I24</f>
        <v>216.26984126984127</v>
      </c>
      <c r="J29" s="507">
        <f>0.5*(Costs!K62+Costs!K96+Costs!K104+Costs!K112+Costs!K122)/J24</f>
        <v>343.91891891891891</v>
      </c>
      <c r="K29" s="507">
        <f>0.5*(Costs!L62+Costs!L96+Costs!L104+Costs!L112+Costs!L122)/K24</f>
        <v>327.01149425287355</v>
      </c>
      <c r="L29" s="507">
        <f>0.5*(Costs!M62+Costs!M96+Costs!M104+Costs!M112+Costs!M122)/L24</f>
        <v>331.18811881188117</v>
      </c>
      <c r="M29" s="507">
        <f>0.5*(Costs!N62+Costs!N96+Costs!N104+Costs!N112+Costs!N122)/M24</f>
        <v>435.43478260869563</v>
      </c>
      <c r="N29" s="507">
        <f>0.5*(Costs!O62+Costs!O96+Costs!O104+Costs!O112+Costs!O122)/N24</f>
        <v>449.24242424242425</v>
      </c>
      <c r="O29" s="507">
        <f>0.5*(Costs!P62+Costs!P96+Costs!P104+Costs!P112+Costs!P122)/O24</f>
        <v>418.12080536912754</v>
      </c>
      <c r="P29" s="507">
        <f>0.5*(Costs!Q62+Costs!Q96+Costs!Q104+Costs!Q112+Costs!Q122)/P24</f>
        <v>400.59523809523807</v>
      </c>
      <c r="Q29" s="507">
        <f>0.5*(Costs!R62+Costs!R96+Costs!R104+Costs!R112+Costs!R122)/Q24</f>
        <v>382.53968253968253</v>
      </c>
      <c r="R29" s="507">
        <f>0.5*(Costs!S62+Costs!S96+Costs!S104+Costs!S112+Costs!S122)/R24</f>
        <v>366.35071090047393</v>
      </c>
      <c r="S29" s="507">
        <f>0.5*(Costs!T62+Costs!T96+Costs!T104+Costs!T112+Costs!T122)/S24</f>
        <v>348.72881355932202</v>
      </c>
      <c r="T29" s="508">
        <f>0.5*(Costs!U62+Costs!U96+Costs!U104+Costs!U112+Costs!U122)/T24</f>
        <v>333.20610687022901</v>
      </c>
      <c r="U29" s="509"/>
      <c r="V29" s="506">
        <f>0.5*(Costs!W62+Costs!W96+Costs!W104+Costs!W112+Costs!W122)/V24</f>
        <v>316.09589041095893</v>
      </c>
      <c r="W29" s="507">
        <f>0.5*(Costs!X62+Costs!X96+Costs!X104+Costs!X112+Costs!X122)/W24</f>
        <v>327.265625</v>
      </c>
      <c r="X29" s="507">
        <f>0.5*(Costs!Y62+Costs!Y96+Costs!Y104+Costs!Y112+Costs!Y122)/X24</f>
        <v>324.78510028653295</v>
      </c>
      <c r="Y29" s="507">
        <f>0.5*(Costs!Z62+Costs!Z96+Costs!Z104+Costs!Z112+Costs!Z122)/Y24</f>
        <v>306.99208443271766</v>
      </c>
      <c r="Z29" s="507">
        <f>0.5*(Costs!AA62+Costs!AA96+Costs!AA104+Costs!AA112+Costs!AA122)/Z24</f>
        <v>293.82566585956414</v>
      </c>
      <c r="AA29" s="507">
        <f>0.5*(Costs!AB62+Costs!AB96+Costs!AB104+Costs!AB112+Costs!AB122)/AA24</f>
        <v>293.93095768374167</v>
      </c>
      <c r="AB29" s="507">
        <f>0.5*(Costs!AC62+Costs!AC96+Costs!AC104+Costs!AC112+Costs!AC122)/AB24</f>
        <v>276.58811475409834</v>
      </c>
      <c r="AC29" s="507">
        <f>0.5*(Costs!AD62+Costs!AD96+Costs!AD104+Costs!AD112+Costs!AD122)/AC24</f>
        <v>264.60302457466918</v>
      </c>
      <c r="AD29" s="507">
        <f>0.5*(Costs!AE62+Costs!AE96+Costs!AE104+Costs!AE112+Costs!AE122)/AD24</f>
        <v>252.56968641114983</v>
      </c>
      <c r="AE29" s="507">
        <f>0.5*(Costs!AF62+Costs!AF96+Costs!AF104+Costs!AF112+Costs!AF122)/AE24</f>
        <v>252.09003215434083</v>
      </c>
      <c r="AF29" s="507">
        <f>0.5*(Costs!AG62+Costs!AG96+Costs!AG104+Costs!AG112+Costs!AG122)/AF24</f>
        <v>237.09198813056381</v>
      </c>
      <c r="AG29" s="508">
        <f>0.5*(Costs!AH62+Costs!AH96+Costs!AH104+Costs!AH112+Costs!AH122)/AG24</f>
        <v>225.75342465753425</v>
      </c>
      <c r="AH29" s="509"/>
      <c r="AI29" s="286"/>
      <c r="AJ29" s="286"/>
      <c r="AK29" s="286"/>
      <c r="AL29" s="286"/>
      <c r="AM29" s="286"/>
      <c r="AN29" s="286"/>
      <c r="AO29" s="286"/>
    </row>
    <row r="30" spans="1:41" s="28" customFormat="1">
      <c r="A30" s="7"/>
      <c r="B30" s="77"/>
      <c r="C30" s="82"/>
      <c r="D30" s="82"/>
      <c r="E30" s="82"/>
      <c r="F30" s="80"/>
      <c r="G30" s="68"/>
      <c r="H30" s="113"/>
      <c r="I30" s="404"/>
      <c r="J30" s="129"/>
      <c r="K30" s="116"/>
      <c r="L30" s="116"/>
      <c r="M30" s="116"/>
      <c r="N30" s="116"/>
      <c r="O30" s="116"/>
      <c r="P30" s="116"/>
      <c r="Q30" s="116"/>
      <c r="R30" s="116"/>
      <c r="S30" s="116"/>
      <c r="T30" s="117"/>
      <c r="U30" s="111"/>
      <c r="V30" s="116"/>
      <c r="W30" s="116"/>
      <c r="X30" s="116"/>
      <c r="Y30" s="116"/>
      <c r="Z30" s="116"/>
      <c r="AA30" s="116"/>
      <c r="AB30" s="116"/>
      <c r="AC30" s="116"/>
      <c r="AD30" s="116"/>
      <c r="AE30" s="116"/>
      <c r="AF30" s="116"/>
      <c r="AG30" s="117"/>
      <c r="AH30" s="111"/>
      <c r="AI30" s="7"/>
      <c r="AJ30" s="7"/>
      <c r="AK30" s="7"/>
      <c r="AL30" s="7"/>
      <c r="AM30" s="7"/>
      <c r="AN30" s="7"/>
      <c r="AO30" s="7"/>
    </row>
    <row r="31" spans="1:41" s="28" customFormat="1">
      <c r="A31" s="7"/>
      <c r="B31" s="77"/>
      <c r="C31" s="82"/>
      <c r="D31" s="82"/>
      <c r="E31" s="82"/>
      <c r="F31" s="80"/>
      <c r="G31" s="68"/>
      <c r="H31" s="92" t="s">
        <v>25</v>
      </c>
      <c r="I31" s="81"/>
      <c r="J31" s="82"/>
      <c r="K31" s="82"/>
      <c r="L31" s="82"/>
      <c r="M31" s="82"/>
      <c r="N31" s="82"/>
      <c r="O31" s="82"/>
      <c r="P31" s="82"/>
      <c r="Q31" s="82"/>
      <c r="R31" s="82"/>
      <c r="S31" s="82"/>
      <c r="T31" s="27"/>
      <c r="U31" s="83"/>
      <c r="V31" s="81"/>
      <c r="W31" s="82"/>
      <c r="X31" s="82"/>
      <c r="Y31" s="82"/>
      <c r="Z31" s="82"/>
      <c r="AA31" s="82"/>
      <c r="AB31" s="82"/>
      <c r="AC31" s="82"/>
      <c r="AD31" s="82"/>
      <c r="AE31" s="82"/>
      <c r="AF31" s="82"/>
      <c r="AG31" s="27"/>
      <c r="AH31" s="83"/>
      <c r="AI31" s="7"/>
      <c r="AJ31" s="7"/>
      <c r="AK31" s="7"/>
      <c r="AL31" s="7"/>
      <c r="AM31" s="7"/>
      <c r="AN31" s="7"/>
      <c r="AO31" s="7"/>
    </row>
    <row r="32" spans="1:41" s="28" customFormat="1">
      <c r="A32" s="7"/>
      <c r="B32" s="77"/>
      <c r="C32" s="30" t="s">
        <v>268</v>
      </c>
      <c r="D32" s="30"/>
      <c r="E32" s="451">
        <v>50</v>
      </c>
      <c r="F32" s="80"/>
      <c r="G32" s="68"/>
      <c r="H32" s="118" t="s">
        <v>212</v>
      </c>
      <c r="I32" s="40">
        <f>$E$32</f>
        <v>50</v>
      </c>
      <c r="J32" s="35">
        <f t="shared" ref="J32:T32" si="36">I32*(1+$E$33)</f>
        <v>50.249999999999993</v>
      </c>
      <c r="K32" s="35">
        <f t="shared" si="36"/>
        <v>50.501249999999985</v>
      </c>
      <c r="L32" s="35">
        <f t="shared" si="36"/>
        <v>50.753756249999981</v>
      </c>
      <c r="M32" s="35">
        <f t="shared" si="36"/>
        <v>51.007525031249976</v>
      </c>
      <c r="N32" s="35">
        <f t="shared" si="36"/>
        <v>51.262562656406217</v>
      </c>
      <c r="O32" s="35">
        <f t="shared" si="36"/>
        <v>51.51887546968824</v>
      </c>
      <c r="P32" s="35">
        <f t="shared" si="36"/>
        <v>51.776469847036672</v>
      </c>
      <c r="Q32" s="35">
        <f t="shared" si="36"/>
        <v>52.035352196271852</v>
      </c>
      <c r="R32" s="35">
        <f t="shared" si="36"/>
        <v>52.295528957253204</v>
      </c>
      <c r="S32" s="35">
        <f t="shared" si="36"/>
        <v>52.557006602039465</v>
      </c>
      <c r="T32" s="36">
        <f t="shared" si="36"/>
        <v>52.819791635049654</v>
      </c>
      <c r="U32" s="37"/>
      <c r="V32" s="35">
        <f>T32*(1+$E$33)</f>
        <v>53.083890593224893</v>
      </c>
      <c r="W32" s="35">
        <f t="shared" ref="W32:AG32" si="37">V32*(1+$E$33)</f>
        <v>53.349310046191015</v>
      </c>
      <c r="X32" s="35">
        <f t="shared" si="37"/>
        <v>53.616056596421963</v>
      </c>
      <c r="Y32" s="35">
        <f t="shared" si="37"/>
        <v>53.884136879404068</v>
      </c>
      <c r="Z32" s="35">
        <f t="shared" si="37"/>
        <v>54.15355756380108</v>
      </c>
      <c r="AA32" s="35">
        <f t="shared" si="37"/>
        <v>54.424325351620077</v>
      </c>
      <c r="AB32" s="35">
        <f t="shared" si="37"/>
        <v>54.696446978378169</v>
      </c>
      <c r="AC32" s="35">
        <f t="shared" si="37"/>
        <v>54.969929213270056</v>
      </c>
      <c r="AD32" s="35">
        <f t="shared" si="37"/>
        <v>55.2447788593364</v>
      </c>
      <c r="AE32" s="35">
        <f t="shared" si="37"/>
        <v>55.521002753633077</v>
      </c>
      <c r="AF32" s="35">
        <f t="shared" si="37"/>
        <v>55.798607767401236</v>
      </c>
      <c r="AG32" s="36">
        <f t="shared" si="37"/>
        <v>56.077600806238237</v>
      </c>
      <c r="AH32" s="37"/>
      <c r="AI32" s="7"/>
      <c r="AJ32" s="7"/>
      <c r="AK32" s="7"/>
      <c r="AL32" s="7"/>
      <c r="AM32" s="7"/>
      <c r="AN32" s="7"/>
      <c r="AO32" s="7"/>
    </row>
    <row r="33" spans="1:41" s="28" customFormat="1">
      <c r="A33" s="7"/>
      <c r="B33" s="77"/>
      <c r="C33" s="30" t="s">
        <v>24</v>
      </c>
      <c r="D33" s="30"/>
      <c r="E33" s="44">
        <v>5.0000000000000001E-3</v>
      </c>
      <c r="F33" s="80"/>
      <c r="G33" s="68"/>
      <c r="H33" s="118" t="s">
        <v>213</v>
      </c>
      <c r="I33" s="40">
        <f>I20*I32</f>
        <v>5000</v>
      </c>
      <c r="J33" s="35">
        <f t="shared" ref="J33:T33" si="38">I40</f>
        <v>8050</v>
      </c>
      <c r="K33" s="35">
        <f t="shared" si="38"/>
        <v>11607.749999999998</v>
      </c>
      <c r="L33" s="35">
        <f t="shared" si="38"/>
        <v>15756.389999999994</v>
      </c>
      <c r="M33" s="35">
        <f t="shared" si="38"/>
        <v>20555.271281249992</v>
      </c>
      <c r="N33" s="35">
        <f t="shared" si="38"/>
        <v>26013.837765937489</v>
      </c>
      <c r="O33" s="35">
        <f t="shared" si="38"/>
        <v>32192.8893482231</v>
      </c>
      <c r="P33" s="35">
        <f t="shared" si="38"/>
        <v>39154.345356963051</v>
      </c>
      <c r="Q33" s="35">
        <f t="shared" si="38"/>
        <v>46961.258151262249</v>
      </c>
      <c r="R33" s="35">
        <f t="shared" si="38"/>
        <v>55729.862202207143</v>
      </c>
      <c r="S33" s="35">
        <f t="shared" si="38"/>
        <v>65526.29778343824</v>
      </c>
      <c r="T33" s="36">
        <f t="shared" si="38"/>
        <v>76470.444605967394</v>
      </c>
      <c r="U33" s="37"/>
      <c r="V33" s="35">
        <f t="shared" ref="V33:AG33" si="39">U40</f>
        <v>88578.790571978243</v>
      </c>
      <c r="W33" s="35">
        <f t="shared" si="39"/>
        <v>102080.32161077144</v>
      </c>
      <c r="X33" s="35">
        <f t="shared" si="39"/>
        <v>116781.6396911121</v>
      </c>
      <c r="Y33" s="35">
        <f t="shared" si="39"/>
        <v>132806.97218933716</v>
      </c>
      <c r="Z33" s="35">
        <f t="shared" si="39"/>
        <v>150228.9736197785</v>
      </c>
      <c r="AA33" s="35">
        <f t="shared" si="39"/>
        <v>169175.71382931451</v>
      </c>
      <c r="AB33" s="35">
        <f t="shared" si="39"/>
        <v>189723.19817574753</v>
      </c>
      <c r="AC33" s="35">
        <f t="shared" si="39"/>
        <v>212112.82138215049</v>
      </c>
      <c r="AD33" s="35">
        <f t="shared" si="39"/>
        <v>236425.66554627445</v>
      </c>
      <c r="AE33" s="35">
        <f t="shared" si="39"/>
        <v>262744.16825500381</v>
      </c>
      <c r="AF33" s="35">
        <f t="shared" si="39"/>
        <v>291263.18044555897</v>
      </c>
      <c r="AG33" s="36">
        <f t="shared" si="39"/>
        <v>322292.75846450939</v>
      </c>
      <c r="AH33" s="37"/>
      <c r="AI33" s="7"/>
      <c r="AJ33" s="7"/>
      <c r="AK33" s="7"/>
      <c r="AL33" s="7"/>
      <c r="AM33" s="7"/>
      <c r="AN33" s="7"/>
      <c r="AO33" s="7"/>
    </row>
    <row r="34" spans="1:41" s="28" customFormat="1">
      <c r="A34" s="7"/>
      <c r="B34" s="77"/>
      <c r="C34" s="30" t="s">
        <v>269</v>
      </c>
      <c r="D34" s="30"/>
      <c r="E34" s="451">
        <v>50</v>
      </c>
      <c r="F34" s="80"/>
      <c r="G34" s="68"/>
      <c r="H34" s="96" t="s">
        <v>208</v>
      </c>
      <c r="I34" s="40">
        <f t="shared" ref="I34:T34" si="40">I24*I32</f>
        <v>3150</v>
      </c>
      <c r="J34" s="35">
        <f t="shared" si="40"/>
        <v>3718.4999999999995</v>
      </c>
      <c r="K34" s="35">
        <f t="shared" si="40"/>
        <v>4393.6087499999985</v>
      </c>
      <c r="L34" s="35">
        <f t="shared" si="40"/>
        <v>5126.129381249998</v>
      </c>
      <c r="M34" s="35">
        <f t="shared" si="40"/>
        <v>5865.8653785937477</v>
      </c>
      <c r="N34" s="35">
        <f t="shared" si="40"/>
        <v>6766.6582706456211</v>
      </c>
      <c r="O34" s="35">
        <f t="shared" si="40"/>
        <v>7676.3124449835477</v>
      </c>
      <c r="P34" s="35">
        <f t="shared" si="40"/>
        <v>8698.446934302161</v>
      </c>
      <c r="Q34" s="35">
        <f t="shared" si="40"/>
        <v>9834.6815650953795</v>
      </c>
      <c r="R34" s="35">
        <f t="shared" si="40"/>
        <v>11034.356609980427</v>
      </c>
      <c r="S34" s="35">
        <f t="shared" si="40"/>
        <v>12403.453558081314</v>
      </c>
      <c r="T34" s="36">
        <f t="shared" si="40"/>
        <v>13838.78540838301</v>
      </c>
      <c r="U34" s="37">
        <f t="shared" ref="U34:U39" si="41">SUM(I34:T34)</f>
        <v>92506.798301315197</v>
      </c>
      <c r="V34" s="40">
        <f t="shared" ref="V34:AG34" si="42">V24*V32</f>
        <v>15500.496053221668</v>
      </c>
      <c r="W34" s="35">
        <f t="shared" si="42"/>
        <v>17071.779214781123</v>
      </c>
      <c r="X34" s="35">
        <f t="shared" si="42"/>
        <v>18712.003752151264</v>
      </c>
      <c r="Y34" s="35">
        <f t="shared" si="42"/>
        <v>20422.087877294143</v>
      </c>
      <c r="Z34" s="35">
        <f t="shared" si="42"/>
        <v>22365.419273849846</v>
      </c>
      <c r="AA34" s="35">
        <f t="shared" si="42"/>
        <v>24436.522082877415</v>
      </c>
      <c r="AB34" s="35">
        <f t="shared" si="42"/>
        <v>26691.866125448545</v>
      </c>
      <c r="AC34" s="35">
        <f t="shared" si="42"/>
        <v>29079.092553819861</v>
      </c>
      <c r="AD34" s="35">
        <f t="shared" si="42"/>
        <v>31710.503065259094</v>
      </c>
      <c r="AE34" s="35">
        <f t="shared" si="42"/>
        <v>34534.063712759773</v>
      </c>
      <c r="AF34" s="35">
        <f t="shared" si="42"/>
        <v>37608.261635228431</v>
      </c>
      <c r="AG34" s="36">
        <f t="shared" si="42"/>
        <v>40936.648588553915</v>
      </c>
      <c r="AH34" s="37">
        <f t="shared" ref="AH34:AH39" si="43">SUM(V34:AG34)</f>
        <v>319068.74393524497</v>
      </c>
      <c r="AI34" s="7"/>
      <c r="AJ34" s="7"/>
      <c r="AK34" s="7"/>
      <c r="AL34" s="7"/>
      <c r="AM34" s="7"/>
      <c r="AN34" s="7"/>
      <c r="AO34" s="7"/>
    </row>
    <row r="35" spans="1:41" s="28" customFormat="1">
      <c r="A35" s="7"/>
      <c r="B35" s="77"/>
      <c r="C35" s="30"/>
      <c r="D35" s="30"/>
      <c r="E35" s="44"/>
      <c r="F35" s="80"/>
      <c r="G35" s="68"/>
      <c r="H35" s="96" t="s">
        <v>214</v>
      </c>
      <c r="I35" s="40">
        <f t="shared" ref="I35:T35" si="44">I25*I32</f>
        <v>100</v>
      </c>
      <c r="J35" s="35">
        <f t="shared" si="44"/>
        <v>100.49999999999999</v>
      </c>
      <c r="K35" s="35">
        <f t="shared" si="44"/>
        <v>101.00249999999997</v>
      </c>
      <c r="L35" s="35">
        <f t="shared" si="44"/>
        <v>152.26126874999994</v>
      </c>
      <c r="M35" s="35">
        <f t="shared" si="44"/>
        <v>204.0301001249999</v>
      </c>
      <c r="N35" s="35">
        <f t="shared" si="44"/>
        <v>205.05025062562487</v>
      </c>
      <c r="O35" s="35">
        <f t="shared" si="44"/>
        <v>257.59437734844118</v>
      </c>
      <c r="P35" s="35">
        <f t="shared" si="44"/>
        <v>310.65881908222002</v>
      </c>
      <c r="Q35" s="35">
        <f t="shared" si="44"/>
        <v>364.24746537390297</v>
      </c>
      <c r="R35" s="35">
        <f t="shared" si="44"/>
        <v>418.36423165802563</v>
      </c>
      <c r="S35" s="35">
        <f t="shared" si="44"/>
        <v>525.57006602039462</v>
      </c>
      <c r="T35" s="36">
        <f t="shared" si="44"/>
        <v>581.01770798554617</v>
      </c>
      <c r="U35" s="37">
        <f t="shared" si="41"/>
        <v>3320.2967869691552</v>
      </c>
      <c r="V35" s="40">
        <f t="shared" ref="V35:AG35" si="45">V25*V32</f>
        <v>637.00668711869866</v>
      </c>
      <c r="W35" s="35">
        <f t="shared" si="45"/>
        <v>746.89034064667419</v>
      </c>
      <c r="X35" s="35">
        <f t="shared" si="45"/>
        <v>857.85690554275141</v>
      </c>
      <c r="Y35" s="35">
        <f t="shared" si="45"/>
        <v>969.91446382927325</v>
      </c>
      <c r="Z35" s="35">
        <f t="shared" si="45"/>
        <v>1137.2247088398226</v>
      </c>
      <c r="AA35" s="35">
        <f t="shared" si="45"/>
        <v>1251.7594830872617</v>
      </c>
      <c r="AB35" s="35">
        <f t="shared" si="45"/>
        <v>1422.1076214378324</v>
      </c>
      <c r="AC35" s="35">
        <f t="shared" si="45"/>
        <v>1594.1279471848316</v>
      </c>
      <c r="AD35" s="35">
        <f t="shared" si="45"/>
        <v>1767.8329234987648</v>
      </c>
      <c r="AE35" s="35">
        <f t="shared" si="45"/>
        <v>1943.2350963771578</v>
      </c>
      <c r="AF35" s="35">
        <f t="shared" si="45"/>
        <v>2176.145702928648</v>
      </c>
      <c r="AG35" s="36">
        <f t="shared" si="45"/>
        <v>2411.3368346682441</v>
      </c>
      <c r="AH35" s="37">
        <f t="shared" si="43"/>
        <v>16915.438715159962</v>
      </c>
      <c r="AI35" s="7"/>
      <c r="AJ35" s="7"/>
      <c r="AK35" s="7"/>
      <c r="AL35" s="7"/>
      <c r="AM35" s="7"/>
      <c r="AN35" s="7"/>
      <c r="AO35" s="7"/>
    </row>
    <row r="36" spans="1:41" s="28" customFormat="1">
      <c r="A36" s="7"/>
      <c r="B36" s="77"/>
      <c r="C36" s="30"/>
      <c r="D36" s="30"/>
      <c r="E36" s="44"/>
      <c r="F36" s="80"/>
      <c r="G36" s="68"/>
      <c r="H36" s="96" t="s">
        <v>215</v>
      </c>
      <c r="I36" s="40">
        <f>(I20-I26-I27)*(I32-E34)</f>
        <v>0</v>
      </c>
      <c r="J36" s="35">
        <f t="shared" ref="J36:T36" si="46">(J20-J26-J27)*(J32-I32)</f>
        <v>38.749999999998899</v>
      </c>
      <c r="K36" s="35">
        <f t="shared" si="46"/>
        <v>56.028749999998162</v>
      </c>
      <c r="L36" s="35">
        <f t="shared" si="46"/>
        <v>76.004381249998843</v>
      </c>
      <c r="M36" s="35">
        <f t="shared" si="46"/>
        <v>99.223593468748192</v>
      </c>
      <c r="N36" s="35">
        <f t="shared" si="46"/>
        <v>125.47851157687066</v>
      </c>
      <c r="O36" s="35">
        <f t="shared" si="46"/>
        <v>155.32556484890563</v>
      </c>
      <c r="P36" s="35">
        <f t="shared" si="46"/>
        <v>188.81667859640109</v>
      </c>
      <c r="Q36" s="35">
        <f t="shared" si="46"/>
        <v>226.52205558078185</v>
      </c>
      <c r="R36" s="35">
        <f t="shared" si="46"/>
        <v>269.02277085471809</v>
      </c>
      <c r="S36" s="35">
        <f t="shared" si="46"/>
        <v>316.12647254658958</v>
      </c>
      <c r="T36" s="36">
        <f t="shared" si="46"/>
        <v>368.95018634630577</v>
      </c>
      <c r="U36" s="37">
        <f t="shared" si="41"/>
        <v>1920.2489650693169</v>
      </c>
      <c r="V36" s="40">
        <f>(V20-V26-V27)*(V32-T32)</f>
        <v>427.57621328571247</v>
      </c>
      <c r="W36" s="35">
        <f t="shared" ref="W36:AG36" si="47">(W20-W26-W27)*(W32-V32)</f>
        <v>492.3530852521547</v>
      </c>
      <c r="X36" s="35">
        <f t="shared" si="47"/>
        <v>563.36871408776278</v>
      </c>
      <c r="Y36" s="35">
        <f t="shared" si="47"/>
        <v>640.97995661021241</v>
      </c>
      <c r="Z36" s="35">
        <f t="shared" si="47"/>
        <v>724.74164102796271</v>
      </c>
      <c r="AA36" s="35">
        <f t="shared" si="47"/>
        <v>816.09411248645665</v>
      </c>
      <c r="AB36" s="35">
        <f t="shared" si="47"/>
        <v>915.41715241422423</v>
      </c>
      <c r="AC36" s="35">
        <f t="shared" si="47"/>
        <v>1023.6440052003325</v>
      </c>
      <c r="AD36" s="35">
        <f t="shared" si="47"/>
        <v>1140.6260311753244</v>
      </c>
      <c r="AE36" s="35">
        <f t="shared" si="47"/>
        <v>1267.591450927453</v>
      </c>
      <c r="AF36" s="35">
        <f t="shared" si="47"/>
        <v>1405.5141847081909</v>
      </c>
      <c r="AG36" s="36">
        <f t="shared" si="47"/>
        <v>1555.1071984774435</v>
      </c>
      <c r="AH36" s="37">
        <f t="shared" si="43"/>
        <v>10973.013745653232</v>
      </c>
      <c r="AI36" s="7"/>
      <c r="AJ36" s="7"/>
      <c r="AK36" s="7"/>
      <c r="AL36" s="7"/>
      <c r="AM36" s="7"/>
      <c r="AN36" s="7"/>
      <c r="AO36" s="7"/>
    </row>
    <row r="37" spans="1:41" s="28" customFormat="1">
      <c r="A37" s="7"/>
      <c r="B37" s="77"/>
      <c r="C37" s="30"/>
      <c r="D37" s="30"/>
      <c r="E37" s="44"/>
      <c r="F37" s="80"/>
      <c r="G37" s="68"/>
      <c r="H37" s="96" t="s">
        <v>209</v>
      </c>
      <c r="I37" s="40">
        <f>I26*E34</f>
        <v>150</v>
      </c>
      <c r="J37" s="35">
        <f t="shared" ref="J37:T37" si="48">J26*I32</f>
        <v>250</v>
      </c>
      <c r="K37" s="35">
        <f t="shared" si="48"/>
        <v>351.74999999999994</v>
      </c>
      <c r="L37" s="35">
        <f t="shared" si="48"/>
        <v>454.51124999999985</v>
      </c>
      <c r="M37" s="35">
        <f t="shared" si="48"/>
        <v>609.04507499999977</v>
      </c>
      <c r="N37" s="35">
        <f t="shared" si="48"/>
        <v>765.11287546874962</v>
      </c>
      <c r="O37" s="35">
        <f t="shared" si="48"/>
        <v>973.98869047171809</v>
      </c>
      <c r="P37" s="35">
        <f t="shared" si="48"/>
        <v>1184.9341358028296</v>
      </c>
      <c r="Q37" s="35">
        <f t="shared" si="48"/>
        <v>1397.9646858699903</v>
      </c>
      <c r="R37" s="35">
        <f t="shared" si="48"/>
        <v>1665.1312702806993</v>
      </c>
      <c r="S37" s="35">
        <f t="shared" si="48"/>
        <v>1987.2301003756218</v>
      </c>
      <c r="T37" s="36">
        <f t="shared" si="48"/>
        <v>2312.5082904897363</v>
      </c>
      <c r="U37" s="37">
        <f t="shared" si="41"/>
        <v>12102.176373759346</v>
      </c>
      <c r="V37" s="40">
        <f>V26*T32</f>
        <v>2640.9895817524825</v>
      </c>
      <c r="W37" s="35">
        <f t="shared" ref="W37:AG37" si="49">W26*V32</f>
        <v>3078.8656544070436</v>
      </c>
      <c r="X37" s="35">
        <f t="shared" si="49"/>
        <v>3521.054463048607</v>
      </c>
      <c r="Y37" s="35">
        <f t="shared" si="49"/>
        <v>3967.5881881352252</v>
      </c>
      <c r="Z37" s="35">
        <f t="shared" si="49"/>
        <v>4526.2674978699415</v>
      </c>
      <c r="AA37" s="35">
        <f t="shared" si="49"/>
        <v>5090.4344109973017</v>
      </c>
      <c r="AB37" s="35">
        <f t="shared" si="49"/>
        <v>5714.5541619201076</v>
      </c>
      <c r="AC37" s="35">
        <f t="shared" si="49"/>
        <v>6344.7878494918677</v>
      </c>
      <c r="AD37" s="35">
        <f t="shared" si="49"/>
        <v>7091.1208685118372</v>
      </c>
      <c r="AE37" s="35">
        <f t="shared" si="49"/>
        <v>7900.0033768851054</v>
      </c>
      <c r="AF37" s="35">
        <f t="shared" si="49"/>
        <v>8716.7974323203925</v>
      </c>
      <c r="AG37" s="36">
        <f t="shared" si="49"/>
        <v>9653.1591437604147</v>
      </c>
      <c r="AH37" s="37">
        <f t="shared" si="43"/>
        <v>68245.62262910034</v>
      </c>
      <c r="AI37" s="7"/>
      <c r="AJ37" s="7"/>
      <c r="AK37" s="7"/>
      <c r="AL37" s="7"/>
      <c r="AM37" s="7"/>
      <c r="AN37" s="7"/>
      <c r="AO37" s="7"/>
    </row>
    <row r="38" spans="1:41" s="28" customFormat="1">
      <c r="A38" s="7"/>
      <c r="B38" s="77"/>
      <c r="C38" s="30"/>
      <c r="D38" s="30"/>
      <c r="E38" s="44"/>
      <c r="F38" s="80"/>
      <c r="G38" s="68"/>
      <c r="H38" s="96" t="s">
        <v>216</v>
      </c>
      <c r="I38" s="40">
        <f>I27*E34</f>
        <v>50</v>
      </c>
      <c r="J38" s="35">
        <f t="shared" ref="J38:T38" si="50">J27*I32</f>
        <v>50</v>
      </c>
      <c r="K38" s="35">
        <f t="shared" si="50"/>
        <v>50.249999999999993</v>
      </c>
      <c r="L38" s="35">
        <f t="shared" si="50"/>
        <v>101.00249999999997</v>
      </c>
      <c r="M38" s="35">
        <f t="shared" si="50"/>
        <v>101.50751249999996</v>
      </c>
      <c r="N38" s="35">
        <f t="shared" si="50"/>
        <v>153.02257509374994</v>
      </c>
      <c r="O38" s="35">
        <f t="shared" si="50"/>
        <v>153.78768796921867</v>
      </c>
      <c r="P38" s="35">
        <f t="shared" si="50"/>
        <v>206.07550187875296</v>
      </c>
      <c r="Q38" s="35">
        <f t="shared" si="50"/>
        <v>258.88234923518337</v>
      </c>
      <c r="R38" s="35">
        <f t="shared" si="50"/>
        <v>260.17676098135928</v>
      </c>
      <c r="S38" s="35">
        <f t="shared" si="50"/>
        <v>313.77317374351924</v>
      </c>
      <c r="T38" s="36">
        <f t="shared" si="50"/>
        <v>367.89904621427627</v>
      </c>
      <c r="U38" s="37">
        <f t="shared" si="41"/>
        <v>2066.3771076160592</v>
      </c>
      <c r="V38" s="40">
        <f>V27*T32</f>
        <v>422.55833308039723</v>
      </c>
      <c r="W38" s="35">
        <f t="shared" ref="W38:AG38" si="51">W27*V32</f>
        <v>530.83890593224896</v>
      </c>
      <c r="X38" s="35">
        <f t="shared" si="51"/>
        <v>586.84241050810112</v>
      </c>
      <c r="Y38" s="35">
        <f t="shared" si="51"/>
        <v>643.39267915706353</v>
      </c>
      <c r="Z38" s="35">
        <f t="shared" si="51"/>
        <v>754.37791631165692</v>
      </c>
      <c r="AA38" s="35">
        <f t="shared" si="51"/>
        <v>866.45692102081728</v>
      </c>
      <c r="AB38" s="35">
        <f t="shared" si="51"/>
        <v>925.21353097754127</v>
      </c>
      <c r="AC38" s="35">
        <f t="shared" si="51"/>
        <v>1039.2324925891853</v>
      </c>
      <c r="AD38" s="35">
        <f t="shared" si="51"/>
        <v>1209.3384426919413</v>
      </c>
      <c r="AE38" s="35">
        <f t="shared" si="51"/>
        <v>1325.8746926240735</v>
      </c>
      <c r="AF38" s="35">
        <f t="shared" si="51"/>
        <v>1443.54607159446</v>
      </c>
      <c r="AG38" s="36">
        <f t="shared" si="51"/>
        <v>1618.1596252546358</v>
      </c>
      <c r="AH38" s="37">
        <f t="shared" si="43"/>
        <v>11365.832021742122</v>
      </c>
      <c r="AI38" s="7"/>
      <c r="AJ38" s="7"/>
      <c r="AK38" s="7"/>
      <c r="AL38" s="7"/>
      <c r="AM38" s="7"/>
      <c r="AN38" s="7"/>
      <c r="AO38" s="7"/>
    </row>
    <row r="39" spans="1:41" s="28" customFormat="1">
      <c r="A39" s="7"/>
      <c r="B39" s="77"/>
      <c r="C39" s="30"/>
      <c r="D39" s="30"/>
      <c r="E39" s="44"/>
      <c r="F39" s="80"/>
      <c r="G39" s="68"/>
      <c r="H39" s="118" t="s">
        <v>217</v>
      </c>
      <c r="I39" s="373">
        <f t="shared" ref="I39:T39" si="52">I40-I33</f>
        <v>3050</v>
      </c>
      <c r="J39" s="374">
        <f t="shared" si="52"/>
        <v>3557.7499999999982</v>
      </c>
      <c r="K39" s="374">
        <f t="shared" si="52"/>
        <v>4148.6399999999958</v>
      </c>
      <c r="L39" s="374">
        <f t="shared" si="52"/>
        <v>4798.8812812499982</v>
      </c>
      <c r="M39" s="374">
        <f t="shared" si="52"/>
        <v>5458.566484687497</v>
      </c>
      <c r="N39" s="374">
        <f t="shared" si="52"/>
        <v>6179.0515822856105</v>
      </c>
      <c r="O39" s="374">
        <f t="shared" si="52"/>
        <v>6961.4560087399514</v>
      </c>
      <c r="P39" s="374">
        <f t="shared" si="52"/>
        <v>7806.9127942991981</v>
      </c>
      <c r="Q39" s="374">
        <f t="shared" si="52"/>
        <v>8768.604050944894</v>
      </c>
      <c r="R39" s="374">
        <f t="shared" si="52"/>
        <v>9796.4355812310969</v>
      </c>
      <c r="S39" s="374">
        <f t="shared" si="52"/>
        <v>10944.146822529154</v>
      </c>
      <c r="T39" s="375">
        <f t="shared" si="52"/>
        <v>12108.345966010849</v>
      </c>
      <c r="U39" s="37">
        <f t="shared" si="41"/>
        <v>83578.790571978243</v>
      </c>
      <c r="V39" s="373">
        <f t="shared" ref="V39:AG39" si="53">V40-V33</f>
        <v>13501.531038793197</v>
      </c>
      <c r="W39" s="374">
        <f t="shared" si="53"/>
        <v>14701.318080340658</v>
      </c>
      <c r="X39" s="374">
        <f t="shared" si="53"/>
        <v>16025.332498225063</v>
      </c>
      <c r="Y39" s="374">
        <f t="shared" si="53"/>
        <v>17422.001430441334</v>
      </c>
      <c r="Z39" s="374">
        <f t="shared" si="53"/>
        <v>18946.740209536016</v>
      </c>
      <c r="AA39" s="374">
        <f t="shared" si="53"/>
        <v>20547.484346433019</v>
      </c>
      <c r="AB39" s="374">
        <f t="shared" si="53"/>
        <v>22389.623206402961</v>
      </c>
      <c r="AC39" s="374">
        <f t="shared" si="53"/>
        <v>24312.844164123962</v>
      </c>
      <c r="AD39" s="374">
        <f t="shared" si="53"/>
        <v>26318.502708729357</v>
      </c>
      <c r="AE39" s="374">
        <f t="shared" si="53"/>
        <v>28519.012190555164</v>
      </c>
      <c r="AF39" s="374">
        <f t="shared" si="53"/>
        <v>31029.578018950415</v>
      </c>
      <c r="AG39" s="375">
        <f t="shared" si="53"/>
        <v>33631.773852684535</v>
      </c>
      <c r="AH39" s="37">
        <f t="shared" si="43"/>
        <v>267345.74174521567</v>
      </c>
      <c r="AI39" s="7"/>
      <c r="AJ39" s="7"/>
      <c r="AK39" s="7"/>
      <c r="AL39" s="7"/>
      <c r="AM39" s="7"/>
      <c r="AN39" s="7"/>
      <c r="AO39" s="7"/>
    </row>
    <row r="40" spans="1:41" s="66" customFormat="1">
      <c r="A40" s="17"/>
      <c r="B40" s="77"/>
      <c r="C40" s="78"/>
      <c r="D40" s="78"/>
      <c r="E40" s="85"/>
      <c r="F40" s="80"/>
      <c r="G40" s="68"/>
      <c r="H40" s="386" t="s">
        <v>218</v>
      </c>
      <c r="I40" s="69">
        <f t="shared" ref="I40:T40" si="54">I33+I34+I35+I36-I37-I38</f>
        <v>8050</v>
      </c>
      <c r="J40" s="70">
        <f t="shared" si="54"/>
        <v>11607.749999999998</v>
      </c>
      <c r="K40" s="70">
        <f t="shared" si="54"/>
        <v>15756.389999999994</v>
      </c>
      <c r="L40" s="70">
        <f t="shared" si="54"/>
        <v>20555.271281249992</v>
      </c>
      <c r="M40" s="70">
        <f t="shared" si="54"/>
        <v>26013.837765937489</v>
      </c>
      <c r="N40" s="70">
        <f t="shared" si="54"/>
        <v>32192.8893482231</v>
      </c>
      <c r="O40" s="70">
        <f t="shared" si="54"/>
        <v>39154.345356963051</v>
      </c>
      <c r="P40" s="70">
        <f t="shared" si="54"/>
        <v>46961.258151262249</v>
      </c>
      <c r="Q40" s="70">
        <f t="shared" si="54"/>
        <v>55729.862202207143</v>
      </c>
      <c r="R40" s="70">
        <f t="shared" si="54"/>
        <v>65526.29778343824</v>
      </c>
      <c r="S40" s="70">
        <f t="shared" si="54"/>
        <v>76470.444605967394</v>
      </c>
      <c r="T40" s="71">
        <f t="shared" si="54"/>
        <v>88578.790571978243</v>
      </c>
      <c r="U40" s="71">
        <f>T40</f>
        <v>88578.790571978243</v>
      </c>
      <c r="V40" s="69">
        <f t="shared" ref="V40:AG40" si="55">V33+V34+V35+V36-V37-V38</f>
        <v>102080.32161077144</v>
      </c>
      <c r="W40" s="70">
        <f t="shared" si="55"/>
        <v>116781.6396911121</v>
      </c>
      <c r="X40" s="70">
        <f t="shared" si="55"/>
        <v>132806.97218933716</v>
      </c>
      <c r="Y40" s="70">
        <f t="shared" si="55"/>
        <v>150228.9736197785</v>
      </c>
      <c r="Z40" s="70">
        <f t="shared" si="55"/>
        <v>169175.71382931451</v>
      </c>
      <c r="AA40" s="70">
        <f t="shared" si="55"/>
        <v>189723.19817574753</v>
      </c>
      <c r="AB40" s="70">
        <f t="shared" si="55"/>
        <v>212112.82138215049</v>
      </c>
      <c r="AC40" s="70">
        <f t="shared" si="55"/>
        <v>236425.66554627445</v>
      </c>
      <c r="AD40" s="70">
        <f t="shared" si="55"/>
        <v>262744.16825500381</v>
      </c>
      <c r="AE40" s="70">
        <f t="shared" si="55"/>
        <v>291263.18044555897</v>
      </c>
      <c r="AF40" s="70">
        <f t="shared" si="55"/>
        <v>322292.75846450939</v>
      </c>
      <c r="AG40" s="70">
        <f t="shared" si="55"/>
        <v>355924.53231719392</v>
      </c>
      <c r="AH40" s="474">
        <f>AG40</f>
        <v>355924.53231719392</v>
      </c>
      <c r="AI40" s="17"/>
      <c r="AJ40" s="17"/>
      <c r="AK40" s="17"/>
      <c r="AL40" s="17"/>
      <c r="AM40" s="17"/>
      <c r="AN40" s="17"/>
      <c r="AO40" s="17"/>
    </row>
    <row r="41" spans="1:41" s="66" customFormat="1" ht="13" thickBot="1">
      <c r="A41" s="17"/>
      <c r="B41" s="77"/>
      <c r="C41" s="78"/>
      <c r="D41" s="78"/>
      <c r="E41" s="85"/>
      <c r="F41" s="80"/>
      <c r="G41" s="68"/>
      <c r="H41" s="497" t="s">
        <v>40</v>
      </c>
      <c r="I41" s="498">
        <f>I40/I33-1</f>
        <v>0.6100000000000001</v>
      </c>
      <c r="J41" s="499">
        <f t="shared" ref="J41:T41" si="56">J40/J33-1</f>
        <v>0.44195652173913014</v>
      </c>
      <c r="K41" s="499">
        <f t="shared" si="56"/>
        <v>0.35740259740259717</v>
      </c>
      <c r="L41" s="499">
        <f t="shared" si="56"/>
        <v>0.30456730769230766</v>
      </c>
      <c r="M41" s="499">
        <f t="shared" si="56"/>
        <v>0.26555555555555554</v>
      </c>
      <c r="N41" s="499">
        <f t="shared" si="56"/>
        <v>0.23752941176470532</v>
      </c>
      <c r="O41" s="499">
        <f t="shared" si="56"/>
        <v>0.21624203821656018</v>
      </c>
      <c r="P41" s="499">
        <f t="shared" si="56"/>
        <v>0.19938815789473674</v>
      </c>
      <c r="Q41" s="499">
        <f t="shared" si="56"/>
        <v>0.18671995589856683</v>
      </c>
      <c r="R41" s="499">
        <f t="shared" si="56"/>
        <v>0.17578431372548975</v>
      </c>
      <c r="S41" s="499">
        <f t="shared" si="56"/>
        <v>0.16701915403032719</v>
      </c>
      <c r="T41" s="500">
        <f t="shared" si="56"/>
        <v>0.15834020618556699</v>
      </c>
      <c r="U41" s="436"/>
      <c r="V41" s="498">
        <f>V40/V33-1</f>
        <v>0.15242397137745956</v>
      </c>
      <c r="W41" s="499">
        <f t="shared" ref="W41" si="57">W40/W33-1</f>
        <v>0.14401716068642734</v>
      </c>
      <c r="X41" s="499">
        <f t="shared" ref="X41" si="58">X40/X33-1</f>
        <v>0.1372247601644585</v>
      </c>
      <c r="Y41" s="499">
        <f t="shared" ref="Y41" si="59">Y40/Y33-1</f>
        <v>0.13118288251917631</v>
      </c>
      <c r="Z41" s="499">
        <f t="shared" ref="Z41" si="60">Z40/Z33-1</f>
        <v>0.12611908177905273</v>
      </c>
      <c r="AA41" s="499">
        <f t="shared" ref="AA41" si="61">AA40/AA33-1</f>
        <v>0.12145646606914196</v>
      </c>
      <c r="AB41" s="499">
        <f t="shared" ref="AB41" si="62">AB40/AB33-1</f>
        <v>0.11801204819277111</v>
      </c>
      <c r="AC41" s="499">
        <f t="shared" ref="AC41" si="63">AC40/AC33-1</f>
        <v>0.11462222795255284</v>
      </c>
      <c r="AD41" s="499">
        <f t="shared" ref="AD41" si="64">AD40/AD33-1</f>
        <v>0.11131829807021587</v>
      </c>
      <c r="AE41" s="499">
        <f t="shared" ref="AE41" si="65">AE40/AE33-1</f>
        <v>0.10854289318755228</v>
      </c>
      <c r="AF41" s="499">
        <f t="shared" ref="AF41" si="66">AF40/AF33-1</f>
        <v>0.10653450247807839</v>
      </c>
      <c r="AG41" s="500">
        <f t="shared" ref="AG41" si="67">AG40/AG33-1</f>
        <v>0.10435162742382253</v>
      </c>
      <c r="AH41" s="399"/>
      <c r="AJ41" s="17"/>
      <c r="AK41" s="17"/>
      <c r="AL41" s="17"/>
      <c r="AM41" s="17"/>
      <c r="AN41" s="17"/>
      <c r="AO41" s="17"/>
    </row>
    <row r="42" spans="1:41" s="66" customFormat="1">
      <c r="A42" s="17"/>
      <c r="B42" s="77"/>
      <c r="C42" s="78"/>
      <c r="D42" s="78"/>
      <c r="E42" s="85"/>
      <c r="F42" s="80"/>
      <c r="G42" s="17"/>
      <c r="H42" s="7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7"/>
      <c r="AJ42" s="17"/>
      <c r="AK42" s="17"/>
      <c r="AL42" s="17"/>
      <c r="AM42" s="17"/>
      <c r="AN42" s="17"/>
      <c r="AO42" s="17"/>
    </row>
    <row r="43" spans="1:41" s="28" customFormat="1">
      <c r="A43" s="7"/>
      <c r="B43" s="13"/>
      <c r="C43" s="14"/>
      <c r="D43" s="14"/>
      <c r="E43" s="15"/>
      <c r="F43" s="16"/>
      <c r="G43" s="68"/>
      <c r="H43" s="122" t="s">
        <v>30</v>
      </c>
      <c r="I43" s="18"/>
      <c r="J43" s="19"/>
      <c r="K43" s="19"/>
      <c r="L43" s="19"/>
      <c r="M43" s="19"/>
      <c r="N43" s="19"/>
      <c r="O43" s="19"/>
      <c r="P43" s="19"/>
      <c r="Q43" s="19"/>
      <c r="R43" s="19"/>
      <c r="S43" s="19"/>
      <c r="T43" s="20"/>
      <c r="U43" s="20"/>
      <c r="V43" s="18"/>
      <c r="W43" s="19"/>
      <c r="X43" s="19"/>
      <c r="Y43" s="19"/>
      <c r="Z43" s="19"/>
      <c r="AA43" s="19"/>
      <c r="AB43" s="19"/>
      <c r="AC43" s="19"/>
      <c r="AD43" s="19"/>
      <c r="AE43" s="19"/>
      <c r="AF43" s="19"/>
      <c r="AG43" s="20"/>
      <c r="AH43" s="20"/>
      <c r="AI43" s="7"/>
      <c r="AJ43" s="7"/>
      <c r="AK43" s="7"/>
      <c r="AL43" s="7"/>
      <c r="AM43" s="7"/>
      <c r="AN43" s="7"/>
      <c r="AO43" s="7"/>
    </row>
    <row r="44" spans="1:41" s="28" customFormat="1">
      <c r="A44" s="7"/>
      <c r="B44" s="77"/>
      <c r="C44" s="30"/>
      <c r="D44" s="30"/>
      <c r="E44" s="31"/>
      <c r="F44" s="80"/>
      <c r="G44" s="68"/>
      <c r="H44" s="118"/>
      <c r="I44" s="25"/>
      <c r="J44" s="7"/>
      <c r="K44" s="7"/>
      <c r="L44" s="7"/>
      <c r="M44" s="7"/>
      <c r="N44" s="7"/>
      <c r="O44" s="7"/>
      <c r="P44" s="7"/>
      <c r="Q44" s="7"/>
      <c r="R44" s="7"/>
      <c r="S44" s="7"/>
      <c r="T44" s="26"/>
      <c r="U44" s="27"/>
      <c r="V44" s="25"/>
      <c r="W44" s="7"/>
      <c r="X44" s="7"/>
      <c r="Y44" s="7"/>
      <c r="Z44" s="7"/>
      <c r="AA44" s="7"/>
      <c r="AB44" s="7"/>
      <c r="AC44" s="7"/>
      <c r="AD44" s="7"/>
      <c r="AE44" s="7"/>
      <c r="AF44" s="7"/>
      <c r="AG44" s="26"/>
      <c r="AH44" s="27"/>
      <c r="AI44" s="7"/>
      <c r="AJ44" s="7"/>
      <c r="AK44" s="7"/>
      <c r="AL44" s="7"/>
      <c r="AM44" s="7"/>
      <c r="AN44" s="7"/>
      <c r="AO44" s="7"/>
    </row>
    <row r="45" spans="1:41" s="28" customFormat="1">
      <c r="A45" s="7"/>
      <c r="B45" s="77"/>
      <c r="C45" s="30" t="s">
        <v>136</v>
      </c>
      <c r="D45" s="30"/>
      <c r="E45" s="107">
        <v>30</v>
      </c>
      <c r="F45" s="80"/>
      <c r="G45" s="68"/>
      <c r="H45" s="92" t="s">
        <v>13</v>
      </c>
      <c r="I45" s="81"/>
      <c r="J45" s="82"/>
      <c r="K45" s="82"/>
      <c r="L45" s="82"/>
      <c r="M45" s="82"/>
      <c r="N45" s="82"/>
      <c r="O45" s="82"/>
      <c r="P45" s="82"/>
      <c r="Q45" s="82"/>
      <c r="R45" s="82"/>
      <c r="S45" s="82"/>
      <c r="T45" s="27"/>
      <c r="U45" s="83"/>
      <c r="V45" s="81"/>
      <c r="W45" s="82"/>
      <c r="X45" s="82"/>
      <c r="Y45" s="82"/>
      <c r="Z45" s="82"/>
      <c r="AA45" s="82"/>
      <c r="AB45" s="82"/>
      <c r="AC45" s="82"/>
      <c r="AD45" s="82"/>
      <c r="AE45" s="82"/>
      <c r="AF45" s="82"/>
      <c r="AG45" s="27"/>
      <c r="AH45" s="83"/>
      <c r="AI45" s="7"/>
      <c r="AJ45" s="7"/>
      <c r="AK45" s="7"/>
      <c r="AL45" s="7"/>
      <c r="AM45" s="7"/>
      <c r="AN45" s="7"/>
      <c r="AO45" s="7"/>
    </row>
    <row r="46" spans="1:41" s="28" customFormat="1">
      <c r="A46" s="7"/>
      <c r="B46" s="77"/>
      <c r="C46" s="30"/>
      <c r="D46" s="30"/>
      <c r="E46" s="31"/>
      <c r="F46" s="80"/>
      <c r="G46" s="68"/>
      <c r="H46" s="118" t="s">
        <v>14</v>
      </c>
      <c r="I46" s="40">
        <f>E45</f>
        <v>30</v>
      </c>
      <c r="J46" s="35">
        <f t="shared" ref="J46:T46" si="68">I55</f>
        <v>38</v>
      </c>
      <c r="K46" s="35">
        <f t="shared" si="68"/>
        <v>48</v>
      </c>
      <c r="L46" s="35">
        <f t="shared" si="68"/>
        <v>59</v>
      </c>
      <c r="M46" s="35">
        <f t="shared" si="68"/>
        <v>72</v>
      </c>
      <c r="N46" s="35">
        <f t="shared" si="68"/>
        <v>87</v>
      </c>
      <c r="O46" s="35">
        <f t="shared" si="68"/>
        <v>104</v>
      </c>
      <c r="P46" s="35">
        <f t="shared" si="68"/>
        <v>121</v>
      </c>
      <c r="Q46" s="35">
        <f t="shared" si="68"/>
        <v>142</v>
      </c>
      <c r="R46" s="35">
        <f t="shared" si="68"/>
        <v>165</v>
      </c>
      <c r="S46" s="35">
        <f t="shared" si="68"/>
        <v>190</v>
      </c>
      <c r="T46" s="36">
        <f t="shared" si="68"/>
        <v>217</v>
      </c>
      <c r="U46" s="37"/>
      <c r="V46" s="40">
        <f>T55</f>
        <v>249</v>
      </c>
      <c r="W46" s="35">
        <f t="shared" ref="W46:AG46" si="69">V55</f>
        <v>284</v>
      </c>
      <c r="X46" s="35">
        <f t="shared" si="69"/>
        <v>323</v>
      </c>
      <c r="Y46" s="35">
        <f t="shared" si="69"/>
        <v>365</v>
      </c>
      <c r="Z46" s="35">
        <f t="shared" si="69"/>
        <v>411</v>
      </c>
      <c r="AA46" s="35">
        <f t="shared" si="69"/>
        <v>460</v>
      </c>
      <c r="AB46" s="35">
        <f t="shared" si="69"/>
        <v>514</v>
      </c>
      <c r="AC46" s="35">
        <f t="shared" si="69"/>
        <v>571</v>
      </c>
      <c r="AD46" s="35">
        <f t="shared" si="69"/>
        <v>633</v>
      </c>
      <c r="AE46" s="35">
        <f t="shared" si="69"/>
        <v>701</v>
      </c>
      <c r="AF46" s="35">
        <f t="shared" si="69"/>
        <v>775</v>
      </c>
      <c r="AG46" s="36">
        <f t="shared" si="69"/>
        <v>854</v>
      </c>
      <c r="AH46" s="37"/>
      <c r="AI46" s="7"/>
      <c r="AJ46" s="7"/>
      <c r="AK46" s="7"/>
      <c r="AL46" s="7"/>
      <c r="AM46" s="7"/>
      <c r="AN46" s="7"/>
      <c r="AO46" s="7"/>
    </row>
    <row r="47" spans="1:41" s="28" customFormat="1">
      <c r="A47" s="7"/>
      <c r="B47" s="77"/>
      <c r="C47" s="30"/>
      <c r="D47" s="30"/>
      <c r="E47" s="31"/>
      <c r="F47" s="80"/>
      <c r="G47" s="68"/>
      <c r="H47" s="118" t="s">
        <v>15</v>
      </c>
      <c r="I47" s="40"/>
      <c r="J47" s="35"/>
      <c r="K47" s="35"/>
      <c r="L47" s="35"/>
      <c r="M47" s="35"/>
      <c r="N47" s="35"/>
      <c r="O47" s="35"/>
      <c r="P47" s="35"/>
      <c r="Q47" s="35"/>
      <c r="R47" s="35"/>
      <c r="S47" s="35"/>
      <c r="T47" s="36"/>
      <c r="U47" s="27"/>
      <c r="V47" s="40"/>
      <c r="W47" s="35"/>
      <c r="X47" s="35"/>
      <c r="Y47" s="35"/>
      <c r="Z47" s="35"/>
      <c r="AA47" s="35"/>
      <c r="AB47" s="35"/>
      <c r="AC47" s="35"/>
      <c r="AD47" s="35"/>
      <c r="AE47" s="35"/>
      <c r="AF47" s="35"/>
      <c r="AG47" s="36"/>
      <c r="AH47" s="27"/>
      <c r="AI47" s="7"/>
      <c r="AJ47" s="7"/>
      <c r="AK47" s="7"/>
      <c r="AL47" s="7"/>
      <c r="AM47" s="7"/>
      <c r="AN47" s="7"/>
      <c r="AO47" s="7"/>
    </row>
    <row r="48" spans="1:41" s="28" customFormat="1">
      <c r="A48" s="7"/>
      <c r="B48" s="77"/>
      <c r="C48" s="543" t="s">
        <v>16</v>
      </c>
      <c r="D48" s="543"/>
      <c r="E48" s="44">
        <v>0.01</v>
      </c>
      <c r="F48" s="80"/>
      <c r="G48" s="68"/>
      <c r="H48" s="96" t="s">
        <v>17</v>
      </c>
      <c r="I48" s="40">
        <f>ROUND($E$7*$E$48,0)</f>
        <v>5</v>
      </c>
      <c r="J48" s="35">
        <f t="shared" ref="J48:T48" si="70">ROUND(I13*$E$48,0)</f>
        <v>6</v>
      </c>
      <c r="K48" s="35">
        <f t="shared" si="70"/>
        <v>7</v>
      </c>
      <c r="L48" s="35">
        <f t="shared" si="70"/>
        <v>8</v>
      </c>
      <c r="M48" s="35">
        <f t="shared" si="70"/>
        <v>10</v>
      </c>
      <c r="N48" s="35">
        <f t="shared" si="70"/>
        <v>11</v>
      </c>
      <c r="O48" s="35">
        <f t="shared" si="70"/>
        <v>12</v>
      </c>
      <c r="P48" s="35">
        <f t="shared" si="70"/>
        <v>14</v>
      </c>
      <c r="Q48" s="35">
        <f t="shared" si="70"/>
        <v>16</v>
      </c>
      <c r="R48" s="35">
        <f t="shared" si="70"/>
        <v>17</v>
      </c>
      <c r="S48" s="35">
        <f t="shared" si="70"/>
        <v>19</v>
      </c>
      <c r="T48" s="36">
        <f t="shared" si="70"/>
        <v>22</v>
      </c>
      <c r="U48" s="54">
        <f t="shared" ref="U48:U54" si="71">SUM(I48:T48)</f>
        <v>147</v>
      </c>
      <c r="V48" s="35">
        <f>ROUND(T13*$E$48,0)</f>
        <v>24</v>
      </c>
      <c r="W48" s="35">
        <f t="shared" ref="W48:AG48" si="72">ROUND(V13*$E$48,0)</f>
        <v>26</v>
      </c>
      <c r="X48" s="35">
        <f t="shared" si="72"/>
        <v>28</v>
      </c>
      <c r="Y48" s="35">
        <f t="shared" si="72"/>
        <v>31</v>
      </c>
      <c r="Z48" s="35">
        <f t="shared" si="72"/>
        <v>33</v>
      </c>
      <c r="AA48" s="35">
        <f t="shared" si="72"/>
        <v>36</v>
      </c>
      <c r="AB48" s="35">
        <f t="shared" si="72"/>
        <v>39</v>
      </c>
      <c r="AC48" s="35">
        <f t="shared" si="72"/>
        <v>42</v>
      </c>
      <c r="AD48" s="35">
        <f t="shared" si="72"/>
        <v>45</v>
      </c>
      <c r="AE48" s="35">
        <f t="shared" si="72"/>
        <v>49</v>
      </c>
      <c r="AF48" s="35">
        <f t="shared" si="72"/>
        <v>53</v>
      </c>
      <c r="AG48" s="36">
        <f t="shared" si="72"/>
        <v>57</v>
      </c>
      <c r="AH48" s="54">
        <f t="shared" ref="AH48:AH54" si="73">SUM(V48:AG48)</f>
        <v>463</v>
      </c>
      <c r="AI48" s="7"/>
      <c r="AJ48" s="7"/>
      <c r="AK48" s="7"/>
      <c r="AL48" s="7"/>
      <c r="AM48" s="7"/>
      <c r="AN48" s="7"/>
      <c r="AO48" s="7"/>
    </row>
    <row r="49" spans="1:41" s="28" customFormat="1">
      <c r="A49" s="7"/>
      <c r="B49" s="77"/>
      <c r="C49" s="543" t="s">
        <v>18</v>
      </c>
      <c r="D49" s="543"/>
      <c r="E49" s="44">
        <v>1E-3</v>
      </c>
      <c r="F49" s="80"/>
      <c r="G49" s="68"/>
      <c r="H49" s="96" t="s">
        <v>19</v>
      </c>
      <c r="I49" s="40">
        <f>ROUND(I6*$E$49,0)</f>
        <v>5</v>
      </c>
      <c r="J49" s="35">
        <f t="shared" ref="J49:T49" si="74">ROUND(I15*$E$49,0)</f>
        <v>6</v>
      </c>
      <c r="K49" s="35">
        <f t="shared" si="74"/>
        <v>6</v>
      </c>
      <c r="L49" s="35">
        <f t="shared" si="74"/>
        <v>7</v>
      </c>
      <c r="M49" s="35">
        <f t="shared" si="74"/>
        <v>8</v>
      </c>
      <c r="N49" s="35">
        <f t="shared" si="74"/>
        <v>9</v>
      </c>
      <c r="O49" s="35">
        <f t="shared" si="74"/>
        <v>10</v>
      </c>
      <c r="P49" s="35">
        <f t="shared" si="74"/>
        <v>12</v>
      </c>
      <c r="Q49" s="35">
        <f t="shared" si="74"/>
        <v>13</v>
      </c>
      <c r="R49" s="35">
        <f t="shared" si="74"/>
        <v>15</v>
      </c>
      <c r="S49" s="35">
        <f t="shared" si="74"/>
        <v>17</v>
      </c>
      <c r="T49" s="36">
        <f t="shared" si="74"/>
        <v>19</v>
      </c>
      <c r="U49" s="54">
        <f t="shared" si="71"/>
        <v>127</v>
      </c>
      <c r="V49" s="35">
        <f>ROUND(T15*$E$49,0)</f>
        <v>21</v>
      </c>
      <c r="W49" s="35">
        <f t="shared" ref="W49:AG49" si="75">ROUND(V15*$E$49,0)</f>
        <v>24</v>
      </c>
      <c r="X49" s="35">
        <f t="shared" si="75"/>
        <v>27</v>
      </c>
      <c r="Y49" s="35">
        <f t="shared" si="75"/>
        <v>30</v>
      </c>
      <c r="Z49" s="35">
        <f t="shared" si="75"/>
        <v>33</v>
      </c>
      <c r="AA49" s="35">
        <f t="shared" si="75"/>
        <v>36</v>
      </c>
      <c r="AB49" s="35">
        <f t="shared" si="75"/>
        <v>40</v>
      </c>
      <c r="AC49" s="35">
        <f t="shared" si="75"/>
        <v>44</v>
      </c>
      <c r="AD49" s="35">
        <f t="shared" si="75"/>
        <v>49</v>
      </c>
      <c r="AE49" s="35">
        <f t="shared" si="75"/>
        <v>54</v>
      </c>
      <c r="AF49" s="35">
        <f t="shared" si="75"/>
        <v>59</v>
      </c>
      <c r="AG49" s="36">
        <f t="shared" si="75"/>
        <v>65</v>
      </c>
      <c r="AH49" s="54">
        <f t="shared" si="73"/>
        <v>482</v>
      </c>
      <c r="AI49" s="7"/>
      <c r="AJ49" s="7"/>
      <c r="AK49" s="7"/>
      <c r="AL49" s="7"/>
      <c r="AM49" s="7"/>
      <c r="AN49" s="7"/>
      <c r="AO49" s="7"/>
    </row>
    <row r="50" spans="1:41" s="28" customFormat="1">
      <c r="A50" s="7"/>
      <c r="B50" s="77"/>
      <c r="C50" s="200"/>
      <c r="D50" s="200"/>
      <c r="E50" s="44"/>
      <c r="F50" s="80"/>
      <c r="G50" s="68"/>
      <c r="H50" s="118" t="s">
        <v>20</v>
      </c>
      <c r="I50" s="40">
        <f t="shared" ref="I50:T50" si="76">I48+I49</f>
        <v>10</v>
      </c>
      <c r="J50" s="35">
        <f t="shared" si="76"/>
        <v>12</v>
      </c>
      <c r="K50" s="35">
        <f t="shared" si="76"/>
        <v>13</v>
      </c>
      <c r="L50" s="35">
        <f t="shared" si="76"/>
        <v>15</v>
      </c>
      <c r="M50" s="35">
        <f t="shared" si="76"/>
        <v>18</v>
      </c>
      <c r="N50" s="35">
        <f t="shared" si="76"/>
        <v>20</v>
      </c>
      <c r="O50" s="35">
        <f t="shared" si="76"/>
        <v>22</v>
      </c>
      <c r="P50" s="35">
        <f t="shared" si="76"/>
        <v>26</v>
      </c>
      <c r="Q50" s="35">
        <f t="shared" si="76"/>
        <v>29</v>
      </c>
      <c r="R50" s="35">
        <f t="shared" si="76"/>
        <v>32</v>
      </c>
      <c r="S50" s="35">
        <f t="shared" si="76"/>
        <v>36</v>
      </c>
      <c r="T50" s="36">
        <f t="shared" si="76"/>
        <v>41</v>
      </c>
      <c r="U50" s="54">
        <f>SUM(I50:T50)</f>
        <v>274</v>
      </c>
      <c r="V50" s="35">
        <f t="shared" ref="V50:AG50" si="77">V48+V49</f>
        <v>45</v>
      </c>
      <c r="W50" s="35">
        <f t="shared" si="77"/>
        <v>50</v>
      </c>
      <c r="X50" s="35">
        <f t="shared" si="77"/>
        <v>55</v>
      </c>
      <c r="Y50" s="35">
        <f t="shared" si="77"/>
        <v>61</v>
      </c>
      <c r="Z50" s="35">
        <f t="shared" si="77"/>
        <v>66</v>
      </c>
      <c r="AA50" s="35">
        <f t="shared" si="77"/>
        <v>72</v>
      </c>
      <c r="AB50" s="35">
        <f t="shared" si="77"/>
        <v>79</v>
      </c>
      <c r="AC50" s="35">
        <f t="shared" si="77"/>
        <v>86</v>
      </c>
      <c r="AD50" s="35">
        <f t="shared" si="77"/>
        <v>94</v>
      </c>
      <c r="AE50" s="35">
        <f t="shared" si="77"/>
        <v>103</v>
      </c>
      <c r="AF50" s="35">
        <f t="shared" si="77"/>
        <v>112</v>
      </c>
      <c r="AG50" s="36">
        <f t="shared" si="77"/>
        <v>122</v>
      </c>
      <c r="AH50" s="54">
        <f>SUM(V50:AG50)</f>
        <v>945</v>
      </c>
      <c r="AI50" s="7"/>
      <c r="AJ50" s="7"/>
      <c r="AK50" s="7"/>
      <c r="AL50" s="7"/>
      <c r="AM50" s="7"/>
      <c r="AN50" s="7"/>
      <c r="AO50" s="7"/>
    </row>
    <row r="51" spans="1:41" s="28" customFormat="1">
      <c r="A51" s="7"/>
      <c r="B51" s="77"/>
      <c r="C51" s="543" t="s">
        <v>137</v>
      </c>
      <c r="D51" s="543"/>
      <c r="E51" s="44">
        <v>5.0000000000000001E-3</v>
      </c>
      <c r="F51" s="80"/>
      <c r="G51" s="68"/>
      <c r="H51" s="118" t="s">
        <v>132</v>
      </c>
      <c r="I51" s="40">
        <f t="shared" ref="I51:T51" si="78">ROUND(I20*$E$51,0)</f>
        <v>1</v>
      </c>
      <c r="J51" s="35">
        <f t="shared" si="78"/>
        <v>1</v>
      </c>
      <c r="K51" s="35">
        <f t="shared" si="78"/>
        <v>1</v>
      </c>
      <c r="L51" s="35">
        <f t="shared" si="78"/>
        <v>2</v>
      </c>
      <c r="M51" s="35">
        <f t="shared" si="78"/>
        <v>2</v>
      </c>
      <c r="N51" s="35">
        <f t="shared" si="78"/>
        <v>3</v>
      </c>
      <c r="O51" s="35">
        <f t="shared" si="78"/>
        <v>3</v>
      </c>
      <c r="P51" s="35">
        <f t="shared" si="78"/>
        <v>4</v>
      </c>
      <c r="Q51" s="35">
        <f t="shared" si="78"/>
        <v>5</v>
      </c>
      <c r="R51" s="35">
        <f t="shared" si="78"/>
        <v>5</v>
      </c>
      <c r="S51" s="35">
        <f t="shared" si="78"/>
        <v>6</v>
      </c>
      <c r="T51" s="36">
        <f t="shared" si="78"/>
        <v>7</v>
      </c>
      <c r="U51" s="54">
        <f t="shared" si="71"/>
        <v>40</v>
      </c>
      <c r="V51" s="40">
        <f t="shared" ref="V51:AG51" si="79">ROUND(V20*$E$51,0)</f>
        <v>8</v>
      </c>
      <c r="W51" s="35">
        <f t="shared" si="79"/>
        <v>10</v>
      </c>
      <c r="X51" s="35">
        <f t="shared" si="79"/>
        <v>11</v>
      </c>
      <c r="Y51" s="35">
        <f t="shared" si="79"/>
        <v>12</v>
      </c>
      <c r="Z51" s="35">
        <f t="shared" si="79"/>
        <v>14</v>
      </c>
      <c r="AA51" s="35">
        <f t="shared" si="79"/>
        <v>16</v>
      </c>
      <c r="AB51" s="35">
        <f t="shared" si="79"/>
        <v>17</v>
      </c>
      <c r="AC51" s="35">
        <f t="shared" si="79"/>
        <v>19</v>
      </c>
      <c r="AD51" s="35">
        <f t="shared" si="79"/>
        <v>22</v>
      </c>
      <c r="AE51" s="35">
        <f t="shared" si="79"/>
        <v>24</v>
      </c>
      <c r="AF51" s="35">
        <f t="shared" si="79"/>
        <v>26</v>
      </c>
      <c r="AG51" s="36">
        <f t="shared" si="79"/>
        <v>29</v>
      </c>
      <c r="AH51" s="54">
        <f t="shared" si="73"/>
        <v>208</v>
      </c>
      <c r="AI51" s="7"/>
      <c r="AJ51" s="7"/>
      <c r="AK51" s="7"/>
      <c r="AL51" s="7"/>
      <c r="AM51" s="7"/>
      <c r="AN51" s="7"/>
      <c r="AO51" s="7"/>
    </row>
    <row r="52" spans="1:41" s="28" customFormat="1">
      <c r="A52" s="7"/>
      <c r="B52" s="77"/>
      <c r="C52" s="543" t="s">
        <v>21</v>
      </c>
      <c r="D52" s="543"/>
      <c r="E52" s="44">
        <v>0.02</v>
      </c>
      <c r="F52" s="80"/>
      <c r="G52" s="68"/>
      <c r="H52" s="118" t="s">
        <v>22</v>
      </c>
      <c r="I52" s="40">
        <f t="shared" ref="I52:T52" si="80">ROUND(I46*$E$52,0)</f>
        <v>1</v>
      </c>
      <c r="J52" s="35">
        <f t="shared" si="80"/>
        <v>1</v>
      </c>
      <c r="K52" s="35">
        <f t="shared" si="80"/>
        <v>1</v>
      </c>
      <c r="L52" s="35">
        <f t="shared" si="80"/>
        <v>1</v>
      </c>
      <c r="M52" s="35">
        <f t="shared" si="80"/>
        <v>1</v>
      </c>
      <c r="N52" s="35">
        <f t="shared" si="80"/>
        <v>2</v>
      </c>
      <c r="O52" s="35">
        <f t="shared" si="80"/>
        <v>2</v>
      </c>
      <c r="P52" s="35">
        <f t="shared" si="80"/>
        <v>2</v>
      </c>
      <c r="Q52" s="35">
        <f t="shared" si="80"/>
        <v>3</v>
      </c>
      <c r="R52" s="35">
        <f t="shared" si="80"/>
        <v>3</v>
      </c>
      <c r="S52" s="35">
        <f t="shared" si="80"/>
        <v>4</v>
      </c>
      <c r="T52" s="36">
        <f t="shared" si="80"/>
        <v>4</v>
      </c>
      <c r="U52" s="54">
        <f t="shared" si="71"/>
        <v>25</v>
      </c>
      <c r="V52" s="40">
        <f t="shared" ref="V52:AG52" si="81">ROUND(V46*$E$52,0)</f>
        <v>5</v>
      </c>
      <c r="W52" s="35">
        <f t="shared" si="81"/>
        <v>6</v>
      </c>
      <c r="X52" s="35">
        <f t="shared" si="81"/>
        <v>6</v>
      </c>
      <c r="Y52" s="35">
        <f t="shared" si="81"/>
        <v>7</v>
      </c>
      <c r="Z52" s="35">
        <f t="shared" si="81"/>
        <v>8</v>
      </c>
      <c r="AA52" s="35">
        <f t="shared" si="81"/>
        <v>9</v>
      </c>
      <c r="AB52" s="35">
        <f t="shared" si="81"/>
        <v>10</v>
      </c>
      <c r="AC52" s="35">
        <f t="shared" si="81"/>
        <v>11</v>
      </c>
      <c r="AD52" s="35">
        <f t="shared" si="81"/>
        <v>13</v>
      </c>
      <c r="AE52" s="35">
        <f t="shared" si="81"/>
        <v>14</v>
      </c>
      <c r="AF52" s="35">
        <f t="shared" si="81"/>
        <v>16</v>
      </c>
      <c r="AG52" s="36">
        <f t="shared" si="81"/>
        <v>17</v>
      </c>
      <c r="AH52" s="54">
        <f t="shared" si="73"/>
        <v>122</v>
      </c>
      <c r="AI52" s="7"/>
      <c r="AJ52" s="7"/>
      <c r="AK52" s="7"/>
      <c r="AL52" s="7"/>
      <c r="AM52" s="7"/>
      <c r="AN52" s="7"/>
      <c r="AO52" s="7"/>
    </row>
    <row r="53" spans="1:41" s="28" customFormat="1">
      <c r="A53" s="7"/>
      <c r="B53" s="77"/>
      <c r="C53" s="543" t="s">
        <v>138</v>
      </c>
      <c r="D53" s="543"/>
      <c r="E53" s="44">
        <v>0.05</v>
      </c>
      <c r="F53" s="80"/>
      <c r="G53" s="68"/>
      <c r="H53" s="118" t="s">
        <v>133</v>
      </c>
      <c r="I53" s="40">
        <f t="shared" ref="I53:S53" si="82">ROUND(I46*$E$53,0)</f>
        <v>2</v>
      </c>
      <c r="J53" s="35">
        <f t="shared" si="82"/>
        <v>2</v>
      </c>
      <c r="K53" s="35">
        <f t="shared" si="82"/>
        <v>2</v>
      </c>
      <c r="L53" s="35">
        <f>ROUND(L46*$E$53,0)</f>
        <v>3</v>
      </c>
      <c r="M53" s="35">
        <f t="shared" si="82"/>
        <v>4</v>
      </c>
      <c r="N53" s="35">
        <f t="shared" si="82"/>
        <v>4</v>
      </c>
      <c r="O53" s="35">
        <f t="shared" si="82"/>
        <v>5</v>
      </c>
      <c r="P53" s="35">
        <f t="shared" si="82"/>
        <v>6</v>
      </c>
      <c r="Q53" s="35">
        <f t="shared" si="82"/>
        <v>7</v>
      </c>
      <c r="R53" s="35">
        <f t="shared" si="82"/>
        <v>8</v>
      </c>
      <c r="S53" s="35">
        <f t="shared" si="82"/>
        <v>10</v>
      </c>
      <c r="T53" s="36">
        <f>ROUND(T46*$E$53,0)</f>
        <v>11</v>
      </c>
      <c r="U53" s="54">
        <f t="shared" si="71"/>
        <v>64</v>
      </c>
      <c r="V53" s="40">
        <f t="shared" ref="V53:AG53" si="83">ROUND(V46*$E$53,0)</f>
        <v>12</v>
      </c>
      <c r="W53" s="35">
        <f t="shared" si="83"/>
        <v>14</v>
      </c>
      <c r="X53" s="35">
        <f t="shared" si="83"/>
        <v>16</v>
      </c>
      <c r="Y53" s="35">
        <f t="shared" si="83"/>
        <v>18</v>
      </c>
      <c r="Z53" s="35">
        <f t="shared" si="83"/>
        <v>21</v>
      </c>
      <c r="AA53" s="35">
        <f t="shared" si="83"/>
        <v>23</v>
      </c>
      <c r="AB53" s="35">
        <f t="shared" si="83"/>
        <v>26</v>
      </c>
      <c r="AC53" s="35">
        <f t="shared" si="83"/>
        <v>29</v>
      </c>
      <c r="AD53" s="35">
        <f t="shared" si="83"/>
        <v>32</v>
      </c>
      <c r="AE53" s="35">
        <f t="shared" si="83"/>
        <v>35</v>
      </c>
      <c r="AF53" s="35">
        <f t="shared" si="83"/>
        <v>39</v>
      </c>
      <c r="AG53" s="36">
        <f t="shared" si="83"/>
        <v>43</v>
      </c>
      <c r="AH53" s="54">
        <f t="shared" si="73"/>
        <v>308</v>
      </c>
      <c r="AI53" s="7"/>
      <c r="AJ53" s="7"/>
      <c r="AK53" s="7"/>
      <c r="AL53" s="7"/>
      <c r="AM53" s="7"/>
      <c r="AN53" s="7"/>
      <c r="AO53" s="7"/>
    </row>
    <row r="54" spans="1:41" s="28" customFormat="1">
      <c r="A54" s="7"/>
      <c r="B54" s="77"/>
      <c r="C54" s="543" t="s">
        <v>140</v>
      </c>
      <c r="D54" s="543"/>
      <c r="E54" s="44">
        <v>5.0000000000000001E-3</v>
      </c>
      <c r="F54" s="80"/>
      <c r="G54" s="68"/>
      <c r="H54" s="118" t="s">
        <v>141</v>
      </c>
      <c r="I54" s="40">
        <f>ROUND(I46*$E$54,0)</f>
        <v>0</v>
      </c>
      <c r="J54" s="35">
        <f t="shared" ref="J54:S54" si="84">ROUND(J46*$E$54,0)</f>
        <v>0</v>
      </c>
      <c r="K54" s="35">
        <f t="shared" si="84"/>
        <v>0</v>
      </c>
      <c r="L54" s="35">
        <f t="shared" si="84"/>
        <v>0</v>
      </c>
      <c r="M54" s="35">
        <f t="shared" si="84"/>
        <v>0</v>
      </c>
      <c r="N54" s="35">
        <f t="shared" si="84"/>
        <v>0</v>
      </c>
      <c r="O54" s="35">
        <f t="shared" si="84"/>
        <v>1</v>
      </c>
      <c r="P54" s="35">
        <f t="shared" si="84"/>
        <v>1</v>
      </c>
      <c r="Q54" s="35">
        <f t="shared" si="84"/>
        <v>1</v>
      </c>
      <c r="R54" s="35">
        <f t="shared" si="84"/>
        <v>1</v>
      </c>
      <c r="S54" s="35">
        <f t="shared" si="84"/>
        <v>1</v>
      </c>
      <c r="T54" s="36">
        <f>ROUND(T46*$E$54,0)</f>
        <v>1</v>
      </c>
      <c r="U54" s="54">
        <f t="shared" si="71"/>
        <v>6</v>
      </c>
      <c r="V54" s="40">
        <f t="shared" ref="V54:AG54" si="85">ROUND(V46*$E$54,0)</f>
        <v>1</v>
      </c>
      <c r="W54" s="35">
        <f t="shared" si="85"/>
        <v>1</v>
      </c>
      <c r="X54" s="35">
        <f t="shared" si="85"/>
        <v>2</v>
      </c>
      <c r="Y54" s="35">
        <f t="shared" si="85"/>
        <v>2</v>
      </c>
      <c r="Z54" s="35">
        <f t="shared" si="85"/>
        <v>2</v>
      </c>
      <c r="AA54" s="35">
        <f t="shared" si="85"/>
        <v>2</v>
      </c>
      <c r="AB54" s="35">
        <f t="shared" si="85"/>
        <v>3</v>
      </c>
      <c r="AC54" s="35">
        <f t="shared" si="85"/>
        <v>3</v>
      </c>
      <c r="AD54" s="35">
        <f t="shared" si="85"/>
        <v>3</v>
      </c>
      <c r="AE54" s="35">
        <f t="shared" si="85"/>
        <v>4</v>
      </c>
      <c r="AF54" s="35">
        <f t="shared" si="85"/>
        <v>4</v>
      </c>
      <c r="AG54" s="36">
        <f t="shared" si="85"/>
        <v>4</v>
      </c>
      <c r="AH54" s="54">
        <f t="shared" si="73"/>
        <v>31</v>
      </c>
      <c r="AI54" s="7"/>
      <c r="AJ54" s="7"/>
      <c r="AK54" s="7"/>
      <c r="AL54" s="7"/>
      <c r="AM54" s="7"/>
      <c r="AN54" s="7"/>
      <c r="AO54" s="7"/>
    </row>
    <row r="55" spans="1:41" s="66" customFormat="1">
      <c r="A55" s="17"/>
      <c r="B55" s="77"/>
      <c r="C55" s="78"/>
      <c r="D55" s="78"/>
      <c r="E55" s="79"/>
      <c r="F55" s="80"/>
      <c r="G55" s="68"/>
      <c r="H55" s="121" t="s">
        <v>23</v>
      </c>
      <c r="I55" s="69">
        <f>I46+I48+I49+I51-I52-I53-I54</f>
        <v>38</v>
      </c>
      <c r="J55" s="70">
        <f t="shared" ref="J55:T55" si="86">J46+J48+J49+J51-J52-J53-J54</f>
        <v>48</v>
      </c>
      <c r="K55" s="70">
        <f t="shared" si="86"/>
        <v>59</v>
      </c>
      <c r="L55" s="70">
        <f t="shared" si="86"/>
        <v>72</v>
      </c>
      <c r="M55" s="70">
        <f t="shared" si="86"/>
        <v>87</v>
      </c>
      <c r="N55" s="70">
        <f t="shared" si="86"/>
        <v>104</v>
      </c>
      <c r="O55" s="70">
        <f t="shared" si="86"/>
        <v>121</v>
      </c>
      <c r="P55" s="70">
        <f t="shared" si="86"/>
        <v>142</v>
      </c>
      <c r="Q55" s="70">
        <f t="shared" si="86"/>
        <v>165</v>
      </c>
      <c r="R55" s="70">
        <f t="shared" si="86"/>
        <v>190</v>
      </c>
      <c r="S55" s="70">
        <f>S46+S48+S49+S51-S52-S53-S54</f>
        <v>217</v>
      </c>
      <c r="T55" s="71">
        <f t="shared" si="86"/>
        <v>249</v>
      </c>
      <c r="U55" s="71">
        <f>T55</f>
        <v>249</v>
      </c>
      <c r="V55" s="69">
        <f t="shared" ref="V55:AG55" si="87">V46+V48+V49+V51-V52-V53-V54</f>
        <v>284</v>
      </c>
      <c r="W55" s="70">
        <f t="shared" si="87"/>
        <v>323</v>
      </c>
      <c r="X55" s="70">
        <f t="shared" si="87"/>
        <v>365</v>
      </c>
      <c r="Y55" s="70">
        <f t="shared" si="87"/>
        <v>411</v>
      </c>
      <c r="Z55" s="70">
        <f t="shared" si="87"/>
        <v>460</v>
      </c>
      <c r="AA55" s="70">
        <f t="shared" si="87"/>
        <v>514</v>
      </c>
      <c r="AB55" s="70">
        <f t="shared" si="87"/>
        <v>571</v>
      </c>
      <c r="AC55" s="70">
        <f t="shared" si="87"/>
        <v>633</v>
      </c>
      <c r="AD55" s="70">
        <f t="shared" si="87"/>
        <v>701</v>
      </c>
      <c r="AE55" s="70">
        <f t="shared" si="87"/>
        <v>775</v>
      </c>
      <c r="AF55" s="70">
        <f t="shared" si="87"/>
        <v>854</v>
      </c>
      <c r="AG55" s="71">
        <f t="shared" si="87"/>
        <v>941</v>
      </c>
      <c r="AH55" s="71">
        <f>AG55</f>
        <v>941</v>
      </c>
      <c r="AI55" s="17"/>
      <c r="AJ55" s="17"/>
      <c r="AK55" s="17"/>
      <c r="AL55" s="17"/>
      <c r="AM55" s="17"/>
      <c r="AN55" s="17"/>
      <c r="AO55" s="17"/>
    </row>
    <row r="56" spans="1:41" s="510" customFormat="1">
      <c r="A56" s="286"/>
      <c r="B56" s="501"/>
      <c r="C56" s="502"/>
      <c r="D56" s="502"/>
      <c r="E56" s="503"/>
      <c r="F56" s="504"/>
      <c r="G56" s="291"/>
      <c r="H56" s="505" t="s">
        <v>281</v>
      </c>
      <c r="I56" s="506">
        <f>0.5*(Costs!J62+Costs!J96+Costs!J104+Costs!J112+Costs!J122)/I50</f>
        <v>1362.5</v>
      </c>
      <c r="J56" s="507">
        <f>0.5*(Costs!K62+Costs!K96+Costs!K104+Costs!K112+Costs!K122)/J50</f>
        <v>2120.8333333333335</v>
      </c>
      <c r="K56" s="507">
        <f>0.5*(Costs!L62+Costs!L96+Costs!L104+Costs!L112+Costs!L122)/K50</f>
        <v>2188.4615384615386</v>
      </c>
      <c r="L56" s="507">
        <f>0.5*(Costs!M62+Costs!M96+Costs!M104+Costs!M112+Costs!M122)/L50</f>
        <v>2230</v>
      </c>
      <c r="M56" s="507">
        <f>0.5*(Costs!N62+Costs!N96+Costs!N104+Costs!N112+Costs!N122)/M50</f>
        <v>2781.9444444444443</v>
      </c>
      <c r="N56" s="507">
        <f>0.5*(Costs!O62+Costs!O96+Costs!O104+Costs!O112+Costs!O122)/N50</f>
        <v>2965</v>
      </c>
      <c r="O56" s="507">
        <f>0.5*(Costs!P62+Costs!P96+Costs!P104+Costs!P112+Costs!P122)/O50</f>
        <v>2831.818181818182</v>
      </c>
      <c r="P56" s="507">
        <f>0.5*(Costs!Q62+Costs!Q96+Costs!Q104+Costs!Q112+Costs!Q122)/P50</f>
        <v>2588.4615384615386</v>
      </c>
      <c r="Q56" s="507">
        <f>0.5*(Costs!R62+Costs!R96+Costs!R104+Costs!R112+Costs!R122)/Q50</f>
        <v>2493.1034482758619</v>
      </c>
      <c r="R56" s="507">
        <f>0.5*(Costs!S62+Costs!S96+Costs!S104+Costs!S112+Costs!S122)/R50</f>
        <v>2415.625</v>
      </c>
      <c r="S56" s="507">
        <f>0.5*(Costs!T62+Costs!T96+Costs!T104+Costs!T112+Costs!T122)/S50</f>
        <v>2286.1111111111113</v>
      </c>
      <c r="T56" s="508">
        <f>0.5*(Costs!U62+Costs!U96+Costs!U104+Costs!U112+Costs!U122)/T50</f>
        <v>2129.268292682927</v>
      </c>
      <c r="U56" s="509"/>
      <c r="V56" s="506">
        <f>0.5*(Costs!W62+Costs!W96+Costs!W104+Costs!W112+Costs!W122)/V50</f>
        <v>2051.1111111111113</v>
      </c>
      <c r="W56" s="507">
        <f>0.5*(Costs!X62+Costs!X96+Costs!X104+Costs!X112+Costs!X122)/W50</f>
        <v>2094.5</v>
      </c>
      <c r="X56" s="507">
        <f>0.5*(Costs!Y62+Costs!Y96+Costs!Y104+Costs!Y112+Costs!Y122)/X50</f>
        <v>2060.909090909091</v>
      </c>
      <c r="Y56" s="507">
        <f>0.5*(Costs!Z62+Costs!Z96+Costs!Z104+Costs!Z112+Costs!Z122)/Y50</f>
        <v>1907.377049180328</v>
      </c>
      <c r="Z56" s="507">
        <f>0.5*(Costs!AA62+Costs!AA96+Costs!AA104+Costs!AA112+Costs!AA122)/Z50</f>
        <v>1838.6363636363637</v>
      </c>
      <c r="AA56" s="507">
        <f>0.5*(Costs!AB62+Costs!AB96+Costs!AB104+Costs!AB112+Costs!AB122)/AA50</f>
        <v>1832.9861111111111</v>
      </c>
      <c r="AB56" s="507">
        <f>0.5*(Costs!AC62+Costs!AC96+Costs!AC104+Costs!AC112+Costs!AC122)/AB50</f>
        <v>1708.5443037974683</v>
      </c>
      <c r="AC56" s="507">
        <f>0.5*(Costs!AD62+Costs!AD96+Costs!AD104+Costs!AD112+Costs!AD122)/AC50</f>
        <v>1627.6162790697674</v>
      </c>
      <c r="AD56" s="507">
        <f>0.5*(Costs!AE62+Costs!AE96+Costs!AE104+Costs!AE112+Costs!AE122)/AD50</f>
        <v>1542.2872340425531</v>
      </c>
      <c r="AE56" s="507">
        <f>0.5*(Costs!AF62+Costs!AF96+Costs!AF104+Costs!AF112+Costs!AF122)/AE50</f>
        <v>1522.3300970873786</v>
      </c>
      <c r="AF56" s="507">
        <f>0.5*(Costs!AG62+Costs!AG96+Costs!AG104+Costs!AG112+Costs!AG122)/AF50</f>
        <v>1426.7857142857142</v>
      </c>
      <c r="AG56" s="508">
        <f>0.5*(Costs!AH62+Costs!AH96+Costs!AH104+Costs!AH112+Costs!AH122)/AG50</f>
        <v>1350.8196721311476</v>
      </c>
      <c r="AH56" s="509"/>
      <c r="AI56" s="286"/>
      <c r="AJ56" s="286"/>
      <c r="AK56" s="286"/>
      <c r="AL56" s="286"/>
      <c r="AM56" s="286"/>
      <c r="AN56" s="286"/>
      <c r="AO56" s="286"/>
    </row>
    <row r="57" spans="1:41" s="28" customFormat="1">
      <c r="A57" s="7"/>
      <c r="B57" s="77"/>
      <c r="C57" s="82"/>
      <c r="D57" s="82"/>
      <c r="E57" s="82"/>
      <c r="F57" s="80"/>
      <c r="G57" s="68"/>
      <c r="H57" s="113"/>
      <c r="I57" s="404"/>
      <c r="J57" s="116"/>
      <c r="K57" s="116"/>
      <c r="L57" s="116"/>
      <c r="M57" s="116"/>
      <c r="N57" s="116"/>
      <c r="O57" s="116"/>
      <c r="P57" s="116"/>
      <c r="Q57" s="116"/>
      <c r="R57" s="116"/>
      <c r="S57" s="116"/>
      <c r="T57" s="117"/>
      <c r="U57" s="111"/>
      <c r="V57" s="116"/>
      <c r="W57" s="116"/>
      <c r="X57" s="116"/>
      <c r="Y57" s="116"/>
      <c r="Z57" s="116"/>
      <c r="AA57" s="116"/>
      <c r="AB57" s="116"/>
      <c r="AC57" s="116"/>
      <c r="AD57" s="116"/>
      <c r="AE57" s="116"/>
      <c r="AF57" s="116"/>
      <c r="AG57" s="117"/>
      <c r="AH57" s="111"/>
      <c r="AI57" s="7"/>
      <c r="AJ57" s="7"/>
      <c r="AK57" s="7"/>
      <c r="AL57" s="7"/>
      <c r="AM57" s="7"/>
      <c r="AN57" s="7"/>
      <c r="AO57" s="7"/>
    </row>
    <row r="58" spans="1:41" s="28" customFormat="1">
      <c r="A58" s="7"/>
      <c r="B58" s="77"/>
      <c r="C58" s="82"/>
      <c r="D58" s="82"/>
      <c r="E58" s="82"/>
      <c r="F58" s="80"/>
      <c r="G58" s="68"/>
      <c r="H58" s="92" t="s">
        <v>25</v>
      </c>
      <c r="I58" s="86"/>
      <c r="J58" s="87"/>
      <c r="K58" s="87"/>
      <c r="L58" s="87"/>
      <c r="M58" s="87"/>
      <c r="N58" s="87"/>
      <c r="O58" s="87"/>
      <c r="P58" s="87"/>
      <c r="Q58" s="87"/>
      <c r="R58" s="87"/>
      <c r="S58" s="87"/>
      <c r="T58" s="84"/>
      <c r="U58" s="83"/>
      <c r="V58" s="86"/>
      <c r="W58" s="87"/>
      <c r="X58" s="87"/>
      <c r="Y58" s="87"/>
      <c r="Z58" s="87"/>
      <c r="AA58" s="87"/>
      <c r="AB58" s="87"/>
      <c r="AC58" s="87"/>
      <c r="AD58" s="87"/>
      <c r="AE58" s="87"/>
      <c r="AF58" s="87"/>
      <c r="AG58" s="84"/>
      <c r="AH58" s="83"/>
      <c r="AI58" s="7"/>
      <c r="AJ58" s="7"/>
      <c r="AK58" s="7"/>
      <c r="AL58" s="7"/>
      <c r="AM58" s="7"/>
      <c r="AN58" s="7"/>
      <c r="AO58" s="7"/>
    </row>
    <row r="59" spans="1:41" s="28" customFormat="1">
      <c r="A59" s="7"/>
      <c r="B59" s="77"/>
      <c r="C59" s="30" t="s">
        <v>212</v>
      </c>
      <c r="D59" s="30"/>
      <c r="E59" s="451">
        <v>250</v>
      </c>
      <c r="F59" s="80"/>
      <c r="G59" s="68"/>
      <c r="H59" s="118" t="s">
        <v>212</v>
      </c>
      <c r="I59" s="40">
        <f>E59</f>
        <v>250</v>
      </c>
      <c r="J59" s="35">
        <f t="shared" ref="J59:T59" si="88">I59*(1+$E$60)</f>
        <v>251.24999999999997</v>
      </c>
      <c r="K59" s="35">
        <f t="shared" si="88"/>
        <v>252.50624999999994</v>
      </c>
      <c r="L59" s="35">
        <f t="shared" si="88"/>
        <v>253.7687812499999</v>
      </c>
      <c r="M59" s="35">
        <f t="shared" si="88"/>
        <v>255.03762515624987</v>
      </c>
      <c r="N59" s="35">
        <f t="shared" si="88"/>
        <v>256.31281328203107</v>
      </c>
      <c r="O59" s="35">
        <f t="shared" si="88"/>
        <v>257.59437734844118</v>
      </c>
      <c r="P59" s="35">
        <f t="shared" si="88"/>
        <v>258.88234923518337</v>
      </c>
      <c r="Q59" s="35">
        <f t="shared" si="88"/>
        <v>260.17676098135928</v>
      </c>
      <c r="R59" s="35">
        <f t="shared" si="88"/>
        <v>261.47764478626607</v>
      </c>
      <c r="S59" s="35">
        <f>R59*(1+$E$60)</f>
        <v>262.78503301019737</v>
      </c>
      <c r="T59" s="36">
        <f t="shared" si="88"/>
        <v>264.0989581752483</v>
      </c>
      <c r="U59" s="37"/>
      <c r="V59" s="35">
        <f>T59*(1+$E$60)</f>
        <v>265.41945296612454</v>
      </c>
      <c r="W59" s="35">
        <f t="shared" ref="W59:AG59" si="89">V59*(1+$E$60)</f>
        <v>266.74655023095511</v>
      </c>
      <c r="X59" s="35">
        <f t="shared" si="89"/>
        <v>268.08028298210985</v>
      </c>
      <c r="Y59" s="35">
        <f t="shared" si="89"/>
        <v>269.42068439702035</v>
      </c>
      <c r="Z59" s="35">
        <f t="shared" si="89"/>
        <v>270.76778781900543</v>
      </c>
      <c r="AA59" s="35">
        <f t="shared" si="89"/>
        <v>272.12162675810043</v>
      </c>
      <c r="AB59" s="35">
        <f t="shared" si="89"/>
        <v>273.48223489189093</v>
      </c>
      <c r="AC59" s="35">
        <f t="shared" si="89"/>
        <v>274.84964606635037</v>
      </c>
      <c r="AD59" s="35">
        <f t="shared" si="89"/>
        <v>276.22389429668209</v>
      </c>
      <c r="AE59" s="35">
        <f t="shared" si="89"/>
        <v>277.60501376816546</v>
      </c>
      <c r="AF59" s="35">
        <f t="shared" si="89"/>
        <v>278.99303883700628</v>
      </c>
      <c r="AG59" s="36">
        <f t="shared" si="89"/>
        <v>280.38800403119126</v>
      </c>
      <c r="AH59" s="37"/>
      <c r="AI59" s="7"/>
      <c r="AJ59" s="7"/>
      <c r="AK59" s="7"/>
      <c r="AL59" s="7"/>
      <c r="AM59" s="7"/>
      <c r="AN59" s="7"/>
      <c r="AO59" s="7"/>
    </row>
    <row r="60" spans="1:41" s="28" customFormat="1">
      <c r="A60" s="7"/>
      <c r="B60" s="77"/>
      <c r="C60" s="30" t="s">
        <v>24</v>
      </c>
      <c r="D60" s="30"/>
      <c r="E60" s="44">
        <v>5.0000000000000001E-3</v>
      </c>
      <c r="F60" s="80"/>
      <c r="G60" s="68"/>
      <c r="H60" s="118" t="s">
        <v>219</v>
      </c>
      <c r="I60" s="40">
        <f>I46*I59</f>
        <v>7500</v>
      </c>
      <c r="J60" s="35">
        <f t="shared" ref="J60:T60" si="90">I68</f>
        <v>9500</v>
      </c>
      <c r="K60" s="35">
        <f t="shared" si="90"/>
        <v>12059.999999999998</v>
      </c>
      <c r="L60" s="35">
        <f t="shared" si="90"/>
        <v>14897.868749999996</v>
      </c>
      <c r="M60" s="35">
        <f t="shared" si="90"/>
        <v>18271.352249999996</v>
      </c>
      <c r="N60" s="35">
        <f t="shared" si="90"/>
        <v>22188.273388593741</v>
      </c>
      <c r="O60" s="35">
        <f t="shared" si="90"/>
        <v>26656.532581331234</v>
      </c>
      <c r="P60" s="35">
        <f t="shared" si="90"/>
        <v>31168.919659161387</v>
      </c>
      <c r="Q60" s="35">
        <f t="shared" si="90"/>
        <v>36761.293591396054</v>
      </c>
      <c r="R60" s="35">
        <f t="shared" si="90"/>
        <v>42929.165561924303</v>
      </c>
      <c r="S60" s="35">
        <f t="shared" si="90"/>
        <v>49680.752509390579</v>
      </c>
      <c r="T60" s="36">
        <f t="shared" si="90"/>
        <v>57024.352163212854</v>
      </c>
      <c r="U60" s="37"/>
      <c r="V60" s="35">
        <f>T68</f>
        <v>65760.640585636851</v>
      </c>
      <c r="W60" s="35">
        <f t="shared" ref="W60:AG60" si="91">V68</f>
        <v>75379.124642379393</v>
      </c>
      <c r="X60" s="35">
        <f t="shared" si="91"/>
        <v>86159.135724598542</v>
      </c>
      <c r="Y60" s="35">
        <f t="shared" si="91"/>
        <v>97849.303288470139</v>
      </c>
      <c r="Z60" s="35">
        <f t="shared" si="91"/>
        <v>110731.90128717539</v>
      </c>
      <c r="AA60" s="35">
        <f t="shared" si="91"/>
        <v>124553.18239674253</v>
      </c>
      <c r="AB60" s="35">
        <f t="shared" si="91"/>
        <v>139870.51615366369</v>
      </c>
      <c r="AC60" s="35">
        <f t="shared" si="91"/>
        <v>156158.35612326977</v>
      </c>
      <c r="AD60" s="35">
        <f t="shared" si="91"/>
        <v>173979.82595999981</v>
      </c>
      <c r="AE60" s="35">
        <f t="shared" si="91"/>
        <v>193632.94990197418</v>
      </c>
      <c r="AF60" s="35">
        <f t="shared" si="91"/>
        <v>215143.88567032828</v>
      </c>
      <c r="AG60" s="36">
        <f t="shared" si="91"/>
        <v>238260.05516680345</v>
      </c>
      <c r="AH60" s="37"/>
      <c r="AI60" s="7"/>
      <c r="AJ60" s="7"/>
      <c r="AK60" s="7"/>
      <c r="AL60" s="7"/>
      <c r="AM60" s="7"/>
      <c r="AN60" s="7"/>
      <c r="AO60" s="7"/>
    </row>
    <row r="61" spans="1:41" s="28" customFormat="1">
      <c r="A61" s="7"/>
      <c r="B61" s="77"/>
      <c r="C61" s="30" t="s">
        <v>269</v>
      </c>
      <c r="D61" s="30"/>
      <c r="E61" s="451">
        <v>250</v>
      </c>
      <c r="F61" s="80"/>
      <c r="G61" s="68"/>
      <c r="H61" s="96" t="s">
        <v>208</v>
      </c>
      <c r="I61" s="40">
        <f t="shared" ref="I61:T61" si="92">(I48+I49)*I59</f>
        <v>2500</v>
      </c>
      <c r="J61" s="35">
        <f t="shared" si="92"/>
        <v>3014.9999999999995</v>
      </c>
      <c r="K61" s="35">
        <f t="shared" si="92"/>
        <v>3282.5812499999993</v>
      </c>
      <c r="L61" s="35">
        <f t="shared" si="92"/>
        <v>3806.5317187499986</v>
      </c>
      <c r="M61" s="35">
        <f t="shared" si="92"/>
        <v>4590.6772528124975</v>
      </c>
      <c r="N61" s="35">
        <f t="shared" si="92"/>
        <v>5126.2562656406217</v>
      </c>
      <c r="O61" s="35">
        <f t="shared" si="92"/>
        <v>5667.0763016657056</v>
      </c>
      <c r="P61" s="35">
        <f t="shared" si="92"/>
        <v>6730.9410801147678</v>
      </c>
      <c r="Q61" s="35">
        <f t="shared" si="92"/>
        <v>7545.126068459419</v>
      </c>
      <c r="R61" s="35">
        <f t="shared" si="92"/>
        <v>8367.2846331605142</v>
      </c>
      <c r="S61" s="35">
        <f t="shared" si="92"/>
        <v>9460.2611883671052</v>
      </c>
      <c r="T61" s="36">
        <f t="shared" si="92"/>
        <v>10828.057285185179</v>
      </c>
      <c r="U61" s="37">
        <f t="shared" ref="U61:U67" si="93">SUM(I61:T61)</f>
        <v>70919.793044155798</v>
      </c>
      <c r="V61" s="40">
        <f t="shared" ref="V61:AG61" si="94">(V48+V49)*V59</f>
        <v>11943.875383475604</v>
      </c>
      <c r="W61" s="35">
        <f t="shared" si="94"/>
        <v>13337.327511547755</v>
      </c>
      <c r="X61" s="35">
        <f t="shared" si="94"/>
        <v>14744.415564016042</v>
      </c>
      <c r="Y61" s="35">
        <f t="shared" si="94"/>
        <v>16434.661748218241</v>
      </c>
      <c r="Z61" s="35">
        <f t="shared" si="94"/>
        <v>17870.67399605436</v>
      </c>
      <c r="AA61" s="35">
        <f t="shared" si="94"/>
        <v>19592.75712658323</v>
      </c>
      <c r="AB61" s="35">
        <f t="shared" si="94"/>
        <v>21605.096556459383</v>
      </c>
      <c r="AC61" s="35">
        <f t="shared" si="94"/>
        <v>23637.069561706132</v>
      </c>
      <c r="AD61" s="35">
        <f t="shared" si="94"/>
        <v>25965.046063888116</v>
      </c>
      <c r="AE61" s="35">
        <f t="shared" si="94"/>
        <v>28593.316418121041</v>
      </c>
      <c r="AF61" s="35">
        <f t="shared" si="94"/>
        <v>31247.220349744704</v>
      </c>
      <c r="AG61" s="36">
        <f t="shared" si="94"/>
        <v>34207.336491805334</v>
      </c>
      <c r="AH61" s="37">
        <f t="shared" ref="AH61:AH67" si="95">SUM(V61:AG61)</f>
        <v>259178.79677161993</v>
      </c>
      <c r="AI61" s="7"/>
      <c r="AJ61" s="7"/>
      <c r="AK61" s="7"/>
      <c r="AL61" s="7"/>
      <c r="AM61" s="7"/>
      <c r="AN61" s="7"/>
      <c r="AO61" s="7"/>
    </row>
    <row r="62" spans="1:41" s="28" customFormat="1">
      <c r="A62" s="7"/>
      <c r="B62" s="77"/>
      <c r="C62" s="30"/>
      <c r="D62" s="30"/>
      <c r="E62" s="31"/>
      <c r="F62" s="80"/>
      <c r="G62" s="68"/>
      <c r="H62" s="96" t="s">
        <v>220</v>
      </c>
      <c r="I62" s="40">
        <f t="shared" ref="I62:T62" si="96">I51*I59</f>
        <v>250</v>
      </c>
      <c r="J62" s="35">
        <f t="shared" si="96"/>
        <v>251.24999999999997</v>
      </c>
      <c r="K62" s="35">
        <f t="shared" si="96"/>
        <v>252.50624999999994</v>
      </c>
      <c r="L62" s="35">
        <f t="shared" si="96"/>
        <v>507.53756249999981</v>
      </c>
      <c r="M62" s="35">
        <f t="shared" si="96"/>
        <v>510.07525031249975</v>
      </c>
      <c r="N62" s="35">
        <f t="shared" si="96"/>
        <v>768.93843984609316</v>
      </c>
      <c r="O62" s="35">
        <f t="shared" si="96"/>
        <v>772.78313204532355</v>
      </c>
      <c r="P62" s="35">
        <f t="shared" si="96"/>
        <v>1035.5293969407335</v>
      </c>
      <c r="Q62" s="35">
        <f t="shared" si="96"/>
        <v>1300.8838049067963</v>
      </c>
      <c r="R62" s="35">
        <f t="shared" si="96"/>
        <v>1307.3882239313302</v>
      </c>
      <c r="S62" s="35">
        <f t="shared" si="96"/>
        <v>1576.7101980611842</v>
      </c>
      <c r="T62" s="36">
        <f t="shared" si="96"/>
        <v>1848.6927072267381</v>
      </c>
      <c r="U62" s="37">
        <f t="shared" si="93"/>
        <v>10382.294965770699</v>
      </c>
      <c r="V62" s="40">
        <f t="shared" ref="V62:AG62" si="97">V51*V59</f>
        <v>2123.3556237289963</v>
      </c>
      <c r="W62" s="35">
        <f t="shared" si="97"/>
        <v>2667.4655023095511</v>
      </c>
      <c r="X62" s="35">
        <f t="shared" si="97"/>
        <v>2948.8831128032084</v>
      </c>
      <c r="Y62" s="35">
        <f t="shared" si="97"/>
        <v>3233.0482127642445</v>
      </c>
      <c r="Z62" s="35">
        <f t="shared" si="97"/>
        <v>3790.7490294660761</v>
      </c>
      <c r="AA62" s="35">
        <f t="shared" si="97"/>
        <v>4353.9460281296069</v>
      </c>
      <c r="AB62" s="35">
        <f t="shared" si="97"/>
        <v>4649.1979931621454</v>
      </c>
      <c r="AC62" s="35">
        <f t="shared" si="97"/>
        <v>5222.143275260657</v>
      </c>
      <c r="AD62" s="35">
        <f t="shared" si="97"/>
        <v>6076.9256745270059</v>
      </c>
      <c r="AE62" s="35">
        <f t="shared" si="97"/>
        <v>6662.5203304359711</v>
      </c>
      <c r="AF62" s="35">
        <f t="shared" si="97"/>
        <v>7253.8190097621637</v>
      </c>
      <c r="AG62" s="36">
        <f t="shared" si="97"/>
        <v>8131.2521169045467</v>
      </c>
      <c r="AH62" s="37">
        <f t="shared" si="95"/>
        <v>57113.305909254166</v>
      </c>
      <c r="AI62" s="7"/>
      <c r="AJ62" s="7"/>
      <c r="AK62" s="7"/>
      <c r="AL62" s="7"/>
      <c r="AM62" s="7"/>
      <c r="AN62" s="7"/>
      <c r="AO62" s="7"/>
    </row>
    <row r="63" spans="1:41" s="28" customFormat="1">
      <c r="A63" s="7"/>
      <c r="B63" s="77"/>
      <c r="C63" s="30"/>
      <c r="D63" s="30"/>
      <c r="E63" s="31"/>
      <c r="F63" s="80"/>
      <c r="G63" s="68"/>
      <c r="H63" s="96" t="s">
        <v>221</v>
      </c>
      <c r="I63" s="40">
        <f>(I46-I52-I53-I54)*(I59-E61)</f>
        <v>0</v>
      </c>
      <c r="J63" s="35">
        <f t="shared" ref="J63:T63" si="98">(J46-J52-J53-J54)*(J59-I59)</f>
        <v>43.749999999999005</v>
      </c>
      <c r="K63" s="35">
        <f t="shared" si="98"/>
        <v>56.531249999998465</v>
      </c>
      <c r="L63" s="35">
        <f t="shared" si="98"/>
        <v>69.439218749998162</v>
      </c>
      <c r="M63" s="35">
        <f t="shared" si="98"/>
        <v>85.012541718747968</v>
      </c>
      <c r="N63" s="35">
        <f t="shared" si="98"/>
        <v>103.2902381882771</v>
      </c>
      <c r="O63" s="35">
        <f t="shared" si="98"/>
        <v>123.03015037537079</v>
      </c>
      <c r="P63" s="35">
        <f t="shared" si="98"/>
        <v>144.25285131512464</v>
      </c>
      <c r="Q63" s="35">
        <f t="shared" si="98"/>
        <v>169.56793874904429</v>
      </c>
      <c r="R63" s="35">
        <f t="shared" si="98"/>
        <v>199.03522215073872</v>
      </c>
      <c r="S63" s="35">
        <f t="shared" si="98"/>
        <v>228.79293918797714</v>
      </c>
      <c r="T63" s="36">
        <f t="shared" si="98"/>
        <v>264.09895817523739</v>
      </c>
      <c r="U63" s="37">
        <f t="shared" si="93"/>
        <v>1486.8013086105138</v>
      </c>
      <c r="V63" s="35">
        <f>(V46-V52-V53-V54)*(V59-T59)</f>
        <v>305.03429669241126</v>
      </c>
      <c r="W63" s="35">
        <f t="shared" ref="W63:AG63" si="99">(W46-W52-W53-W54)*(W59-V59)</f>
        <v>349.02658065043994</v>
      </c>
      <c r="X63" s="35">
        <f t="shared" si="99"/>
        <v>398.78609259526769</v>
      </c>
      <c r="Y63" s="35">
        <f t="shared" si="99"/>
        <v>453.0556782397498</v>
      </c>
      <c r="Z63" s="35">
        <f t="shared" si="99"/>
        <v>511.89930035433122</v>
      </c>
      <c r="AA63" s="35">
        <f t="shared" si="99"/>
        <v>576.73538805446947</v>
      </c>
      <c r="AB63" s="35">
        <f t="shared" si="99"/>
        <v>646.28886355048394</v>
      </c>
      <c r="AC63" s="35">
        <f t="shared" si="99"/>
        <v>721.99310011458874</v>
      </c>
      <c r="AD63" s="35">
        <f t="shared" si="99"/>
        <v>803.93521474405384</v>
      </c>
      <c r="AE63" s="35">
        <f t="shared" si="99"/>
        <v>894.96541752122585</v>
      </c>
      <c r="AF63" s="35">
        <f t="shared" si="99"/>
        <v>993.82594929002585</v>
      </c>
      <c r="AG63" s="36">
        <f t="shared" si="99"/>
        <v>1102.0225034061314</v>
      </c>
      <c r="AH63" s="37">
        <f t="shared" si="95"/>
        <v>7757.5683852131797</v>
      </c>
      <c r="AI63" s="7"/>
      <c r="AJ63" s="7"/>
      <c r="AK63" s="7"/>
      <c r="AL63" s="7"/>
      <c r="AM63" s="7"/>
      <c r="AN63" s="7"/>
      <c r="AO63" s="7"/>
    </row>
    <row r="64" spans="1:41" s="28" customFormat="1">
      <c r="A64" s="7"/>
      <c r="B64" s="77"/>
      <c r="C64" s="30"/>
      <c r="D64" s="30"/>
      <c r="E64" s="31"/>
      <c r="F64" s="80"/>
      <c r="G64" s="68"/>
      <c r="H64" s="96" t="s">
        <v>209</v>
      </c>
      <c r="I64" s="40">
        <f>I52*E61</f>
        <v>250</v>
      </c>
      <c r="J64" s="35">
        <f t="shared" ref="J64:T64" si="100">J52*I59</f>
        <v>250</v>
      </c>
      <c r="K64" s="35">
        <f t="shared" si="100"/>
        <v>251.24999999999997</v>
      </c>
      <c r="L64" s="35">
        <f t="shared" si="100"/>
        <v>252.50624999999994</v>
      </c>
      <c r="M64" s="35">
        <f t="shared" si="100"/>
        <v>253.7687812499999</v>
      </c>
      <c r="N64" s="35">
        <f t="shared" si="100"/>
        <v>510.07525031249975</v>
      </c>
      <c r="O64" s="35">
        <f t="shared" si="100"/>
        <v>512.62562656406215</v>
      </c>
      <c r="P64" s="35">
        <f t="shared" si="100"/>
        <v>515.18875469688237</v>
      </c>
      <c r="Q64" s="35">
        <f t="shared" si="100"/>
        <v>776.64704770555011</v>
      </c>
      <c r="R64" s="35">
        <f t="shared" si="100"/>
        <v>780.53028294407784</v>
      </c>
      <c r="S64" s="35">
        <f t="shared" si="100"/>
        <v>1045.9105791450643</v>
      </c>
      <c r="T64" s="36">
        <f t="shared" si="100"/>
        <v>1051.1401320407895</v>
      </c>
      <c r="U64" s="37">
        <f t="shared" si="93"/>
        <v>6449.6427046589251</v>
      </c>
      <c r="V64" s="35">
        <f>V52*T59</f>
        <v>1320.4947908762415</v>
      </c>
      <c r="W64" s="35">
        <f t="shared" ref="W64:AG64" si="101">W52*V59</f>
        <v>1592.5167177967473</v>
      </c>
      <c r="X64" s="35">
        <f t="shared" si="101"/>
        <v>1600.4793013857307</v>
      </c>
      <c r="Y64" s="35">
        <f t="shared" si="101"/>
        <v>1876.561980874769</v>
      </c>
      <c r="Z64" s="35">
        <f t="shared" si="101"/>
        <v>2155.3654751761628</v>
      </c>
      <c r="AA64" s="35">
        <f t="shared" si="101"/>
        <v>2436.9100903710487</v>
      </c>
      <c r="AB64" s="35">
        <f t="shared" si="101"/>
        <v>2721.2162675810041</v>
      </c>
      <c r="AC64" s="35">
        <f t="shared" si="101"/>
        <v>3008.3045838108001</v>
      </c>
      <c r="AD64" s="35">
        <f t="shared" si="101"/>
        <v>3573.045398862555</v>
      </c>
      <c r="AE64" s="35">
        <f t="shared" si="101"/>
        <v>3867.1345201535491</v>
      </c>
      <c r="AF64" s="35">
        <f t="shared" si="101"/>
        <v>4441.6802202906474</v>
      </c>
      <c r="AG64" s="36">
        <f t="shared" si="101"/>
        <v>4742.8816602291072</v>
      </c>
      <c r="AH64" s="37">
        <f t="shared" si="95"/>
        <v>33336.591007408359</v>
      </c>
      <c r="AI64" s="7"/>
      <c r="AJ64" s="7"/>
      <c r="AK64" s="7"/>
      <c r="AL64" s="7"/>
      <c r="AM64" s="7"/>
      <c r="AN64" s="7"/>
      <c r="AO64" s="7"/>
    </row>
    <row r="65" spans="1:41" s="28" customFormat="1">
      <c r="A65" s="7"/>
      <c r="B65" s="77"/>
      <c r="C65" s="30"/>
      <c r="D65" s="30"/>
      <c r="E65" s="31"/>
      <c r="F65" s="80"/>
      <c r="G65" s="68"/>
      <c r="H65" s="96" t="s">
        <v>222</v>
      </c>
      <c r="I65" s="40">
        <f>I53*E61</f>
        <v>500</v>
      </c>
      <c r="J65" s="35">
        <f t="shared" ref="J65:S65" si="102">J53*I59</f>
        <v>500</v>
      </c>
      <c r="K65" s="35">
        <f t="shared" si="102"/>
        <v>502.49999999999994</v>
      </c>
      <c r="L65" s="35">
        <f t="shared" si="102"/>
        <v>757.51874999999984</v>
      </c>
      <c r="M65" s="35">
        <f t="shared" si="102"/>
        <v>1015.0751249999996</v>
      </c>
      <c r="N65" s="35">
        <f t="shared" si="102"/>
        <v>1020.1505006249995</v>
      </c>
      <c r="O65" s="35">
        <f t="shared" si="102"/>
        <v>1281.5640664101554</v>
      </c>
      <c r="P65" s="35">
        <f t="shared" si="102"/>
        <v>1545.5662640906471</v>
      </c>
      <c r="Q65" s="35">
        <f t="shared" si="102"/>
        <v>1812.1764446462835</v>
      </c>
      <c r="R65" s="35">
        <f t="shared" si="102"/>
        <v>2081.4140878508742</v>
      </c>
      <c r="S65" s="35">
        <f t="shared" si="102"/>
        <v>2614.7764478626605</v>
      </c>
      <c r="T65" s="36">
        <f>T53*S59</f>
        <v>2890.635363112171</v>
      </c>
      <c r="U65" s="37">
        <f t="shared" si="93"/>
        <v>16521.377049597791</v>
      </c>
      <c r="V65" s="35">
        <f>V53*T59</f>
        <v>3169.1874981029796</v>
      </c>
      <c r="W65" s="35">
        <f t="shared" ref="W65:AG65" si="103">W53*V59</f>
        <v>3715.8723415257436</v>
      </c>
      <c r="X65" s="35">
        <f t="shared" si="103"/>
        <v>4267.9448036952817</v>
      </c>
      <c r="Y65" s="35">
        <f t="shared" si="103"/>
        <v>4825.4450936779776</v>
      </c>
      <c r="Z65" s="35">
        <f t="shared" si="103"/>
        <v>5657.8343723374273</v>
      </c>
      <c r="AA65" s="35">
        <f t="shared" si="103"/>
        <v>6227.6591198371252</v>
      </c>
      <c r="AB65" s="35">
        <f t="shared" si="103"/>
        <v>7075.162295710611</v>
      </c>
      <c r="AC65" s="35">
        <f t="shared" si="103"/>
        <v>7930.984811864837</v>
      </c>
      <c r="AD65" s="35">
        <f t="shared" si="103"/>
        <v>8795.188674123212</v>
      </c>
      <c r="AE65" s="35">
        <f t="shared" si="103"/>
        <v>9667.8363003838731</v>
      </c>
      <c r="AF65" s="35">
        <f t="shared" si="103"/>
        <v>10826.595536958454</v>
      </c>
      <c r="AG65" s="36">
        <f t="shared" si="103"/>
        <v>11996.700669991271</v>
      </c>
      <c r="AH65" s="37">
        <f t="shared" si="95"/>
        <v>84156.411518208799</v>
      </c>
      <c r="AI65" s="7"/>
      <c r="AJ65" s="7"/>
      <c r="AK65" s="7"/>
      <c r="AL65" s="7"/>
      <c r="AM65" s="7"/>
      <c r="AN65" s="7"/>
      <c r="AO65" s="7"/>
    </row>
    <row r="66" spans="1:41" s="28" customFormat="1">
      <c r="A66" s="7"/>
      <c r="B66" s="77"/>
      <c r="C66" s="30"/>
      <c r="D66" s="30"/>
      <c r="E66" s="31"/>
      <c r="F66" s="80"/>
      <c r="G66" s="68"/>
      <c r="H66" s="96" t="s">
        <v>223</v>
      </c>
      <c r="I66" s="40">
        <f>I54*E61</f>
        <v>0</v>
      </c>
      <c r="J66" s="35">
        <f t="shared" ref="J66:T66" si="104">J54*I59</f>
        <v>0</v>
      </c>
      <c r="K66" s="35">
        <f t="shared" si="104"/>
        <v>0</v>
      </c>
      <c r="L66" s="35">
        <f t="shared" si="104"/>
        <v>0</v>
      </c>
      <c r="M66" s="35">
        <f t="shared" si="104"/>
        <v>0</v>
      </c>
      <c r="N66" s="35">
        <f t="shared" si="104"/>
        <v>0</v>
      </c>
      <c r="O66" s="35">
        <f t="shared" si="104"/>
        <v>256.31281328203107</v>
      </c>
      <c r="P66" s="35">
        <f t="shared" si="104"/>
        <v>257.59437734844118</v>
      </c>
      <c r="Q66" s="35">
        <f t="shared" si="104"/>
        <v>258.88234923518337</v>
      </c>
      <c r="R66" s="35">
        <f t="shared" si="104"/>
        <v>260.17676098135928</v>
      </c>
      <c r="S66" s="35">
        <f t="shared" si="104"/>
        <v>261.47764478626607</v>
      </c>
      <c r="T66" s="36">
        <f t="shared" si="104"/>
        <v>262.78503301019737</v>
      </c>
      <c r="U66" s="37">
        <f t="shared" si="93"/>
        <v>1557.2289786434785</v>
      </c>
      <c r="V66" s="35">
        <f>V54*T59</f>
        <v>264.0989581752483</v>
      </c>
      <c r="W66" s="35">
        <f t="shared" ref="W66:AG66" si="105">W54*V59</f>
        <v>265.41945296612454</v>
      </c>
      <c r="X66" s="35">
        <f t="shared" si="105"/>
        <v>533.49310046191022</v>
      </c>
      <c r="Y66" s="35">
        <f t="shared" si="105"/>
        <v>536.1605659642197</v>
      </c>
      <c r="Z66" s="35">
        <f t="shared" si="105"/>
        <v>538.8413687940407</v>
      </c>
      <c r="AA66" s="35">
        <f t="shared" si="105"/>
        <v>541.53557563801087</v>
      </c>
      <c r="AB66" s="35">
        <f t="shared" si="105"/>
        <v>816.3648802743013</v>
      </c>
      <c r="AC66" s="35">
        <f t="shared" si="105"/>
        <v>820.44670467567278</v>
      </c>
      <c r="AD66" s="35">
        <f t="shared" si="105"/>
        <v>824.54893819905112</v>
      </c>
      <c r="AE66" s="35">
        <f t="shared" si="105"/>
        <v>1104.8955771867284</v>
      </c>
      <c r="AF66" s="35">
        <f t="shared" si="105"/>
        <v>1110.4200550726619</v>
      </c>
      <c r="AG66" s="36">
        <f t="shared" si="105"/>
        <v>1115.9721553480251</v>
      </c>
      <c r="AH66" s="37">
        <f t="shared" si="95"/>
        <v>8472.1973327559954</v>
      </c>
      <c r="AI66" s="7"/>
      <c r="AJ66" s="7"/>
      <c r="AK66" s="7"/>
      <c r="AL66" s="7"/>
      <c r="AM66" s="7"/>
      <c r="AN66" s="7"/>
      <c r="AO66" s="7"/>
    </row>
    <row r="67" spans="1:41" s="28" customFormat="1">
      <c r="A67" s="7"/>
      <c r="B67" s="77"/>
      <c r="C67" s="30"/>
      <c r="D67" s="30"/>
      <c r="E67" s="31"/>
      <c r="F67" s="80"/>
      <c r="G67" s="68"/>
      <c r="H67" s="118" t="s">
        <v>217</v>
      </c>
      <c r="I67" s="373">
        <f t="shared" ref="I67:T67" si="106">I68-I60</f>
        <v>2000</v>
      </c>
      <c r="J67" s="374">
        <f t="shared" si="106"/>
        <v>2559.9999999999982</v>
      </c>
      <c r="K67" s="374">
        <f t="shared" si="106"/>
        <v>2837.8687499999978</v>
      </c>
      <c r="L67" s="374">
        <f t="shared" si="106"/>
        <v>3373.4835000000003</v>
      </c>
      <c r="M67" s="374">
        <f t="shared" si="106"/>
        <v>3916.9211385937451</v>
      </c>
      <c r="N67" s="374">
        <f t="shared" si="106"/>
        <v>4468.2591927374924</v>
      </c>
      <c r="O67" s="374">
        <f t="shared" si="106"/>
        <v>4512.3870778301534</v>
      </c>
      <c r="P67" s="374">
        <f t="shared" si="106"/>
        <v>5592.3739322346664</v>
      </c>
      <c r="Q67" s="374">
        <f t="shared" si="106"/>
        <v>6167.8719705282492</v>
      </c>
      <c r="R67" s="374">
        <f t="shared" si="106"/>
        <v>6751.5869474662759</v>
      </c>
      <c r="S67" s="374">
        <f t="shared" si="106"/>
        <v>7343.5996538222753</v>
      </c>
      <c r="T67" s="375">
        <f t="shared" si="106"/>
        <v>8736.288422423997</v>
      </c>
      <c r="U67" s="37">
        <f t="shared" si="93"/>
        <v>58260.640585636851</v>
      </c>
      <c r="V67" s="373">
        <f t="shared" ref="V67:AG67" si="107">V68-V60</f>
        <v>9618.4840567425417</v>
      </c>
      <c r="W67" s="374">
        <f t="shared" si="107"/>
        <v>10780.011082219149</v>
      </c>
      <c r="X67" s="374">
        <f t="shared" si="107"/>
        <v>11690.167563871597</v>
      </c>
      <c r="Y67" s="374">
        <f t="shared" si="107"/>
        <v>12882.597998705256</v>
      </c>
      <c r="Z67" s="374">
        <f t="shared" si="107"/>
        <v>13821.281109567135</v>
      </c>
      <c r="AA67" s="374">
        <f t="shared" si="107"/>
        <v>15317.333756921158</v>
      </c>
      <c r="AB67" s="374">
        <f t="shared" si="107"/>
        <v>16287.839969606081</v>
      </c>
      <c r="AC67" s="374">
        <f t="shared" si="107"/>
        <v>17821.469836730044</v>
      </c>
      <c r="AD67" s="374">
        <f t="shared" si="107"/>
        <v>19653.123941974365</v>
      </c>
      <c r="AE67" s="374">
        <f t="shared" si="107"/>
        <v>21510.935768354102</v>
      </c>
      <c r="AF67" s="374">
        <f t="shared" si="107"/>
        <v>23116.169496475166</v>
      </c>
      <c r="AG67" s="375">
        <f t="shared" si="107"/>
        <v>25585.056626547623</v>
      </c>
      <c r="AH67" s="37">
        <f t="shared" si="95"/>
        <v>198084.47120771423</v>
      </c>
      <c r="AI67" s="7"/>
      <c r="AJ67" s="7"/>
      <c r="AK67" s="7"/>
      <c r="AL67" s="7"/>
      <c r="AM67" s="7"/>
      <c r="AN67" s="7"/>
      <c r="AO67" s="7"/>
    </row>
    <row r="68" spans="1:41" s="28" customFormat="1">
      <c r="A68" s="7"/>
      <c r="B68" s="77"/>
      <c r="C68" s="30"/>
      <c r="D68" s="30"/>
      <c r="E68" s="31"/>
      <c r="F68" s="80"/>
      <c r="G68" s="68"/>
      <c r="H68" s="386" t="s">
        <v>218</v>
      </c>
      <c r="I68" s="471">
        <f t="shared" ref="I68:T68" si="108">I60+I61+I62+I63-I64-I65-I66</f>
        <v>9500</v>
      </c>
      <c r="J68" s="472">
        <f t="shared" si="108"/>
        <v>12059.999999999998</v>
      </c>
      <c r="K68" s="472">
        <f t="shared" si="108"/>
        <v>14897.868749999996</v>
      </c>
      <c r="L68" s="472">
        <f t="shared" si="108"/>
        <v>18271.352249999996</v>
      </c>
      <c r="M68" s="472">
        <f t="shared" si="108"/>
        <v>22188.273388593741</v>
      </c>
      <c r="N68" s="472">
        <f t="shared" si="108"/>
        <v>26656.532581331234</v>
      </c>
      <c r="O68" s="472">
        <f t="shared" si="108"/>
        <v>31168.919659161387</v>
      </c>
      <c r="P68" s="472">
        <f t="shared" si="108"/>
        <v>36761.293591396054</v>
      </c>
      <c r="Q68" s="472">
        <f t="shared" si="108"/>
        <v>42929.165561924303</v>
      </c>
      <c r="R68" s="472">
        <f t="shared" si="108"/>
        <v>49680.752509390579</v>
      </c>
      <c r="S68" s="472">
        <f t="shared" si="108"/>
        <v>57024.352163212854</v>
      </c>
      <c r="T68" s="473">
        <f t="shared" si="108"/>
        <v>65760.640585636851</v>
      </c>
      <c r="U68" s="473">
        <f>T68</f>
        <v>65760.640585636851</v>
      </c>
      <c r="V68" s="471">
        <f t="shared" ref="V68:AG68" si="109">V60+V61+V62+V63-V64-V65-V66</f>
        <v>75379.124642379393</v>
      </c>
      <c r="W68" s="472">
        <f t="shared" si="109"/>
        <v>86159.135724598542</v>
      </c>
      <c r="X68" s="472">
        <f t="shared" si="109"/>
        <v>97849.303288470139</v>
      </c>
      <c r="Y68" s="472">
        <f t="shared" si="109"/>
        <v>110731.90128717539</v>
      </c>
      <c r="Z68" s="472">
        <f t="shared" si="109"/>
        <v>124553.18239674253</v>
      </c>
      <c r="AA68" s="472">
        <f t="shared" si="109"/>
        <v>139870.51615366369</v>
      </c>
      <c r="AB68" s="472">
        <f t="shared" si="109"/>
        <v>156158.35612326977</v>
      </c>
      <c r="AC68" s="472">
        <f t="shared" si="109"/>
        <v>173979.82595999981</v>
      </c>
      <c r="AD68" s="472">
        <f t="shared" si="109"/>
        <v>193632.94990197418</v>
      </c>
      <c r="AE68" s="472">
        <f t="shared" si="109"/>
        <v>215143.88567032828</v>
      </c>
      <c r="AF68" s="472">
        <f t="shared" si="109"/>
        <v>238260.05516680345</v>
      </c>
      <c r="AG68" s="472">
        <f t="shared" si="109"/>
        <v>263845.11179335107</v>
      </c>
      <c r="AH68" s="474">
        <f>AG68</f>
        <v>263845.11179335107</v>
      </c>
      <c r="AI68" s="7"/>
      <c r="AJ68" s="7"/>
      <c r="AK68" s="7"/>
      <c r="AL68" s="7"/>
      <c r="AM68" s="7"/>
      <c r="AN68" s="7"/>
      <c r="AO68" s="7"/>
    </row>
    <row r="69" spans="1:41" s="66" customFormat="1" ht="13" thickBot="1">
      <c r="A69" s="17"/>
      <c r="B69" s="77"/>
      <c r="C69" s="78"/>
      <c r="D69" s="78"/>
      <c r="E69" s="85"/>
      <c r="F69" s="80"/>
      <c r="G69" s="68"/>
      <c r="H69" s="497" t="s">
        <v>40</v>
      </c>
      <c r="I69" s="498">
        <f t="shared" ref="I69:T69" si="110">I68/I60-1</f>
        <v>0.26666666666666661</v>
      </c>
      <c r="J69" s="499">
        <f t="shared" si="110"/>
        <v>0.26947368421052609</v>
      </c>
      <c r="K69" s="499">
        <f t="shared" si="110"/>
        <v>0.23531249999999981</v>
      </c>
      <c r="L69" s="499">
        <f t="shared" si="110"/>
        <v>0.22644067796610168</v>
      </c>
      <c r="M69" s="499">
        <f t="shared" si="110"/>
        <v>0.21437499999999976</v>
      </c>
      <c r="N69" s="499">
        <f t="shared" si="110"/>
        <v>0.20137931034482737</v>
      </c>
      <c r="O69" s="499">
        <f t="shared" si="110"/>
        <v>0.16927884615384592</v>
      </c>
      <c r="P69" s="499">
        <f t="shared" si="110"/>
        <v>0.17942148760330601</v>
      </c>
      <c r="Q69" s="499">
        <f t="shared" si="110"/>
        <v>0.1677816901408451</v>
      </c>
      <c r="R69" s="499">
        <f t="shared" si="110"/>
        <v>0.15727272727272723</v>
      </c>
      <c r="S69" s="499">
        <f t="shared" si="110"/>
        <v>0.14781578947368401</v>
      </c>
      <c r="T69" s="500">
        <f t="shared" si="110"/>
        <v>0.15320276497695828</v>
      </c>
      <c r="U69" s="399"/>
      <c r="V69" s="498">
        <f t="shared" ref="V69:AG69" si="111">V68/V60-1</f>
        <v>0.14626506024096386</v>
      </c>
      <c r="W69" s="499">
        <f t="shared" si="111"/>
        <v>0.14301056338028162</v>
      </c>
      <c r="X69" s="499">
        <f t="shared" si="111"/>
        <v>0.13568111455108345</v>
      </c>
      <c r="Y69" s="499">
        <f t="shared" si="111"/>
        <v>0.13165753424657489</v>
      </c>
      <c r="Z69" s="499">
        <f t="shared" si="111"/>
        <v>0.124817518248175</v>
      </c>
      <c r="AA69" s="499">
        <f t="shared" si="111"/>
        <v>0.12297826086956531</v>
      </c>
      <c r="AB69" s="499">
        <f t="shared" si="111"/>
        <v>0.11644941634241235</v>
      </c>
      <c r="AC69" s="499">
        <f t="shared" si="111"/>
        <v>0.11412434325744281</v>
      </c>
      <c r="AD69" s="499">
        <f t="shared" si="111"/>
        <v>0.11296208530805685</v>
      </c>
      <c r="AE69" s="499">
        <f t="shared" si="111"/>
        <v>0.11109129814550633</v>
      </c>
      <c r="AF69" s="499">
        <f t="shared" si="111"/>
        <v>0.10744516129032267</v>
      </c>
      <c r="AG69" s="500">
        <f t="shared" si="111"/>
        <v>0.10738290398126438</v>
      </c>
      <c r="AH69" s="399"/>
      <c r="AJ69" s="17"/>
      <c r="AK69" s="17"/>
      <c r="AL69" s="17"/>
      <c r="AM69" s="17"/>
      <c r="AN69" s="17"/>
      <c r="AO69" s="17"/>
    </row>
    <row r="70" spans="1:41" s="66" customFormat="1">
      <c r="A70" s="17"/>
      <c r="B70" s="475"/>
      <c r="C70" s="476"/>
      <c r="D70" s="476"/>
      <c r="E70" s="477"/>
      <c r="F70" s="478"/>
      <c r="G70" s="17"/>
      <c r="H70" s="72"/>
      <c r="I70" s="12"/>
      <c r="J70" s="12"/>
      <c r="K70" s="12"/>
      <c r="L70" s="12"/>
      <c r="M70" s="12"/>
      <c r="N70" s="12"/>
      <c r="O70" s="12"/>
      <c r="P70" s="12"/>
      <c r="Q70" s="12"/>
      <c r="R70" s="12"/>
      <c r="S70" s="12"/>
      <c r="T70" s="12"/>
      <c r="U70" s="12"/>
      <c r="V70" s="12"/>
      <c r="W70" s="12"/>
      <c r="X70" s="12"/>
      <c r="Y70" s="12"/>
      <c r="Z70" s="12"/>
      <c r="AA70" s="12"/>
      <c r="AB70" s="12"/>
      <c r="AC70" s="12"/>
      <c r="AD70" s="12"/>
      <c r="AE70" s="12"/>
      <c r="AF70" s="12"/>
      <c r="AG70" s="12"/>
      <c r="AH70" s="12"/>
      <c r="AI70" s="17"/>
      <c r="AJ70" s="17"/>
      <c r="AK70" s="17"/>
      <c r="AL70" s="17"/>
      <c r="AM70" s="17"/>
      <c r="AN70" s="17"/>
      <c r="AO70" s="17"/>
    </row>
    <row r="71" spans="1:41" s="28" customFormat="1">
      <c r="A71" s="7"/>
      <c r="B71" s="479"/>
      <c r="C71" s="480"/>
      <c r="D71" s="480"/>
      <c r="E71" s="481"/>
      <c r="F71" s="482"/>
      <c r="G71" s="68"/>
      <c r="H71" s="385" t="s">
        <v>31</v>
      </c>
      <c r="I71" s="377"/>
      <c r="J71" s="378"/>
      <c r="K71" s="378"/>
      <c r="L71" s="378"/>
      <c r="M71" s="378"/>
      <c r="N71" s="378"/>
      <c r="O71" s="378"/>
      <c r="P71" s="378"/>
      <c r="Q71" s="378"/>
      <c r="R71" s="378"/>
      <c r="S71" s="378"/>
      <c r="T71" s="379"/>
      <c r="U71" s="91"/>
      <c r="V71" s="89"/>
      <c r="W71" s="90"/>
      <c r="X71" s="90"/>
      <c r="Y71" s="90"/>
      <c r="Z71" s="90"/>
      <c r="AA71" s="90"/>
      <c r="AB71" s="90"/>
      <c r="AC71" s="90"/>
      <c r="AD71" s="90"/>
      <c r="AE71" s="90"/>
      <c r="AF71" s="90"/>
      <c r="AG71" s="91"/>
      <c r="AH71" s="91"/>
      <c r="AI71" s="7"/>
      <c r="AJ71" s="7"/>
      <c r="AK71" s="7"/>
      <c r="AL71" s="7"/>
      <c r="AM71" s="7"/>
      <c r="AN71" s="7"/>
      <c r="AO71" s="7"/>
    </row>
    <row r="72" spans="1:41" s="28" customFormat="1">
      <c r="A72" s="7"/>
      <c r="B72" s="67"/>
      <c r="C72" s="30"/>
      <c r="D72" s="30"/>
      <c r="E72" s="31"/>
      <c r="F72" s="80"/>
      <c r="G72" s="68"/>
      <c r="H72" s="118"/>
      <c r="I72" s="40"/>
      <c r="J72" s="35"/>
      <c r="K72" s="35"/>
      <c r="L72" s="35"/>
      <c r="M72" s="35"/>
      <c r="N72" s="35"/>
      <c r="O72" s="35"/>
      <c r="P72" s="35"/>
      <c r="Q72" s="35"/>
      <c r="R72" s="35"/>
      <c r="S72" s="35"/>
      <c r="T72" s="35"/>
      <c r="U72" s="102"/>
      <c r="V72" s="7"/>
      <c r="W72" s="7"/>
      <c r="X72" s="7"/>
      <c r="Y72" s="7"/>
      <c r="Z72" s="7"/>
      <c r="AA72" s="7"/>
      <c r="AB72" s="7"/>
      <c r="AC72" s="7"/>
      <c r="AD72" s="7"/>
      <c r="AE72" s="7"/>
      <c r="AF72" s="7"/>
      <c r="AG72" s="7"/>
      <c r="AH72" s="102"/>
      <c r="AI72" s="7"/>
      <c r="AJ72" s="7"/>
      <c r="AK72" s="7"/>
      <c r="AL72" s="7"/>
      <c r="AM72" s="7"/>
      <c r="AN72" s="7"/>
      <c r="AO72" s="7"/>
    </row>
    <row r="73" spans="1:41" s="28" customFormat="1">
      <c r="A73" s="7"/>
      <c r="B73" s="67"/>
      <c r="C73" s="30"/>
      <c r="D73" s="30"/>
      <c r="E73" s="31"/>
      <c r="F73" s="80"/>
      <c r="G73" s="68"/>
      <c r="H73" s="92" t="s">
        <v>13</v>
      </c>
      <c r="I73" s="380"/>
      <c r="J73" s="381"/>
      <c r="K73" s="381"/>
      <c r="L73" s="381"/>
      <c r="M73" s="381"/>
      <c r="N73" s="381"/>
      <c r="O73" s="381"/>
      <c r="P73" s="381"/>
      <c r="Q73" s="381"/>
      <c r="R73" s="381"/>
      <c r="S73" s="381"/>
      <c r="T73" s="381"/>
      <c r="U73" s="103"/>
      <c r="V73" s="82"/>
      <c r="W73" s="82"/>
      <c r="X73" s="82"/>
      <c r="Y73" s="82"/>
      <c r="Z73" s="82"/>
      <c r="AA73" s="82"/>
      <c r="AB73" s="82"/>
      <c r="AC73" s="82"/>
      <c r="AD73" s="82"/>
      <c r="AE73" s="82"/>
      <c r="AF73" s="82"/>
      <c r="AG73" s="82"/>
      <c r="AH73" s="103"/>
      <c r="AI73" s="7"/>
      <c r="AJ73" s="7"/>
      <c r="AK73" s="7"/>
      <c r="AL73" s="7"/>
      <c r="AM73" s="7"/>
      <c r="AN73" s="7"/>
      <c r="AO73" s="7"/>
    </row>
    <row r="74" spans="1:41" s="28" customFormat="1">
      <c r="A74" s="95"/>
      <c r="B74" s="67"/>
      <c r="C74" s="543" t="s">
        <v>142</v>
      </c>
      <c r="D74" s="543"/>
      <c r="E74" s="107">
        <v>30</v>
      </c>
      <c r="F74" s="80"/>
      <c r="G74" s="68"/>
      <c r="H74" s="118" t="s">
        <v>14</v>
      </c>
      <c r="I74" s="40">
        <f>$E$74</f>
        <v>30</v>
      </c>
      <c r="J74" s="35">
        <f t="shared" ref="J74:T74" si="112">I80</f>
        <v>32</v>
      </c>
      <c r="K74" s="35">
        <f t="shared" si="112"/>
        <v>35</v>
      </c>
      <c r="L74" s="35">
        <f t="shared" si="112"/>
        <v>38</v>
      </c>
      <c r="M74" s="35">
        <f t="shared" si="112"/>
        <v>41</v>
      </c>
      <c r="N74" s="35">
        <f t="shared" si="112"/>
        <v>44</v>
      </c>
      <c r="O74" s="35">
        <f t="shared" si="112"/>
        <v>48</v>
      </c>
      <c r="P74" s="35">
        <f t="shared" si="112"/>
        <v>52</v>
      </c>
      <c r="Q74" s="35">
        <f t="shared" si="112"/>
        <v>56</v>
      </c>
      <c r="R74" s="35">
        <f t="shared" si="112"/>
        <v>61</v>
      </c>
      <c r="S74" s="35">
        <f t="shared" si="112"/>
        <v>66</v>
      </c>
      <c r="T74" s="35">
        <f t="shared" si="112"/>
        <v>72</v>
      </c>
      <c r="U74" s="102"/>
      <c r="V74" s="35">
        <f>T80</f>
        <v>78</v>
      </c>
      <c r="W74" s="35">
        <f t="shared" ref="W74:AG74" si="113">V80</f>
        <v>82</v>
      </c>
      <c r="X74" s="35">
        <f t="shared" si="113"/>
        <v>87</v>
      </c>
      <c r="Y74" s="35">
        <f t="shared" si="113"/>
        <v>92</v>
      </c>
      <c r="Z74" s="35">
        <f t="shared" si="113"/>
        <v>97</v>
      </c>
      <c r="AA74" s="35">
        <f t="shared" si="113"/>
        <v>102</v>
      </c>
      <c r="AB74" s="35">
        <f t="shared" si="113"/>
        <v>108</v>
      </c>
      <c r="AC74" s="35">
        <f t="shared" si="113"/>
        <v>114</v>
      </c>
      <c r="AD74" s="35">
        <f t="shared" si="113"/>
        <v>121</v>
      </c>
      <c r="AE74" s="35">
        <f t="shared" si="113"/>
        <v>128</v>
      </c>
      <c r="AF74" s="35">
        <f t="shared" si="113"/>
        <v>135</v>
      </c>
      <c r="AG74" s="35">
        <f t="shared" si="113"/>
        <v>143</v>
      </c>
      <c r="AH74" s="104"/>
      <c r="AI74" s="7"/>
      <c r="AJ74" s="7"/>
      <c r="AK74" s="7"/>
      <c r="AL74" s="7"/>
      <c r="AM74" s="7"/>
      <c r="AN74" s="7"/>
      <c r="AO74" s="7"/>
    </row>
    <row r="75" spans="1:41" s="28" customFormat="1">
      <c r="A75" s="7"/>
      <c r="B75" s="67"/>
      <c r="C75" s="543" t="s">
        <v>270</v>
      </c>
      <c r="D75" s="543"/>
      <c r="E75" s="450">
        <f>I86</f>
        <v>150000</v>
      </c>
      <c r="F75" s="80"/>
      <c r="G75" s="68"/>
      <c r="H75" s="118" t="s">
        <v>111</v>
      </c>
      <c r="I75" s="40">
        <f t="shared" ref="I75:T75" si="114">IF(ROUND((I87-I90)/(I84/12),0)&gt;0,ROUND((I87-I90)/(I84/12),0),0)</f>
        <v>3</v>
      </c>
      <c r="J75" s="35">
        <f t="shared" si="114"/>
        <v>4</v>
      </c>
      <c r="K75" s="35">
        <f t="shared" si="114"/>
        <v>4</v>
      </c>
      <c r="L75" s="35">
        <f t="shared" si="114"/>
        <v>4</v>
      </c>
      <c r="M75" s="35">
        <f t="shared" si="114"/>
        <v>4</v>
      </c>
      <c r="N75" s="35">
        <f t="shared" si="114"/>
        <v>5</v>
      </c>
      <c r="O75" s="35">
        <f t="shared" si="114"/>
        <v>4</v>
      </c>
      <c r="P75" s="35">
        <f t="shared" si="114"/>
        <v>4</v>
      </c>
      <c r="Q75" s="35">
        <f t="shared" si="114"/>
        <v>5</v>
      </c>
      <c r="R75" s="35">
        <f t="shared" si="114"/>
        <v>5</v>
      </c>
      <c r="S75" s="35">
        <f t="shared" si="114"/>
        <v>5</v>
      </c>
      <c r="T75" s="35">
        <f t="shared" si="114"/>
        <v>5</v>
      </c>
      <c r="U75" s="105">
        <f>SUM(I75:T75)</f>
        <v>52</v>
      </c>
      <c r="V75" s="25">
        <f t="shared" ref="V75:AG75" si="115">IF(ROUND((V87-V90)/(V84/12),0)&gt;0,ROUND((V87-V90)/(V84/12),0),0)</f>
        <v>4</v>
      </c>
      <c r="W75" s="7">
        <f t="shared" si="115"/>
        <v>5</v>
      </c>
      <c r="X75" s="7">
        <f t="shared" si="115"/>
        <v>4</v>
      </c>
      <c r="Y75" s="7">
        <f t="shared" si="115"/>
        <v>4</v>
      </c>
      <c r="Z75" s="7">
        <f t="shared" si="115"/>
        <v>4</v>
      </c>
      <c r="AA75" s="7">
        <f t="shared" si="115"/>
        <v>5</v>
      </c>
      <c r="AB75" s="7">
        <f t="shared" si="115"/>
        <v>4</v>
      </c>
      <c r="AC75" s="7">
        <f t="shared" si="115"/>
        <v>5</v>
      </c>
      <c r="AD75" s="7">
        <f t="shared" si="115"/>
        <v>6</v>
      </c>
      <c r="AE75" s="7">
        <f t="shared" si="115"/>
        <v>5</v>
      </c>
      <c r="AF75" s="7">
        <f t="shared" si="115"/>
        <v>5</v>
      </c>
      <c r="AG75" s="7">
        <f t="shared" si="115"/>
        <v>6</v>
      </c>
      <c r="AH75" s="105">
        <f>SUM(V75:AG75)</f>
        <v>57</v>
      </c>
      <c r="AI75" s="7"/>
      <c r="AJ75" s="7"/>
      <c r="AK75" s="7"/>
      <c r="AL75" s="7"/>
      <c r="AM75" s="7"/>
      <c r="AN75" s="7"/>
      <c r="AO75" s="7"/>
    </row>
    <row r="76" spans="1:41" s="28" customFormat="1">
      <c r="A76" s="7"/>
      <c r="B76" s="67"/>
      <c r="C76" s="543" t="s">
        <v>271</v>
      </c>
      <c r="D76" s="560"/>
      <c r="E76" s="451">
        <v>400000</v>
      </c>
      <c r="F76" s="80"/>
      <c r="G76" s="68"/>
      <c r="H76" s="118" t="s">
        <v>139</v>
      </c>
      <c r="I76" s="40">
        <f>ROUND(I54,0)</f>
        <v>0</v>
      </c>
      <c r="J76" s="35">
        <f t="shared" ref="J76:T76" si="116">ROUND(J54,0)</f>
        <v>0</v>
      </c>
      <c r="K76" s="35">
        <f t="shared" si="116"/>
        <v>0</v>
      </c>
      <c r="L76" s="35">
        <f t="shared" si="116"/>
        <v>0</v>
      </c>
      <c r="M76" s="35">
        <f t="shared" si="116"/>
        <v>0</v>
      </c>
      <c r="N76" s="35">
        <f t="shared" si="116"/>
        <v>0</v>
      </c>
      <c r="O76" s="35">
        <f t="shared" si="116"/>
        <v>1</v>
      </c>
      <c r="P76" s="35">
        <f t="shared" si="116"/>
        <v>1</v>
      </c>
      <c r="Q76" s="35">
        <f t="shared" si="116"/>
        <v>1</v>
      </c>
      <c r="R76" s="35">
        <f t="shared" si="116"/>
        <v>1</v>
      </c>
      <c r="S76" s="35">
        <f t="shared" si="116"/>
        <v>1</v>
      </c>
      <c r="T76" s="35">
        <f t="shared" si="116"/>
        <v>1</v>
      </c>
      <c r="U76" s="105">
        <f>SUM(I76:T76)</f>
        <v>6</v>
      </c>
      <c r="V76" s="35">
        <f t="shared" ref="V76:AG76" si="117">ROUND(V54,0)</f>
        <v>1</v>
      </c>
      <c r="W76" s="35">
        <f t="shared" si="117"/>
        <v>1</v>
      </c>
      <c r="X76" s="35">
        <f t="shared" si="117"/>
        <v>2</v>
      </c>
      <c r="Y76" s="35">
        <f t="shared" si="117"/>
        <v>2</v>
      </c>
      <c r="Z76" s="35">
        <f t="shared" si="117"/>
        <v>2</v>
      </c>
      <c r="AA76" s="35">
        <f t="shared" si="117"/>
        <v>2</v>
      </c>
      <c r="AB76" s="35">
        <f t="shared" si="117"/>
        <v>3</v>
      </c>
      <c r="AC76" s="35">
        <f t="shared" si="117"/>
        <v>3</v>
      </c>
      <c r="AD76" s="35">
        <f t="shared" si="117"/>
        <v>3</v>
      </c>
      <c r="AE76" s="35">
        <f t="shared" si="117"/>
        <v>4</v>
      </c>
      <c r="AF76" s="35">
        <f t="shared" si="117"/>
        <v>4</v>
      </c>
      <c r="AG76" s="35">
        <f t="shared" si="117"/>
        <v>4</v>
      </c>
      <c r="AH76" s="105">
        <f>SUM(V76:AG76)</f>
        <v>31</v>
      </c>
      <c r="AI76" s="7"/>
      <c r="AJ76" s="7"/>
      <c r="AK76" s="7"/>
      <c r="AL76" s="7"/>
      <c r="AM76" s="7"/>
      <c r="AN76" s="7"/>
      <c r="AO76" s="7"/>
    </row>
    <row r="77" spans="1:41" s="28" customFormat="1">
      <c r="A77" s="7"/>
      <c r="B77" s="67"/>
      <c r="C77" s="543" t="s">
        <v>272</v>
      </c>
      <c r="D77" s="560"/>
      <c r="E77" s="451">
        <v>800000</v>
      </c>
      <c r="F77" s="80"/>
      <c r="G77" s="68"/>
      <c r="H77" s="118" t="s">
        <v>126</v>
      </c>
      <c r="I77" s="40">
        <f>ROUND($E$74/12,0)</f>
        <v>3</v>
      </c>
      <c r="J77" s="35">
        <f>MIN(($E$74-SUM($I$77:I77)),ROUND($E$74/12,0))</f>
        <v>3</v>
      </c>
      <c r="K77" s="35">
        <f>MIN(($E$74-SUM($I$77:J77)),ROUND($E$74/12,0))</f>
        <v>3</v>
      </c>
      <c r="L77" s="35">
        <f>MIN(($E$74-SUM($I$77:K77)),ROUND($E$74/12,0))</f>
        <v>3</v>
      </c>
      <c r="M77" s="35">
        <f>MIN(($E$74-SUM($I$77:L77)),ROUND($E$74/12,0))</f>
        <v>3</v>
      </c>
      <c r="N77" s="35">
        <f>MIN(($E$74-SUM($I$77:M77)),ROUND($E$74/12,0))</f>
        <v>3</v>
      </c>
      <c r="O77" s="35">
        <f>MIN(($E$74-SUM($I$77:N77)),ROUND($E$74/12,0))</f>
        <v>3</v>
      </c>
      <c r="P77" s="35">
        <f>MIN(($E$74-SUM($I$77:O77)),ROUND($E$74/12,0))</f>
        <v>3</v>
      </c>
      <c r="Q77" s="35">
        <f>MIN(($E$74-SUM($I$77:P77)),ROUND($E$74/12,0))</f>
        <v>3</v>
      </c>
      <c r="R77" s="35">
        <f>MIN(($E$74-SUM($I$77:Q77)),ROUND($E$74/12,0))</f>
        <v>3</v>
      </c>
      <c r="S77" s="35">
        <f>MIN(($E$74-SUM($I$77:R77)),ROUND($E$74/12,0))</f>
        <v>0</v>
      </c>
      <c r="T77" s="35">
        <f>MIN(($E$74-SUM($I$77:S77)),ROUND($E$74/12,0))</f>
        <v>0</v>
      </c>
      <c r="U77" s="105">
        <f>SUM(I77:T77)</f>
        <v>30</v>
      </c>
      <c r="V77" s="35">
        <f t="shared" ref="V77:AG77" si="118">I75+I76+I78</f>
        <v>5</v>
      </c>
      <c r="W77" s="35">
        <f t="shared" si="118"/>
        <v>6</v>
      </c>
      <c r="X77" s="35">
        <f t="shared" si="118"/>
        <v>6</v>
      </c>
      <c r="Y77" s="35">
        <f t="shared" si="118"/>
        <v>6</v>
      </c>
      <c r="Z77" s="35">
        <f t="shared" si="118"/>
        <v>6</v>
      </c>
      <c r="AA77" s="35">
        <f t="shared" si="118"/>
        <v>7</v>
      </c>
      <c r="AB77" s="35">
        <f t="shared" si="118"/>
        <v>7</v>
      </c>
      <c r="AC77" s="35">
        <f t="shared" si="118"/>
        <v>7</v>
      </c>
      <c r="AD77" s="35">
        <f t="shared" si="118"/>
        <v>8</v>
      </c>
      <c r="AE77" s="35">
        <f t="shared" si="118"/>
        <v>8</v>
      </c>
      <c r="AF77" s="35">
        <f t="shared" si="118"/>
        <v>6</v>
      </c>
      <c r="AG77" s="35">
        <f t="shared" si="118"/>
        <v>6</v>
      </c>
      <c r="AH77" s="105">
        <f>SUM(V77:AG77)</f>
        <v>78</v>
      </c>
      <c r="AI77" s="7"/>
      <c r="AJ77" s="7"/>
      <c r="AK77" s="7"/>
      <c r="AL77" s="7"/>
      <c r="AM77" s="7"/>
      <c r="AN77" s="7"/>
      <c r="AO77" s="7"/>
    </row>
    <row r="78" spans="1:41" s="28" customFormat="1">
      <c r="A78" s="7"/>
      <c r="B78" s="67"/>
      <c r="C78" s="543" t="s">
        <v>273</v>
      </c>
      <c r="D78" s="560"/>
      <c r="E78" s="106">
        <f>(E76/E75)^(1/12)-1</f>
        <v>8.516903890614258E-2</v>
      </c>
      <c r="F78" s="80"/>
      <c r="G78" s="68"/>
      <c r="H78" s="96" t="s">
        <v>127</v>
      </c>
      <c r="I78" s="40">
        <f>I77-I79</f>
        <v>2</v>
      </c>
      <c r="J78" s="35">
        <f t="shared" ref="J78:W78" si="119">J77-J79</f>
        <v>2</v>
      </c>
      <c r="K78" s="35">
        <f t="shared" si="119"/>
        <v>2</v>
      </c>
      <c r="L78" s="35">
        <f t="shared" si="119"/>
        <v>2</v>
      </c>
      <c r="M78" s="35">
        <f t="shared" si="119"/>
        <v>2</v>
      </c>
      <c r="N78" s="35">
        <f t="shared" si="119"/>
        <v>2</v>
      </c>
      <c r="O78" s="35">
        <f t="shared" si="119"/>
        <v>2</v>
      </c>
      <c r="P78" s="35">
        <f t="shared" si="119"/>
        <v>2</v>
      </c>
      <c r="Q78" s="35">
        <f t="shared" si="119"/>
        <v>2</v>
      </c>
      <c r="R78" s="35">
        <f t="shared" si="119"/>
        <v>2</v>
      </c>
      <c r="S78" s="35">
        <f t="shared" si="119"/>
        <v>0</v>
      </c>
      <c r="T78" s="35">
        <f t="shared" si="119"/>
        <v>0</v>
      </c>
      <c r="U78" s="105">
        <f>SUM(I78:T78)</f>
        <v>20</v>
      </c>
      <c r="V78" s="35">
        <f t="shared" si="119"/>
        <v>4</v>
      </c>
      <c r="W78" s="35">
        <f t="shared" si="119"/>
        <v>5</v>
      </c>
      <c r="X78" s="35">
        <f t="shared" ref="X78" si="120">X77-X79</f>
        <v>5</v>
      </c>
      <c r="Y78" s="35">
        <f t="shared" ref="Y78" si="121">Y77-Y79</f>
        <v>5</v>
      </c>
      <c r="Z78" s="35">
        <f t="shared" ref="Z78" si="122">Z77-Z79</f>
        <v>5</v>
      </c>
      <c r="AA78" s="35">
        <f t="shared" ref="AA78" si="123">AA77-AA79</f>
        <v>6</v>
      </c>
      <c r="AB78" s="35">
        <f t="shared" ref="AB78" si="124">AB77-AB79</f>
        <v>6</v>
      </c>
      <c r="AC78" s="35">
        <f t="shared" ref="AC78" si="125">AC77-AC79</f>
        <v>6</v>
      </c>
      <c r="AD78" s="35">
        <f t="shared" ref="AD78" si="126">AD77-AD79</f>
        <v>6</v>
      </c>
      <c r="AE78" s="35">
        <f t="shared" ref="AE78" si="127">AE77-AE79</f>
        <v>6</v>
      </c>
      <c r="AF78" s="35">
        <f t="shared" ref="AF78" si="128">AF77-AF79</f>
        <v>5</v>
      </c>
      <c r="AG78" s="35">
        <f t="shared" ref="AG78" si="129">AG77-AG79</f>
        <v>5</v>
      </c>
      <c r="AH78" s="105">
        <f>SUM(V78:AG78)</f>
        <v>64</v>
      </c>
      <c r="AI78" s="7"/>
      <c r="AJ78" s="7"/>
      <c r="AK78" s="7"/>
      <c r="AL78" s="7"/>
      <c r="AM78" s="7"/>
      <c r="AN78" s="7"/>
      <c r="AO78" s="7"/>
    </row>
    <row r="79" spans="1:41" s="28" customFormat="1">
      <c r="A79" s="95"/>
      <c r="B79" s="67"/>
      <c r="C79" s="543" t="s">
        <v>27</v>
      </c>
      <c r="D79" s="560"/>
      <c r="E79" s="106">
        <f>(E77/E76)^(1/12)-1</f>
        <v>5.946309435929531E-2</v>
      </c>
      <c r="F79" s="80"/>
      <c r="G79" s="68"/>
      <c r="H79" s="96" t="s">
        <v>22</v>
      </c>
      <c r="I79" s="373">
        <f t="shared" ref="I79:T79" si="130">ROUND(I77*$E$83,0)</f>
        <v>1</v>
      </c>
      <c r="J79" s="374">
        <f t="shared" si="130"/>
        <v>1</v>
      </c>
      <c r="K79" s="374">
        <f t="shared" si="130"/>
        <v>1</v>
      </c>
      <c r="L79" s="374">
        <f t="shared" si="130"/>
        <v>1</v>
      </c>
      <c r="M79" s="374">
        <f t="shared" si="130"/>
        <v>1</v>
      </c>
      <c r="N79" s="374">
        <f t="shared" si="130"/>
        <v>1</v>
      </c>
      <c r="O79" s="374">
        <f t="shared" si="130"/>
        <v>1</v>
      </c>
      <c r="P79" s="374">
        <f t="shared" si="130"/>
        <v>1</v>
      </c>
      <c r="Q79" s="374">
        <f t="shared" si="130"/>
        <v>1</v>
      </c>
      <c r="R79" s="374">
        <f t="shared" si="130"/>
        <v>1</v>
      </c>
      <c r="S79" s="374">
        <f t="shared" si="130"/>
        <v>0</v>
      </c>
      <c r="T79" s="374">
        <f t="shared" si="130"/>
        <v>0</v>
      </c>
      <c r="U79" s="105">
        <f>SUM(I79:T79)</f>
        <v>10</v>
      </c>
      <c r="V79" s="7">
        <f t="shared" ref="V79:AG79" si="131">ROUND(V77*$E$83,0)</f>
        <v>1</v>
      </c>
      <c r="W79" s="7">
        <f t="shared" si="131"/>
        <v>1</v>
      </c>
      <c r="X79" s="7">
        <f t="shared" si="131"/>
        <v>1</v>
      </c>
      <c r="Y79" s="7">
        <f t="shared" si="131"/>
        <v>1</v>
      </c>
      <c r="Z79" s="7">
        <f t="shared" si="131"/>
        <v>1</v>
      </c>
      <c r="AA79" s="7">
        <f t="shared" si="131"/>
        <v>1</v>
      </c>
      <c r="AB79" s="7">
        <f t="shared" si="131"/>
        <v>1</v>
      </c>
      <c r="AC79" s="7">
        <f t="shared" si="131"/>
        <v>1</v>
      </c>
      <c r="AD79" s="7">
        <f t="shared" si="131"/>
        <v>2</v>
      </c>
      <c r="AE79" s="7">
        <f t="shared" si="131"/>
        <v>2</v>
      </c>
      <c r="AF79" s="7">
        <f t="shared" si="131"/>
        <v>1</v>
      </c>
      <c r="AG79" s="7">
        <f t="shared" si="131"/>
        <v>1</v>
      </c>
      <c r="AH79" s="105">
        <f>SUM(V79:AG79)</f>
        <v>14</v>
      </c>
      <c r="AI79" s="7"/>
      <c r="AJ79" s="7"/>
      <c r="AK79" s="7"/>
      <c r="AL79" s="7"/>
      <c r="AM79" s="7"/>
      <c r="AN79" s="7"/>
      <c r="AO79" s="7"/>
    </row>
    <row r="80" spans="1:41" s="28" customFormat="1">
      <c r="A80" s="7"/>
      <c r="B80" s="67"/>
      <c r="C80" s="543" t="s">
        <v>274</v>
      </c>
      <c r="D80" s="560"/>
      <c r="E80" s="451">
        <v>60000</v>
      </c>
      <c r="F80" s="80"/>
      <c r="G80" s="68"/>
      <c r="H80" s="121" t="s">
        <v>23</v>
      </c>
      <c r="I80" s="69">
        <f t="shared" ref="I80:T80" si="132">I74+I75+I76-I79</f>
        <v>32</v>
      </c>
      <c r="J80" s="70">
        <f t="shared" si="132"/>
        <v>35</v>
      </c>
      <c r="K80" s="70">
        <f t="shared" si="132"/>
        <v>38</v>
      </c>
      <c r="L80" s="70">
        <f t="shared" si="132"/>
        <v>41</v>
      </c>
      <c r="M80" s="70">
        <f t="shared" si="132"/>
        <v>44</v>
      </c>
      <c r="N80" s="70">
        <f t="shared" si="132"/>
        <v>48</v>
      </c>
      <c r="O80" s="70">
        <f t="shared" si="132"/>
        <v>52</v>
      </c>
      <c r="P80" s="70">
        <f t="shared" si="132"/>
        <v>56</v>
      </c>
      <c r="Q80" s="70">
        <f t="shared" si="132"/>
        <v>61</v>
      </c>
      <c r="R80" s="70">
        <f t="shared" si="132"/>
        <v>66</v>
      </c>
      <c r="S80" s="70">
        <f t="shared" si="132"/>
        <v>72</v>
      </c>
      <c r="T80" s="71">
        <f t="shared" si="132"/>
        <v>78</v>
      </c>
      <c r="U80" s="315">
        <f>T80</f>
        <v>78</v>
      </c>
      <c r="V80" s="69">
        <f t="shared" ref="V80:AG80" si="133">V74+V75+V76-V79</f>
        <v>82</v>
      </c>
      <c r="W80" s="70">
        <f t="shared" si="133"/>
        <v>87</v>
      </c>
      <c r="X80" s="70">
        <f t="shared" si="133"/>
        <v>92</v>
      </c>
      <c r="Y80" s="70">
        <f t="shared" si="133"/>
        <v>97</v>
      </c>
      <c r="Z80" s="70">
        <f t="shared" si="133"/>
        <v>102</v>
      </c>
      <c r="AA80" s="70">
        <f t="shared" si="133"/>
        <v>108</v>
      </c>
      <c r="AB80" s="70">
        <f t="shared" si="133"/>
        <v>114</v>
      </c>
      <c r="AC80" s="70">
        <f t="shared" si="133"/>
        <v>121</v>
      </c>
      <c r="AD80" s="70">
        <f t="shared" si="133"/>
        <v>128</v>
      </c>
      <c r="AE80" s="70">
        <f t="shared" si="133"/>
        <v>135</v>
      </c>
      <c r="AF80" s="70">
        <f t="shared" si="133"/>
        <v>143</v>
      </c>
      <c r="AG80" s="71">
        <f t="shared" si="133"/>
        <v>152</v>
      </c>
      <c r="AH80" s="315">
        <f>AG80</f>
        <v>152</v>
      </c>
      <c r="AI80" s="7"/>
      <c r="AJ80" s="7"/>
      <c r="AK80" s="7"/>
      <c r="AL80" s="7"/>
      <c r="AM80" s="7"/>
      <c r="AN80" s="7"/>
      <c r="AO80" s="7"/>
    </row>
    <row r="81" spans="1:41" s="28" customFormat="1">
      <c r="A81" s="7"/>
      <c r="B81" s="67"/>
      <c r="C81" s="543" t="s">
        <v>275</v>
      </c>
      <c r="D81" s="543"/>
      <c r="E81" s="451">
        <v>60000</v>
      </c>
      <c r="F81" s="80"/>
      <c r="G81" s="68"/>
      <c r="H81" s="505" t="s">
        <v>281</v>
      </c>
      <c r="I81" s="419">
        <f>(Costs!J72+Costs!J97+Costs!J105+Costs!J113)/(I75+I76)</f>
        <v>31000</v>
      </c>
      <c r="J81" s="511">
        <f>(Costs!K72+Costs!K97+Costs!K105+Costs!K113)/(J75+J76)</f>
        <v>62875</v>
      </c>
      <c r="K81" s="511">
        <f>(Costs!L72+Costs!L97+Costs!L105+Costs!L113)/(K75+K76)</f>
        <v>58687.5</v>
      </c>
      <c r="L81" s="511">
        <f>(Costs!M72+Costs!M97+Costs!M105+Costs!M113)/(L75+L76)</f>
        <v>57687.5</v>
      </c>
      <c r="M81" s="511">
        <f>(Costs!N72+Costs!N97+Costs!N105+Costs!N113)/(M75+M76)</f>
        <v>57687.5</v>
      </c>
      <c r="N81" s="511">
        <f>(Costs!O72+Costs!O97+Costs!O105+Costs!O113)/(N75+N76)</f>
        <v>46150</v>
      </c>
      <c r="O81" s="511">
        <f>(Costs!P72+Costs!P97+Costs!P105+Costs!P113)/(O75+O76)</f>
        <v>46150</v>
      </c>
      <c r="P81" s="511">
        <f>(Costs!Q72+Costs!Q97+Costs!Q105+Costs!Q113)/(P75+P76)</f>
        <v>46150</v>
      </c>
      <c r="Q81" s="511">
        <f>(Costs!R72+Costs!R97+Costs!R105+Costs!R113)/(Q75+Q76)</f>
        <v>38458.333333333336</v>
      </c>
      <c r="R81" s="511">
        <f>(Costs!S72+Costs!S97+Costs!S105+Costs!S113)/(R75+R76)</f>
        <v>38458.333333333336</v>
      </c>
      <c r="S81" s="511">
        <f>(Costs!T72+Costs!T97+Costs!T105+Costs!T113)/(S75+S76)</f>
        <v>38458.333333333336</v>
      </c>
      <c r="T81" s="512">
        <f>(Costs!U72+Costs!U97+Costs!U105+Costs!U113)/(T75+T76)</f>
        <v>38458.333333333336</v>
      </c>
      <c r="U81" s="130"/>
      <c r="V81" s="419">
        <f>(Costs!W72+Costs!W97+Costs!W105+Costs!W113)/(V75+V76)</f>
        <v>46150</v>
      </c>
      <c r="W81" s="511">
        <f>(Costs!X72+Costs!X97+Costs!X105+Costs!X113)/(W75+W76)</f>
        <v>38458.333333333336</v>
      </c>
      <c r="X81" s="511">
        <f>(Costs!Y72+Costs!Y97+Costs!Y105+Costs!Y113)/(X75+X76)</f>
        <v>38458.333333333336</v>
      </c>
      <c r="Y81" s="511">
        <f>(Costs!Z72+Costs!Z97+Costs!Z105+Costs!Z113)/(Y75+Y76)</f>
        <v>38458.333333333336</v>
      </c>
      <c r="Z81" s="511">
        <f>(Costs!AA72+Costs!AA97+Costs!AA105+Costs!AA113)/(Z75+Z76)</f>
        <v>38458.333333333336</v>
      </c>
      <c r="AA81" s="511">
        <f>(Costs!AB72+Costs!AB97+Costs!AB105+Costs!AB113)/(AA75+AA76)</f>
        <v>39357.142857142855</v>
      </c>
      <c r="AB81" s="511">
        <f>(Costs!AC72+Costs!AC97+Costs!AC105+Costs!AC113)/(AB75+AB76)</f>
        <v>37642.857142857145</v>
      </c>
      <c r="AC81" s="511">
        <f>(Costs!AD72+Costs!AD97+Costs!AD105+Costs!AD113)/(AC75+AC76)</f>
        <v>39406.25</v>
      </c>
      <c r="AD81" s="511">
        <f>(Costs!AE72+Costs!AE97+Costs!AE105+Costs!AE113)/(AD75+AD76)</f>
        <v>38666.666666666664</v>
      </c>
      <c r="AE81" s="511">
        <f>(Costs!AF72+Costs!AF97+Costs!AF105+Costs!AF113)/(AE75+AE76)</f>
        <v>37333.333333333336</v>
      </c>
      <c r="AF81" s="511">
        <f>(Costs!AG72+Costs!AG97+Costs!AG105+Costs!AG113)/(AF75+AF76)</f>
        <v>37333.333333333336</v>
      </c>
      <c r="AG81" s="512">
        <f>(Costs!AH72+Costs!AH97+Costs!AH105+Costs!AH113)/(AG75+AG76)</f>
        <v>33600</v>
      </c>
      <c r="AH81" s="130"/>
      <c r="AI81" s="7"/>
      <c r="AJ81" s="7"/>
      <c r="AK81" s="7"/>
      <c r="AL81" s="7"/>
      <c r="AM81" s="7"/>
      <c r="AN81" s="7"/>
      <c r="AO81" s="7"/>
    </row>
    <row r="82" spans="1:41" s="28" customFormat="1">
      <c r="A82" s="7"/>
      <c r="B82" s="67"/>
      <c r="C82" s="543" t="s">
        <v>128</v>
      </c>
      <c r="D82" s="543"/>
      <c r="E82" s="44">
        <v>0.1</v>
      </c>
      <c r="F82" s="80"/>
      <c r="G82" s="68"/>
      <c r="H82" s="113"/>
      <c r="I82" s="402"/>
      <c r="J82" s="114"/>
      <c r="K82" s="114"/>
      <c r="L82" s="114"/>
      <c r="M82" s="114"/>
      <c r="N82" s="114"/>
      <c r="O82" s="114"/>
      <c r="P82" s="114"/>
      <c r="Q82" s="114"/>
      <c r="R82" s="114"/>
      <c r="S82" s="114"/>
      <c r="T82" s="128"/>
      <c r="U82" s="130"/>
      <c r="V82" s="116"/>
      <c r="W82" s="116"/>
      <c r="X82" s="116"/>
      <c r="Y82" s="116"/>
      <c r="Z82" s="116"/>
      <c r="AA82" s="116"/>
      <c r="AB82" s="116"/>
      <c r="AC82" s="116"/>
      <c r="AD82" s="116"/>
      <c r="AE82" s="116"/>
      <c r="AF82" s="116"/>
      <c r="AG82" s="129"/>
      <c r="AH82" s="130"/>
      <c r="AI82" s="7"/>
      <c r="AJ82" s="7"/>
      <c r="AK82" s="7"/>
      <c r="AL82" s="7"/>
      <c r="AM82" s="7"/>
      <c r="AN82" s="7"/>
      <c r="AO82" s="7"/>
    </row>
    <row r="83" spans="1:41" s="28" customFormat="1">
      <c r="A83" s="7"/>
      <c r="B83" s="67"/>
      <c r="C83" s="30" t="s">
        <v>26</v>
      </c>
      <c r="D83" s="30"/>
      <c r="E83" s="44">
        <v>0.2</v>
      </c>
      <c r="F83" s="80"/>
      <c r="G83" s="68"/>
      <c r="H83" s="92" t="s">
        <v>25</v>
      </c>
      <c r="I83" s="380"/>
      <c r="J83" s="381"/>
      <c r="K83" s="381"/>
      <c r="L83" s="381"/>
      <c r="M83" s="381"/>
      <c r="N83" s="381"/>
      <c r="O83" s="381"/>
      <c r="P83" s="381"/>
      <c r="Q83" s="381"/>
      <c r="R83" s="381"/>
      <c r="S83" s="381"/>
      <c r="T83" s="381"/>
      <c r="U83" s="103"/>
      <c r="V83" s="87"/>
      <c r="W83" s="87"/>
      <c r="X83" s="87"/>
      <c r="Y83" s="87"/>
      <c r="Z83" s="87"/>
      <c r="AA83" s="87"/>
      <c r="AB83" s="87"/>
      <c r="AC83" s="87"/>
      <c r="AD83" s="87"/>
      <c r="AE83" s="87"/>
      <c r="AF83" s="87"/>
      <c r="AG83" s="87"/>
      <c r="AH83" s="103"/>
      <c r="AI83" s="7"/>
      <c r="AJ83" s="7"/>
      <c r="AK83" s="7"/>
      <c r="AL83" s="7"/>
      <c r="AM83" s="7"/>
      <c r="AN83" s="7"/>
      <c r="AO83" s="7"/>
    </row>
    <row r="84" spans="1:41" s="28" customFormat="1">
      <c r="A84" s="7"/>
      <c r="B84" s="67"/>
      <c r="C84" s="82"/>
      <c r="D84" s="82"/>
      <c r="E84" s="82"/>
      <c r="F84" s="80"/>
      <c r="G84" s="68"/>
      <c r="H84" s="118" t="s">
        <v>224</v>
      </c>
      <c r="I84" s="40">
        <f t="shared" ref="I84:T84" si="134">$E$81</f>
        <v>60000</v>
      </c>
      <c r="J84" s="35">
        <f t="shared" si="134"/>
        <v>60000</v>
      </c>
      <c r="K84" s="35">
        <f t="shared" si="134"/>
        <v>60000</v>
      </c>
      <c r="L84" s="35">
        <f t="shared" si="134"/>
        <v>60000</v>
      </c>
      <c r="M84" s="35">
        <f t="shared" si="134"/>
        <v>60000</v>
      </c>
      <c r="N84" s="35">
        <f t="shared" si="134"/>
        <v>60000</v>
      </c>
      <c r="O84" s="35">
        <f t="shared" si="134"/>
        <v>60000</v>
      </c>
      <c r="P84" s="35">
        <f t="shared" si="134"/>
        <v>60000</v>
      </c>
      <c r="Q84" s="35">
        <f t="shared" si="134"/>
        <v>60000</v>
      </c>
      <c r="R84" s="35">
        <f t="shared" si="134"/>
        <v>60000</v>
      </c>
      <c r="S84" s="35">
        <f t="shared" si="134"/>
        <v>60000</v>
      </c>
      <c r="T84" s="36">
        <f t="shared" si="134"/>
        <v>60000</v>
      </c>
      <c r="U84" s="37"/>
      <c r="V84" s="40">
        <f t="shared" ref="V84:AG84" si="135">$E$81</f>
        <v>60000</v>
      </c>
      <c r="W84" s="35">
        <f t="shared" si="135"/>
        <v>60000</v>
      </c>
      <c r="X84" s="35">
        <f t="shared" si="135"/>
        <v>60000</v>
      </c>
      <c r="Y84" s="35">
        <f t="shared" si="135"/>
        <v>60000</v>
      </c>
      <c r="Z84" s="35">
        <f t="shared" si="135"/>
        <v>60000</v>
      </c>
      <c r="AA84" s="35">
        <f t="shared" si="135"/>
        <v>60000</v>
      </c>
      <c r="AB84" s="35">
        <f t="shared" si="135"/>
        <v>60000</v>
      </c>
      <c r="AC84" s="35">
        <f t="shared" si="135"/>
        <v>60000</v>
      </c>
      <c r="AD84" s="35">
        <f t="shared" si="135"/>
        <v>60000</v>
      </c>
      <c r="AE84" s="35">
        <f t="shared" si="135"/>
        <v>60000</v>
      </c>
      <c r="AF84" s="35">
        <f t="shared" si="135"/>
        <v>60000</v>
      </c>
      <c r="AG84" s="36">
        <f t="shared" si="135"/>
        <v>60000</v>
      </c>
      <c r="AH84" s="37"/>
      <c r="AI84" s="7"/>
      <c r="AJ84" s="7"/>
      <c r="AK84" s="7"/>
      <c r="AL84" s="7"/>
      <c r="AM84" s="7"/>
      <c r="AN84" s="7"/>
      <c r="AO84" s="7"/>
    </row>
    <row r="85" spans="1:41" s="28" customFormat="1">
      <c r="A85" s="7"/>
      <c r="B85" s="67"/>
      <c r="C85" s="82"/>
      <c r="D85" s="82"/>
      <c r="E85" s="82"/>
      <c r="F85" s="80"/>
      <c r="G85" s="68"/>
      <c r="H85" s="118" t="s">
        <v>225</v>
      </c>
      <c r="I85" s="40">
        <f t="shared" ref="I85:T85" si="136">$E$80*(1+$E$82)</f>
        <v>66000</v>
      </c>
      <c r="J85" s="35">
        <f t="shared" si="136"/>
        <v>66000</v>
      </c>
      <c r="K85" s="35">
        <f t="shared" si="136"/>
        <v>66000</v>
      </c>
      <c r="L85" s="35">
        <f t="shared" si="136"/>
        <v>66000</v>
      </c>
      <c r="M85" s="35">
        <f t="shared" si="136"/>
        <v>66000</v>
      </c>
      <c r="N85" s="35">
        <f t="shared" si="136"/>
        <v>66000</v>
      </c>
      <c r="O85" s="35">
        <f t="shared" si="136"/>
        <v>66000</v>
      </c>
      <c r="P85" s="35">
        <f t="shared" si="136"/>
        <v>66000</v>
      </c>
      <c r="Q85" s="35">
        <f t="shared" si="136"/>
        <v>66000</v>
      </c>
      <c r="R85" s="35">
        <f t="shared" si="136"/>
        <v>66000</v>
      </c>
      <c r="S85" s="35">
        <f t="shared" si="136"/>
        <v>66000</v>
      </c>
      <c r="T85" s="36">
        <f t="shared" si="136"/>
        <v>66000</v>
      </c>
      <c r="U85" s="37"/>
      <c r="V85" s="40">
        <f t="shared" ref="V85:AG85" si="137">I84*(1+$E$82)</f>
        <v>66000</v>
      </c>
      <c r="W85" s="35">
        <f t="shared" si="137"/>
        <v>66000</v>
      </c>
      <c r="X85" s="35">
        <f t="shared" si="137"/>
        <v>66000</v>
      </c>
      <c r="Y85" s="35">
        <f t="shared" si="137"/>
        <v>66000</v>
      </c>
      <c r="Z85" s="35">
        <f t="shared" si="137"/>
        <v>66000</v>
      </c>
      <c r="AA85" s="35">
        <f t="shared" si="137"/>
        <v>66000</v>
      </c>
      <c r="AB85" s="35">
        <f t="shared" si="137"/>
        <v>66000</v>
      </c>
      <c r="AC85" s="35">
        <f t="shared" si="137"/>
        <v>66000</v>
      </c>
      <c r="AD85" s="35">
        <f t="shared" si="137"/>
        <v>66000</v>
      </c>
      <c r="AE85" s="35">
        <f t="shared" si="137"/>
        <v>66000</v>
      </c>
      <c r="AF85" s="35">
        <f t="shared" si="137"/>
        <v>66000</v>
      </c>
      <c r="AG85" s="36">
        <f t="shared" si="137"/>
        <v>66000</v>
      </c>
      <c r="AH85" s="37"/>
      <c r="AI85" s="7"/>
      <c r="AJ85" s="7"/>
      <c r="AK85" s="7"/>
      <c r="AL85" s="7"/>
      <c r="AM85" s="7"/>
      <c r="AN85" s="7"/>
      <c r="AO85" s="7"/>
    </row>
    <row r="86" spans="1:41" s="28" customFormat="1">
      <c r="A86" s="95"/>
      <c r="B86" s="67"/>
      <c r="C86" s="82"/>
      <c r="D86" s="82"/>
      <c r="E86" s="82"/>
      <c r="F86" s="80"/>
      <c r="G86" s="68"/>
      <c r="H86" s="118" t="s">
        <v>219</v>
      </c>
      <c r="I86" s="40">
        <f>I74*$E$80/12</f>
        <v>150000</v>
      </c>
      <c r="J86" s="35">
        <f t="shared" ref="J86:T86" si="138">I94</f>
        <v>161000</v>
      </c>
      <c r="K86" s="35">
        <f t="shared" si="138"/>
        <v>177000</v>
      </c>
      <c r="L86" s="35">
        <f t="shared" si="138"/>
        <v>193000</v>
      </c>
      <c r="M86" s="35">
        <f t="shared" si="138"/>
        <v>209000</v>
      </c>
      <c r="N86" s="35">
        <f t="shared" si="138"/>
        <v>225000</v>
      </c>
      <c r="O86" s="35">
        <f t="shared" si="138"/>
        <v>246000</v>
      </c>
      <c r="P86" s="35">
        <f t="shared" si="138"/>
        <v>267000</v>
      </c>
      <c r="Q86" s="35">
        <f t="shared" si="138"/>
        <v>288000</v>
      </c>
      <c r="R86" s="35">
        <f t="shared" si="138"/>
        <v>314000</v>
      </c>
      <c r="S86" s="35">
        <f t="shared" si="138"/>
        <v>340000</v>
      </c>
      <c r="T86" s="36">
        <f t="shared" si="138"/>
        <v>370000</v>
      </c>
      <c r="U86" s="37"/>
      <c r="V86" s="35">
        <f>T94</f>
        <v>400000</v>
      </c>
      <c r="W86" s="35">
        <f t="shared" ref="W86:AG86" si="139">V94</f>
        <v>422000</v>
      </c>
      <c r="X86" s="35">
        <f t="shared" si="139"/>
        <v>449500</v>
      </c>
      <c r="Y86" s="35">
        <f t="shared" si="139"/>
        <v>477000</v>
      </c>
      <c r="Z86" s="35">
        <f t="shared" si="139"/>
        <v>504500</v>
      </c>
      <c r="AA86" s="35">
        <f t="shared" si="139"/>
        <v>532000</v>
      </c>
      <c r="AB86" s="35">
        <f t="shared" si="139"/>
        <v>565000</v>
      </c>
      <c r="AC86" s="35">
        <f t="shared" si="139"/>
        <v>598000</v>
      </c>
      <c r="AD86" s="35">
        <f t="shared" si="139"/>
        <v>636000</v>
      </c>
      <c r="AE86" s="35">
        <f t="shared" si="139"/>
        <v>674000</v>
      </c>
      <c r="AF86" s="35">
        <f t="shared" si="139"/>
        <v>712000</v>
      </c>
      <c r="AG86" s="36">
        <f t="shared" si="139"/>
        <v>754500</v>
      </c>
      <c r="AH86" s="37"/>
      <c r="AI86" s="7"/>
      <c r="AJ86" s="7"/>
      <c r="AK86" s="7"/>
      <c r="AL86" s="7"/>
      <c r="AM86" s="7"/>
      <c r="AN86" s="7"/>
      <c r="AO86" s="7"/>
    </row>
    <row r="87" spans="1:41" s="28" customFormat="1">
      <c r="A87" s="95"/>
      <c r="B87" s="67"/>
      <c r="C87" s="82"/>
      <c r="D87" s="82"/>
      <c r="E87" s="82"/>
      <c r="F87" s="80"/>
      <c r="G87" s="68"/>
      <c r="H87" s="387" t="s">
        <v>226</v>
      </c>
      <c r="I87" s="382">
        <f>I88-I86-I91+I92</f>
        <v>16775.355835921393</v>
      </c>
      <c r="J87" s="383">
        <f t="shared" ref="J87:T87" si="140">J88-J86-J91+J92</f>
        <v>19638.776450072182</v>
      </c>
      <c r="K87" s="383">
        <f t="shared" si="140"/>
        <v>18682.931273881812</v>
      </c>
      <c r="L87" s="383">
        <f t="shared" si="140"/>
        <v>19008.38230519052</v>
      </c>
      <c r="M87" s="383">
        <f t="shared" si="140"/>
        <v>20724.256310545083</v>
      </c>
      <c r="N87" s="383">
        <f t="shared" si="140"/>
        <v>23948.974278317997</v>
      </c>
      <c r="O87" s="383">
        <f t="shared" si="140"/>
        <v>23811.042998647783</v>
      </c>
      <c r="P87" s="383">
        <f t="shared" si="140"/>
        <v>25449.914061481948</v>
      </c>
      <c r="Q87" s="383">
        <f t="shared" si="140"/>
        <v>29016.916014657763</v>
      </c>
      <c r="R87" s="383">
        <f t="shared" si="140"/>
        <v>29676.265912990901</v>
      </c>
      <c r="S87" s="383">
        <f t="shared" si="140"/>
        <v>28606.167020027642</v>
      </c>
      <c r="T87" s="384">
        <f t="shared" si="140"/>
        <v>30000.000000000466</v>
      </c>
      <c r="U87" s="398">
        <f t="shared" ref="U87:U93" si="141">SUM(I87:T87)</f>
        <v>285338.98246173549</v>
      </c>
      <c r="V87" s="383">
        <f>V88-V86-V91+V92</f>
        <v>26785.237743718608</v>
      </c>
      <c r="W87" s="383">
        <f t="shared" ref="W87:AG87" si="142">W88-W86-W91+W92</f>
        <v>29484.819323749747</v>
      </c>
      <c r="X87" s="383">
        <f t="shared" si="142"/>
        <v>28682.846001089027</v>
      </c>
      <c r="Y87" s="383">
        <f t="shared" si="142"/>
        <v>29468.419957949896</v>
      </c>
      <c r="Z87" s="383">
        <f t="shared" si="142"/>
        <v>31935.941668014391</v>
      </c>
      <c r="AA87" s="383">
        <f t="shared" si="142"/>
        <v>35685.424949238775</v>
      </c>
      <c r="AB87" s="383">
        <f t="shared" si="142"/>
        <v>36322.830750673427</v>
      </c>
      <c r="AC87" s="383">
        <f t="shared" si="142"/>
        <v>38960.420787280658</v>
      </c>
      <c r="AD87" s="383">
        <f t="shared" si="142"/>
        <v>43717.132202972542</v>
      </c>
      <c r="AE87" s="383">
        <f t="shared" si="142"/>
        <v>45718.974512272398</v>
      </c>
      <c r="AF87" s="383">
        <f t="shared" si="142"/>
        <v>45599.450145355891</v>
      </c>
      <c r="AG87" s="384">
        <f t="shared" si="142"/>
        <v>48000.000000001164</v>
      </c>
      <c r="AH87" s="398">
        <f t="shared" ref="AH87:AH93" si="143">SUM(V87:AG87)</f>
        <v>440361.49804231653</v>
      </c>
      <c r="AI87" s="7"/>
      <c r="AJ87" s="7"/>
      <c r="AK87" s="7"/>
      <c r="AL87" s="7"/>
      <c r="AM87" s="7"/>
      <c r="AN87" s="7"/>
      <c r="AO87" s="7"/>
    </row>
    <row r="88" spans="1:41" s="28" customFormat="1">
      <c r="A88" s="95"/>
      <c r="B88" s="67"/>
      <c r="C88" s="82"/>
      <c r="D88" s="82"/>
      <c r="E88" s="82"/>
      <c r="F88" s="80"/>
      <c r="G88" s="68"/>
      <c r="H88" s="387" t="s">
        <v>227</v>
      </c>
      <c r="I88" s="382">
        <f>I86*(1+$E$78)</f>
        <v>162775.35583592139</v>
      </c>
      <c r="J88" s="383">
        <f t="shared" ref="J88:T88" si="144">I88*(1+$E$78)</f>
        <v>176638.77645007218</v>
      </c>
      <c r="K88" s="383">
        <f t="shared" si="144"/>
        <v>191682.93127388181</v>
      </c>
      <c r="L88" s="383">
        <f t="shared" si="144"/>
        <v>208008.38230519052</v>
      </c>
      <c r="M88" s="383">
        <f t="shared" si="144"/>
        <v>225724.25631054508</v>
      </c>
      <c r="N88" s="383">
        <f t="shared" si="144"/>
        <v>244948.974278318</v>
      </c>
      <c r="O88" s="383">
        <f t="shared" si="144"/>
        <v>265811.04299864778</v>
      </c>
      <c r="P88" s="383">
        <f t="shared" si="144"/>
        <v>288449.91406148195</v>
      </c>
      <c r="Q88" s="383">
        <f t="shared" si="144"/>
        <v>313016.91601465776</v>
      </c>
      <c r="R88" s="383">
        <f t="shared" si="144"/>
        <v>339676.2659129909</v>
      </c>
      <c r="S88" s="383">
        <f t="shared" si="144"/>
        <v>368606.16702002764</v>
      </c>
      <c r="T88" s="384">
        <f t="shared" si="144"/>
        <v>400000.00000000047</v>
      </c>
      <c r="U88" s="398">
        <f t="shared" si="141"/>
        <v>3185338.9824617356</v>
      </c>
      <c r="V88" s="383">
        <f>T88*(1+$E$79)</f>
        <v>423785.23774371861</v>
      </c>
      <c r="W88" s="383">
        <f t="shared" ref="W88:AG88" si="145">V88*(1+$E$79)</f>
        <v>448984.81932374975</v>
      </c>
      <c r="X88" s="383">
        <f t="shared" si="145"/>
        <v>475682.84600108903</v>
      </c>
      <c r="Y88" s="383">
        <f t="shared" si="145"/>
        <v>503968.4199579499</v>
      </c>
      <c r="Z88" s="383">
        <f t="shared" si="145"/>
        <v>533935.94166801439</v>
      </c>
      <c r="AA88" s="383">
        <f t="shared" si="145"/>
        <v>565685.42494923878</v>
      </c>
      <c r="AB88" s="383">
        <f t="shared" si="145"/>
        <v>599322.83075067343</v>
      </c>
      <c r="AC88" s="383">
        <f t="shared" si="145"/>
        <v>634960.42078728066</v>
      </c>
      <c r="AD88" s="383">
        <f t="shared" si="145"/>
        <v>672717.13220297254</v>
      </c>
      <c r="AE88" s="383">
        <f t="shared" si="145"/>
        <v>712718.9745122724</v>
      </c>
      <c r="AF88" s="383">
        <f t="shared" si="145"/>
        <v>755099.45014535589</v>
      </c>
      <c r="AG88" s="384">
        <f t="shared" si="145"/>
        <v>800000.00000000116</v>
      </c>
      <c r="AH88" s="398">
        <f t="shared" si="143"/>
        <v>7126861.4980423162</v>
      </c>
      <c r="AI88" s="7"/>
      <c r="AJ88" s="7"/>
      <c r="AK88" s="7"/>
      <c r="AL88" s="7"/>
      <c r="AM88" s="7"/>
      <c r="AN88" s="7"/>
      <c r="AO88" s="7"/>
    </row>
    <row r="89" spans="1:41" s="28" customFormat="1">
      <c r="A89" s="95"/>
      <c r="B89" s="67"/>
      <c r="C89" s="264"/>
      <c r="D89" s="82"/>
      <c r="E89" s="82"/>
      <c r="F89" s="80"/>
      <c r="G89" s="68"/>
      <c r="H89" s="96" t="s">
        <v>228</v>
      </c>
      <c r="I89" s="40">
        <f>I75*I84/12</f>
        <v>15000</v>
      </c>
      <c r="J89" s="35">
        <f t="shared" ref="J89:T89" si="146">J75*J84/12</f>
        <v>20000</v>
      </c>
      <c r="K89" s="35">
        <f t="shared" si="146"/>
        <v>20000</v>
      </c>
      <c r="L89" s="35">
        <f t="shared" si="146"/>
        <v>20000</v>
      </c>
      <c r="M89" s="35">
        <f t="shared" si="146"/>
        <v>20000</v>
      </c>
      <c r="N89" s="35">
        <f t="shared" si="146"/>
        <v>25000</v>
      </c>
      <c r="O89" s="35">
        <f t="shared" si="146"/>
        <v>20000</v>
      </c>
      <c r="P89" s="35">
        <f t="shared" si="146"/>
        <v>20000</v>
      </c>
      <c r="Q89" s="35">
        <f t="shared" si="146"/>
        <v>25000</v>
      </c>
      <c r="R89" s="35">
        <f t="shared" si="146"/>
        <v>25000</v>
      </c>
      <c r="S89" s="35">
        <f t="shared" si="146"/>
        <v>25000</v>
      </c>
      <c r="T89" s="36">
        <f t="shared" si="146"/>
        <v>25000</v>
      </c>
      <c r="U89" s="37">
        <f t="shared" si="141"/>
        <v>260000</v>
      </c>
      <c r="V89" s="40">
        <f>V75*V84/12</f>
        <v>20000</v>
      </c>
      <c r="W89" s="35">
        <f t="shared" ref="W89:AF89" si="147">W75*W84/12</f>
        <v>25000</v>
      </c>
      <c r="X89" s="35">
        <f t="shared" si="147"/>
        <v>20000</v>
      </c>
      <c r="Y89" s="35">
        <f t="shared" si="147"/>
        <v>20000</v>
      </c>
      <c r="Z89" s="35">
        <f t="shared" si="147"/>
        <v>20000</v>
      </c>
      <c r="AA89" s="35">
        <f t="shared" si="147"/>
        <v>25000</v>
      </c>
      <c r="AB89" s="35">
        <f t="shared" si="147"/>
        <v>20000</v>
      </c>
      <c r="AC89" s="35">
        <f t="shared" si="147"/>
        <v>25000</v>
      </c>
      <c r="AD89" s="35">
        <f t="shared" si="147"/>
        <v>30000</v>
      </c>
      <c r="AE89" s="35">
        <f t="shared" si="147"/>
        <v>25000</v>
      </c>
      <c r="AF89" s="35">
        <f t="shared" si="147"/>
        <v>25000</v>
      </c>
      <c r="AG89" s="36">
        <f>AG75*AG84/12</f>
        <v>30000</v>
      </c>
      <c r="AH89" s="37">
        <f t="shared" si="143"/>
        <v>285000</v>
      </c>
      <c r="AI89" s="7"/>
      <c r="AJ89" s="7"/>
      <c r="AK89" s="7"/>
      <c r="AL89" s="7"/>
      <c r="AM89" s="7"/>
      <c r="AN89" s="7"/>
      <c r="AO89" s="7"/>
    </row>
    <row r="90" spans="1:41" s="28" customFormat="1">
      <c r="A90" s="95"/>
      <c r="B90" s="67"/>
      <c r="C90" s="264"/>
      <c r="D90" s="82"/>
      <c r="E90" s="82"/>
      <c r="F90" s="80"/>
      <c r="G90" s="68"/>
      <c r="H90" s="96" t="s">
        <v>229</v>
      </c>
      <c r="I90" s="40">
        <f>I76*I84/12</f>
        <v>0</v>
      </c>
      <c r="J90" s="35">
        <f t="shared" ref="J90:T90" si="148">J76*J84/12</f>
        <v>0</v>
      </c>
      <c r="K90" s="35">
        <f t="shared" si="148"/>
        <v>0</v>
      </c>
      <c r="L90" s="35">
        <f t="shared" si="148"/>
        <v>0</v>
      </c>
      <c r="M90" s="35">
        <f t="shared" si="148"/>
        <v>0</v>
      </c>
      <c r="N90" s="35">
        <f t="shared" si="148"/>
        <v>0</v>
      </c>
      <c r="O90" s="35">
        <f t="shared" si="148"/>
        <v>5000</v>
      </c>
      <c r="P90" s="35">
        <f t="shared" si="148"/>
        <v>5000</v>
      </c>
      <c r="Q90" s="35">
        <f t="shared" si="148"/>
        <v>5000</v>
      </c>
      <c r="R90" s="35">
        <f t="shared" si="148"/>
        <v>5000</v>
      </c>
      <c r="S90" s="35">
        <f t="shared" si="148"/>
        <v>5000</v>
      </c>
      <c r="T90" s="36">
        <f t="shared" si="148"/>
        <v>5000</v>
      </c>
      <c r="U90" s="37">
        <f t="shared" si="141"/>
        <v>30000</v>
      </c>
      <c r="V90" s="40">
        <f>V76*V84/12</f>
        <v>5000</v>
      </c>
      <c r="W90" s="35">
        <f t="shared" ref="W90:AG90" si="149">W76*W84/12</f>
        <v>5000</v>
      </c>
      <c r="X90" s="35">
        <f t="shared" si="149"/>
        <v>10000</v>
      </c>
      <c r="Y90" s="35">
        <f t="shared" si="149"/>
        <v>10000</v>
      </c>
      <c r="Z90" s="35">
        <f t="shared" si="149"/>
        <v>10000</v>
      </c>
      <c r="AA90" s="35">
        <f t="shared" si="149"/>
        <v>10000</v>
      </c>
      <c r="AB90" s="35">
        <f t="shared" si="149"/>
        <v>15000</v>
      </c>
      <c r="AC90" s="35">
        <f t="shared" si="149"/>
        <v>15000</v>
      </c>
      <c r="AD90" s="35">
        <f t="shared" si="149"/>
        <v>15000</v>
      </c>
      <c r="AE90" s="35">
        <f t="shared" si="149"/>
        <v>20000</v>
      </c>
      <c r="AF90" s="35">
        <f t="shared" si="149"/>
        <v>20000</v>
      </c>
      <c r="AG90" s="36">
        <f t="shared" si="149"/>
        <v>20000</v>
      </c>
      <c r="AH90" s="37">
        <f t="shared" si="143"/>
        <v>155000</v>
      </c>
      <c r="AI90" s="7"/>
      <c r="AJ90" s="7"/>
      <c r="AK90" s="7"/>
      <c r="AL90" s="7"/>
      <c r="AM90" s="7"/>
      <c r="AN90" s="7"/>
      <c r="AO90" s="7"/>
    </row>
    <row r="91" spans="1:41" s="28" customFormat="1">
      <c r="A91" s="7"/>
      <c r="B91" s="67"/>
      <c r="C91" s="82"/>
      <c r="D91" s="82"/>
      <c r="E91" s="82"/>
      <c r="F91" s="80"/>
      <c r="G91" s="68"/>
      <c r="H91" s="96" t="s">
        <v>230</v>
      </c>
      <c r="I91" s="40">
        <f t="shared" ref="I91:T91" si="150">I78*(I85-$E$80)/12</f>
        <v>1000</v>
      </c>
      <c r="J91" s="35">
        <f t="shared" si="150"/>
        <v>1000</v>
      </c>
      <c r="K91" s="35">
        <f t="shared" si="150"/>
        <v>1000</v>
      </c>
      <c r="L91" s="35">
        <f t="shared" si="150"/>
        <v>1000</v>
      </c>
      <c r="M91" s="35">
        <f t="shared" si="150"/>
        <v>1000</v>
      </c>
      <c r="N91" s="35">
        <f t="shared" si="150"/>
        <v>1000</v>
      </c>
      <c r="O91" s="35">
        <f t="shared" si="150"/>
        <v>1000</v>
      </c>
      <c r="P91" s="35">
        <f t="shared" si="150"/>
        <v>1000</v>
      </c>
      <c r="Q91" s="35">
        <f t="shared" si="150"/>
        <v>1000</v>
      </c>
      <c r="R91" s="35">
        <f t="shared" si="150"/>
        <v>1000</v>
      </c>
      <c r="S91" s="35">
        <f t="shared" si="150"/>
        <v>0</v>
      </c>
      <c r="T91" s="36">
        <f t="shared" si="150"/>
        <v>0</v>
      </c>
      <c r="U91" s="37">
        <f t="shared" si="141"/>
        <v>10000</v>
      </c>
      <c r="V91" s="35">
        <f t="shared" ref="V91:AG91" si="151">V78*(V85-I84)/12</f>
        <v>2000</v>
      </c>
      <c r="W91" s="35">
        <f t="shared" si="151"/>
        <v>2500</v>
      </c>
      <c r="X91" s="35">
        <f t="shared" si="151"/>
        <v>2500</v>
      </c>
      <c r="Y91" s="35">
        <f t="shared" si="151"/>
        <v>2500</v>
      </c>
      <c r="Z91" s="35">
        <f t="shared" si="151"/>
        <v>2500</v>
      </c>
      <c r="AA91" s="35">
        <f t="shared" si="151"/>
        <v>3000</v>
      </c>
      <c r="AB91" s="35">
        <f t="shared" si="151"/>
        <v>3000</v>
      </c>
      <c r="AC91" s="35">
        <f t="shared" si="151"/>
        <v>3000</v>
      </c>
      <c r="AD91" s="35">
        <f t="shared" si="151"/>
        <v>3000</v>
      </c>
      <c r="AE91" s="35">
        <f t="shared" si="151"/>
        <v>3000</v>
      </c>
      <c r="AF91" s="35">
        <f t="shared" si="151"/>
        <v>2500</v>
      </c>
      <c r="AG91" s="36">
        <f t="shared" si="151"/>
        <v>2500</v>
      </c>
      <c r="AH91" s="37">
        <f t="shared" si="143"/>
        <v>32000</v>
      </c>
      <c r="AI91" s="7"/>
      <c r="AJ91" s="7"/>
      <c r="AK91" s="7"/>
      <c r="AL91" s="7"/>
      <c r="AM91" s="7"/>
      <c r="AN91" s="7"/>
      <c r="AO91" s="7"/>
    </row>
    <row r="92" spans="1:41" s="28" customFormat="1">
      <c r="A92" s="95"/>
      <c r="B92" s="67"/>
      <c r="C92" s="82"/>
      <c r="D92" s="82"/>
      <c r="E92" s="82"/>
      <c r="F92" s="80"/>
      <c r="G92" s="68"/>
      <c r="H92" s="96" t="s">
        <v>209</v>
      </c>
      <c r="I92" s="40">
        <f t="shared" ref="I92:T92" si="152">I79*$E$80/12</f>
        <v>5000</v>
      </c>
      <c r="J92" s="35">
        <f t="shared" si="152"/>
        <v>5000</v>
      </c>
      <c r="K92" s="35">
        <f t="shared" si="152"/>
        <v>5000</v>
      </c>
      <c r="L92" s="35">
        <f t="shared" si="152"/>
        <v>5000</v>
      </c>
      <c r="M92" s="35">
        <f t="shared" si="152"/>
        <v>5000</v>
      </c>
      <c r="N92" s="35">
        <f t="shared" si="152"/>
        <v>5000</v>
      </c>
      <c r="O92" s="35">
        <f t="shared" si="152"/>
        <v>5000</v>
      </c>
      <c r="P92" s="35">
        <f t="shared" si="152"/>
        <v>5000</v>
      </c>
      <c r="Q92" s="35">
        <f t="shared" si="152"/>
        <v>5000</v>
      </c>
      <c r="R92" s="35">
        <f t="shared" si="152"/>
        <v>5000</v>
      </c>
      <c r="S92" s="35">
        <f t="shared" si="152"/>
        <v>0</v>
      </c>
      <c r="T92" s="36">
        <f t="shared" si="152"/>
        <v>0</v>
      </c>
      <c r="U92" s="37">
        <f t="shared" si="141"/>
        <v>50000</v>
      </c>
      <c r="V92" s="40">
        <f t="shared" ref="V92:AG92" si="153">V79*I84/12</f>
        <v>5000</v>
      </c>
      <c r="W92" s="35">
        <f t="shared" si="153"/>
        <v>5000</v>
      </c>
      <c r="X92" s="35">
        <f t="shared" si="153"/>
        <v>5000</v>
      </c>
      <c r="Y92" s="35">
        <f t="shared" si="153"/>
        <v>5000</v>
      </c>
      <c r="Z92" s="35">
        <f t="shared" si="153"/>
        <v>5000</v>
      </c>
      <c r="AA92" s="35">
        <f t="shared" si="153"/>
        <v>5000</v>
      </c>
      <c r="AB92" s="35">
        <f t="shared" si="153"/>
        <v>5000</v>
      </c>
      <c r="AC92" s="35">
        <f t="shared" si="153"/>
        <v>5000</v>
      </c>
      <c r="AD92" s="35">
        <f t="shared" si="153"/>
        <v>10000</v>
      </c>
      <c r="AE92" s="35">
        <f t="shared" si="153"/>
        <v>10000</v>
      </c>
      <c r="AF92" s="35">
        <f t="shared" si="153"/>
        <v>5000</v>
      </c>
      <c r="AG92" s="36">
        <f t="shared" si="153"/>
        <v>5000</v>
      </c>
      <c r="AH92" s="37">
        <f t="shared" si="143"/>
        <v>70000</v>
      </c>
      <c r="AI92" s="7"/>
      <c r="AJ92" s="7"/>
      <c r="AK92" s="7"/>
      <c r="AL92" s="7"/>
      <c r="AM92" s="7"/>
      <c r="AN92" s="7"/>
      <c r="AO92" s="7"/>
    </row>
    <row r="93" spans="1:41" s="28" customFormat="1">
      <c r="A93" s="95"/>
      <c r="B93" s="67"/>
      <c r="C93" s="82"/>
      <c r="D93" s="82"/>
      <c r="E93" s="82"/>
      <c r="F93" s="80"/>
      <c r="G93" s="68"/>
      <c r="H93" s="118" t="s">
        <v>217</v>
      </c>
      <c r="I93" s="373">
        <f>I94-I86</f>
        <v>11000</v>
      </c>
      <c r="J93" s="374">
        <f t="shared" ref="J93:T93" si="154">J94-J86</f>
        <v>16000</v>
      </c>
      <c r="K93" s="374">
        <f t="shared" si="154"/>
        <v>16000</v>
      </c>
      <c r="L93" s="374">
        <f t="shared" si="154"/>
        <v>16000</v>
      </c>
      <c r="M93" s="374">
        <f t="shared" si="154"/>
        <v>16000</v>
      </c>
      <c r="N93" s="374">
        <f t="shared" si="154"/>
        <v>21000</v>
      </c>
      <c r="O93" s="374">
        <f t="shared" si="154"/>
        <v>21000</v>
      </c>
      <c r="P93" s="374">
        <f t="shared" si="154"/>
        <v>21000</v>
      </c>
      <c r="Q93" s="374">
        <f t="shared" si="154"/>
        <v>26000</v>
      </c>
      <c r="R93" s="374">
        <f t="shared" si="154"/>
        <v>26000</v>
      </c>
      <c r="S93" s="374">
        <f t="shared" si="154"/>
        <v>30000</v>
      </c>
      <c r="T93" s="375">
        <f t="shared" si="154"/>
        <v>30000</v>
      </c>
      <c r="U93" s="37">
        <f t="shared" si="141"/>
        <v>250000</v>
      </c>
      <c r="V93" s="373">
        <f>V94-V86</f>
        <v>22000</v>
      </c>
      <c r="W93" s="374">
        <f t="shared" ref="W93:AG93" si="155">W94-W86</f>
        <v>27500</v>
      </c>
      <c r="X93" s="374">
        <f t="shared" si="155"/>
        <v>27500</v>
      </c>
      <c r="Y93" s="374">
        <f t="shared" si="155"/>
        <v>27500</v>
      </c>
      <c r="Z93" s="374">
        <f t="shared" si="155"/>
        <v>27500</v>
      </c>
      <c r="AA93" s="374">
        <f t="shared" si="155"/>
        <v>33000</v>
      </c>
      <c r="AB93" s="374">
        <f t="shared" si="155"/>
        <v>33000</v>
      </c>
      <c r="AC93" s="374">
        <f t="shared" si="155"/>
        <v>38000</v>
      </c>
      <c r="AD93" s="374">
        <f t="shared" si="155"/>
        <v>38000</v>
      </c>
      <c r="AE93" s="374">
        <f t="shared" si="155"/>
        <v>38000</v>
      </c>
      <c r="AF93" s="374">
        <f t="shared" si="155"/>
        <v>42500</v>
      </c>
      <c r="AG93" s="375">
        <f t="shared" si="155"/>
        <v>47500</v>
      </c>
      <c r="AH93" s="37">
        <f t="shared" si="143"/>
        <v>402000</v>
      </c>
      <c r="AI93" s="7"/>
      <c r="AJ93" s="7"/>
      <c r="AK93" s="7"/>
      <c r="AL93" s="7"/>
      <c r="AM93" s="7"/>
      <c r="AN93" s="7"/>
      <c r="AO93" s="7"/>
    </row>
    <row r="94" spans="1:41" s="28" customFormat="1">
      <c r="A94" s="95"/>
      <c r="B94" s="67"/>
      <c r="C94" s="30"/>
      <c r="D94" s="30"/>
      <c r="E94" s="106"/>
      <c r="F94" s="80"/>
      <c r="G94" s="68"/>
      <c r="H94" s="121" t="s">
        <v>218</v>
      </c>
      <c r="I94" s="69">
        <f t="shared" ref="I94:T94" si="156">I86+I89+I90+I91-I92</f>
        <v>161000</v>
      </c>
      <c r="J94" s="70">
        <f t="shared" si="156"/>
        <v>177000</v>
      </c>
      <c r="K94" s="70">
        <f t="shared" si="156"/>
        <v>193000</v>
      </c>
      <c r="L94" s="70">
        <f t="shared" si="156"/>
        <v>209000</v>
      </c>
      <c r="M94" s="70">
        <f t="shared" si="156"/>
        <v>225000</v>
      </c>
      <c r="N94" s="70">
        <f t="shared" si="156"/>
        <v>246000</v>
      </c>
      <c r="O94" s="70">
        <f t="shared" si="156"/>
        <v>267000</v>
      </c>
      <c r="P94" s="70">
        <f t="shared" si="156"/>
        <v>288000</v>
      </c>
      <c r="Q94" s="70">
        <f t="shared" si="156"/>
        <v>314000</v>
      </c>
      <c r="R94" s="70">
        <f t="shared" si="156"/>
        <v>340000</v>
      </c>
      <c r="S94" s="70">
        <f t="shared" si="156"/>
        <v>370000</v>
      </c>
      <c r="T94" s="71">
        <f t="shared" si="156"/>
        <v>400000</v>
      </c>
      <c r="U94" s="71">
        <f>T94</f>
        <v>400000</v>
      </c>
      <c r="V94" s="70">
        <f t="shared" ref="V94:AG94" si="157">V86+V89+V90+V91-V92</f>
        <v>422000</v>
      </c>
      <c r="W94" s="70">
        <f t="shared" si="157"/>
        <v>449500</v>
      </c>
      <c r="X94" s="70">
        <f t="shared" si="157"/>
        <v>477000</v>
      </c>
      <c r="Y94" s="70">
        <f t="shared" si="157"/>
        <v>504500</v>
      </c>
      <c r="Z94" s="70">
        <f t="shared" si="157"/>
        <v>532000</v>
      </c>
      <c r="AA94" s="70">
        <f t="shared" si="157"/>
        <v>565000</v>
      </c>
      <c r="AB94" s="70">
        <f t="shared" si="157"/>
        <v>598000</v>
      </c>
      <c r="AC94" s="70">
        <f t="shared" si="157"/>
        <v>636000</v>
      </c>
      <c r="AD94" s="70">
        <f t="shared" si="157"/>
        <v>674000</v>
      </c>
      <c r="AE94" s="70">
        <f t="shared" si="157"/>
        <v>712000</v>
      </c>
      <c r="AF94" s="70">
        <f t="shared" si="157"/>
        <v>754500</v>
      </c>
      <c r="AG94" s="70">
        <f t="shared" si="157"/>
        <v>802000</v>
      </c>
      <c r="AH94" s="315">
        <f>AG94</f>
        <v>802000</v>
      </c>
      <c r="AI94" s="7"/>
      <c r="AJ94" s="7"/>
      <c r="AK94" s="7"/>
      <c r="AL94" s="7"/>
      <c r="AM94" s="7"/>
      <c r="AN94" s="7"/>
      <c r="AO94" s="7"/>
    </row>
    <row r="95" spans="1:41" s="66" customFormat="1">
      <c r="A95" s="17"/>
      <c r="B95" s="77"/>
      <c r="C95" s="78"/>
      <c r="D95" s="78"/>
      <c r="E95" s="85"/>
      <c r="F95" s="80"/>
      <c r="G95" s="68"/>
      <c r="H95" s="518" t="s">
        <v>40</v>
      </c>
      <c r="I95" s="514">
        <f t="shared" ref="I95:T95" si="158">I94/I86-1</f>
        <v>7.333333333333325E-2</v>
      </c>
      <c r="J95" s="515">
        <f t="shared" si="158"/>
        <v>9.9378881987577605E-2</v>
      </c>
      <c r="K95" s="515">
        <f t="shared" si="158"/>
        <v>9.0395480225988756E-2</v>
      </c>
      <c r="L95" s="515">
        <f t="shared" si="158"/>
        <v>8.290155440414515E-2</v>
      </c>
      <c r="M95" s="515">
        <f t="shared" si="158"/>
        <v>7.6555023923444931E-2</v>
      </c>
      <c r="N95" s="515">
        <f t="shared" si="158"/>
        <v>9.3333333333333268E-2</v>
      </c>
      <c r="O95" s="515">
        <f t="shared" si="158"/>
        <v>8.5365853658536661E-2</v>
      </c>
      <c r="P95" s="515">
        <f t="shared" si="158"/>
        <v>7.8651685393258397E-2</v>
      </c>
      <c r="Q95" s="515">
        <f t="shared" si="158"/>
        <v>9.0277777777777679E-2</v>
      </c>
      <c r="R95" s="515">
        <f t="shared" si="158"/>
        <v>8.2802547770700619E-2</v>
      </c>
      <c r="S95" s="515">
        <f t="shared" si="158"/>
        <v>8.8235294117646967E-2</v>
      </c>
      <c r="T95" s="516">
        <f t="shared" si="158"/>
        <v>8.1081081081081141E-2</v>
      </c>
      <c r="U95" s="517"/>
      <c r="V95" s="514">
        <f t="shared" ref="V95:AG95" si="159">V94/V86-1</f>
        <v>5.4999999999999938E-2</v>
      </c>
      <c r="W95" s="515">
        <f t="shared" si="159"/>
        <v>6.5165876777251164E-2</v>
      </c>
      <c r="X95" s="515">
        <f t="shared" si="159"/>
        <v>6.1179087875417038E-2</v>
      </c>
      <c r="Y95" s="515">
        <f t="shared" si="159"/>
        <v>5.7651991614255715E-2</v>
      </c>
      <c r="Z95" s="515">
        <f t="shared" si="159"/>
        <v>5.4509415262636196E-2</v>
      </c>
      <c r="AA95" s="515">
        <f t="shared" si="159"/>
        <v>6.203007518796988E-2</v>
      </c>
      <c r="AB95" s="515">
        <f t="shared" si="159"/>
        <v>5.8407079646017657E-2</v>
      </c>
      <c r="AC95" s="515">
        <f t="shared" si="159"/>
        <v>6.3545150501672198E-2</v>
      </c>
      <c r="AD95" s="515">
        <f t="shared" si="159"/>
        <v>5.9748427672956073E-2</v>
      </c>
      <c r="AE95" s="515">
        <f t="shared" si="159"/>
        <v>5.6379821958457033E-2</v>
      </c>
      <c r="AF95" s="515">
        <f t="shared" si="159"/>
        <v>5.9691011235954994E-2</v>
      </c>
      <c r="AG95" s="516">
        <f t="shared" si="159"/>
        <v>6.2955599734923817E-2</v>
      </c>
      <c r="AH95" s="517"/>
      <c r="AJ95" s="17"/>
      <c r="AK95" s="17"/>
      <c r="AL95" s="17"/>
      <c r="AM95" s="17"/>
      <c r="AN95" s="17"/>
      <c r="AO95" s="17"/>
    </row>
    <row r="96" spans="1:41" s="7" customFormat="1" ht="13" thickBot="1">
      <c r="B96" s="67"/>
      <c r="C96" s="30" t="s">
        <v>28</v>
      </c>
      <c r="D96" s="30"/>
      <c r="E96" s="44">
        <v>0.3</v>
      </c>
      <c r="F96" s="80"/>
      <c r="G96" s="68"/>
      <c r="H96" s="519" t="s">
        <v>231</v>
      </c>
      <c r="I96" s="555">
        <f>(SUM(L89:N89)*12*(1/$E$96))</f>
        <v>2600000</v>
      </c>
      <c r="J96" s="556"/>
      <c r="K96" s="556"/>
      <c r="L96" s="556">
        <f>(SUM(O89:Q89)*12*(1/$E$96))</f>
        <v>2600000</v>
      </c>
      <c r="M96" s="556"/>
      <c r="N96" s="556"/>
      <c r="O96" s="556">
        <f>(SUM(R89:T89)*12*(1/$E$96))</f>
        <v>3000000</v>
      </c>
      <c r="P96" s="556"/>
      <c r="Q96" s="556"/>
      <c r="R96" s="556">
        <f>(SUM(V89:X89)*12*(1/$E$96))</f>
        <v>2600000</v>
      </c>
      <c r="S96" s="556"/>
      <c r="T96" s="557"/>
      <c r="U96" s="513"/>
      <c r="V96" s="544">
        <f>(SUM(Y89:AA89)*12*(1/$E$96))</f>
        <v>2600000</v>
      </c>
      <c r="W96" s="545"/>
      <c r="X96" s="545"/>
      <c r="Y96" s="545">
        <f>(SUM(AB89:AD89)*12*(1/$E$96))</f>
        <v>3000000</v>
      </c>
      <c r="Z96" s="545"/>
      <c r="AA96" s="545"/>
      <c r="AB96" s="545">
        <f>(SUM(AE89:AG89)*12*(1/$E$96))</f>
        <v>3200000</v>
      </c>
      <c r="AC96" s="545"/>
      <c r="AD96" s="545"/>
      <c r="AE96" s="546">
        <f>(SUM(AE89:AG89)*12*(1/$E$96))</f>
        <v>3200000</v>
      </c>
      <c r="AF96" s="547"/>
      <c r="AG96" s="548"/>
      <c r="AH96" s="436"/>
    </row>
    <row r="97" spans="2:34" s="95" customFormat="1">
      <c r="B97" s="475"/>
      <c r="C97" s="476"/>
      <c r="D97" s="476"/>
      <c r="E97" s="477"/>
      <c r="F97" s="478"/>
      <c r="G97" s="101"/>
      <c r="I97" s="58"/>
      <c r="T97" s="58"/>
    </row>
    <row r="98" spans="2:34" s="7" customFormat="1">
      <c r="B98" s="479"/>
      <c r="C98" s="480"/>
      <c r="D98" s="480"/>
      <c r="E98" s="481"/>
      <c r="F98" s="482"/>
      <c r="G98" s="68"/>
      <c r="H98" s="255" t="s">
        <v>35</v>
      </c>
      <c r="I98" s="108"/>
      <c r="J98" s="108"/>
      <c r="K98" s="108"/>
      <c r="L98" s="108"/>
      <c r="M98" s="108"/>
      <c r="N98" s="108"/>
      <c r="O98" s="108"/>
      <c r="P98" s="108"/>
      <c r="Q98" s="108"/>
      <c r="R98" s="108"/>
      <c r="S98" s="108"/>
      <c r="T98" s="109"/>
      <c r="U98" s="109"/>
      <c r="V98" s="108"/>
      <c r="W98" s="108"/>
      <c r="X98" s="108"/>
      <c r="Y98" s="108"/>
      <c r="Z98" s="108"/>
      <c r="AA98" s="108"/>
      <c r="AB98" s="108"/>
      <c r="AC98" s="108"/>
      <c r="AD98" s="108"/>
      <c r="AE98" s="108"/>
      <c r="AF98" s="108"/>
      <c r="AG98" s="108"/>
      <c r="AH98" s="134"/>
    </row>
    <row r="99" spans="2:34" s="7" customFormat="1">
      <c r="B99" s="67"/>
      <c r="C99" s="64"/>
      <c r="D99" s="64"/>
      <c r="E99" s="88"/>
      <c r="F99" s="24"/>
      <c r="G99" s="68"/>
      <c r="H99" s="256"/>
      <c r="I99" s="400"/>
      <c r="J99" s="110"/>
      <c r="K99" s="110"/>
      <c r="L99" s="110"/>
      <c r="M99" s="110"/>
      <c r="N99" s="110"/>
      <c r="O99" s="110"/>
      <c r="P99" s="110"/>
      <c r="Q99" s="110"/>
      <c r="R99" s="110"/>
      <c r="S99" s="110"/>
      <c r="T99" s="126"/>
      <c r="U99" s="130"/>
      <c r="V99" s="110"/>
      <c r="W99" s="110"/>
      <c r="X99" s="110"/>
      <c r="Y99" s="110"/>
      <c r="Z99" s="110"/>
      <c r="AA99" s="110"/>
      <c r="AB99" s="110"/>
      <c r="AC99" s="110"/>
      <c r="AD99" s="110"/>
      <c r="AE99" s="110"/>
      <c r="AF99" s="110"/>
      <c r="AG99" s="126"/>
      <c r="AH99" s="130"/>
    </row>
    <row r="100" spans="2:34" s="7" customFormat="1">
      <c r="B100" s="67"/>
      <c r="C100" s="64"/>
      <c r="D100" s="64"/>
      <c r="E100" s="88"/>
      <c r="F100" s="24"/>
      <c r="G100" s="68"/>
      <c r="H100" s="257" t="s">
        <v>13</v>
      </c>
      <c r="I100" s="401"/>
      <c r="J100" s="112"/>
      <c r="K100" s="112"/>
      <c r="L100" s="112"/>
      <c r="M100" s="112"/>
      <c r="N100" s="112"/>
      <c r="O100" s="112"/>
      <c r="P100" s="112"/>
      <c r="Q100" s="112"/>
      <c r="R100" s="112"/>
      <c r="S100" s="112"/>
      <c r="T100" s="127"/>
      <c r="U100" s="131"/>
      <c r="V100" s="112"/>
      <c r="W100" s="112"/>
      <c r="X100" s="112"/>
      <c r="Y100" s="112"/>
      <c r="Z100" s="112"/>
      <c r="AA100" s="112"/>
      <c r="AB100" s="112"/>
      <c r="AC100" s="112"/>
      <c r="AD100" s="112"/>
      <c r="AE100" s="112"/>
      <c r="AF100" s="112"/>
      <c r="AG100" s="127"/>
      <c r="AH100" s="131"/>
    </row>
    <row r="101" spans="2:34" s="7" customFormat="1">
      <c r="B101" s="67"/>
      <c r="C101" s="64"/>
      <c r="D101" s="64"/>
      <c r="E101" s="88"/>
      <c r="F101" s="24"/>
      <c r="G101" s="68"/>
      <c r="H101" s="388" t="s">
        <v>14</v>
      </c>
      <c r="I101" s="402">
        <f t="shared" ref="I101:T101" si="160">I20+I46+I74</f>
        <v>160</v>
      </c>
      <c r="J101" s="114">
        <f t="shared" si="160"/>
        <v>231</v>
      </c>
      <c r="K101" s="114">
        <f t="shared" si="160"/>
        <v>314</v>
      </c>
      <c r="L101" s="114">
        <f t="shared" si="160"/>
        <v>409</v>
      </c>
      <c r="M101" s="114">
        <f t="shared" si="160"/>
        <v>518</v>
      </c>
      <c r="N101" s="114">
        <f t="shared" si="160"/>
        <v>641</v>
      </c>
      <c r="O101" s="114">
        <f t="shared" si="160"/>
        <v>780</v>
      </c>
      <c r="P101" s="114">
        <f t="shared" si="160"/>
        <v>933</v>
      </c>
      <c r="Q101" s="114">
        <f t="shared" si="160"/>
        <v>1105</v>
      </c>
      <c r="R101" s="114">
        <f t="shared" si="160"/>
        <v>1297</v>
      </c>
      <c r="S101" s="114">
        <f t="shared" si="160"/>
        <v>1509</v>
      </c>
      <c r="T101" s="128">
        <f t="shared" si="160"/>
        <v>1744</v>
      </c>
      <c r="U101" s="132"/>
      <c r="V101" s="114">
        <f t="shared" ref="V101:AG101" si="161">V20+V46+V74</f>
        <v>2004</v>
      </c>
      <c r="W101" s="114">
        <f t="shared" si="161"/>
        <v>2289</v>
      </c>
      <c r="X101" s="114">
        <f t="shared" si="161"/>
        <v>2599</v>
      </c>
      <c r="Y101" s="114">
        <f t="shared" si="161"/>
        <v>2934</v>
      </c>
      <c r="Z101" s="114">
        <f t="shared" si="161"/>
        <v>3296</v>
      </c>
      <c r="AA101" s="114">
        <f t="shared" si="161"/>
        <v>3686</v>
      </c>
      <c r="AB101" s="114">
        <f t="shared" si="161"/>
        <v>4108</v>
      </c>
      <c r="AC101" s="114">
        <f t="shared" si="161"/>
        <v>4563</v>
      </c>
      <c r="AD101" s="114">
        <f t="shared" si="161"/>
        <v>5055</v>
      </c>
      <c r="AE101" s="114">
        <f t="shared" si="161"/>
        <v>5585</v>
      </c>
      <c r="AF101" s="114">
        <f t="shared" si="161"/>
        <v>6156</v>
      </c>
      <c r="AG101" s="114">
        <f t="shared" si="161"/>
        <v>6773</v>
      </c>
      <c r="AH101" s="132"/>
    </row>
    <row r="102" spans="2:34" s="7" customFormat="1">
      <c r="B102" s="67"/>
      <c r="C102" s="64"/>
      <c r="D102" s="64"/>
      <c r="E102" s="88"/>
      <c r="F102" s="24"/>
      <c r="G102" s="68"/>
      <c r="H102" s="388" t="s">
        <v>36</v>
      </c>
      <c r="I102" s="402">
        <f t="shared" ref="I102:T102" si="162">I22+I23+I48+I49+I75</f>
        <v>76</v>
      </c>
      <c r="J102" s="114">
        <f t="shared" si="162"/>
        <v>90</v>
      </c>
      <c r="K102" s="114">
        <f t="shared" si="162"/>
        <v>104</v>
      </c>
      <c r="L102" s="114">
        <f t="shared" si="162"/>
        <v>120</v>
      </c>
      <c r="M102" s="114">
        <f t="shared" si="162"/>
        <v>137</v>
      </c>
      <c r="N102" s="114">
        <f t="shared" si="162"/>
        <v>157</v>
      </c>
      <c r="O102" s="114">
        <f t="shared" si="162"/>
        <v>175</v>
      </c>
      <c r="P102" s="114">
        <f t="shared" si="162"/>
        <v>198</v>
      </c>
      <c r="Q102" s="114">
        <f t="shared" si="162"/>
        <v>223</v>
      </c>
      <c r="R102" s="114">
        <f t="shared" si="162"/>
        <v>248</v>
      </c>
      <c r="S102" s="114">
        <f t="shared" si="162"/>
        <v>277</v>
      </c>
      <c r="T102" s="128">
        <f t="shared" si="162"/>
        <v>308</v>
      </c>
      <c r="U102" s="105">
        <f>SUM(I102:T102)</f>
        <v>2113</v>
      </c>
      <c r="V102" s="114">
        <f t="shared" ref="V102:AG102" si="163">V22+V23+V48+V49+V75</f>
        <v>341</v>
      </c>
      <c r="W102" s="114">
        <f t="shared" si="163"/>
        <v>375</v>
      </c>
      <c r="X102" s="114">
        <f t="shared" si="163"/>
        <v>408</v>
      </c>
      <c r="Y102" s="114">
        <f t="shared" si="163"/>
        <v>444</v>
      </c>
      <c r="Z102" s="114">
        <f t="shared" si="163"/>
        <v>483</v>
      </c>
      <c r="AA102" s="114">
        <f t="shared" si="163"/>
        <v>526</v>
      </c>
      <c r="AB102" s="114">
        <f t="shared" si="163"/>
        <v>571</v>
      </c>
      <c r="AC102" s="114">
        <f t="shared" si="163"/>
        <v>620</v>
      </c>
      <c r="AD102" s="114">
        <f t="shared" si="163"/>
        <v>674</v>
      </c>
      <c r="AE102" s="114">
        <f t="shared" si="163"/>
        <v>730</v>
      </c>
      <c r="AF102" s="114">
        <f t="shared" si="163"/>
        <v>791</v>
      </c>
      <c r="AG102" s="114">
        <f t="shared" si="163"/>
        <v>858</v>
      </c>
      <c r="AH102" s="105">
        <f>SUM(V102:AG102)</f>
        <v>6821</v>
      </c>
    </row>
    <row r="103" spans="2:34" s="7" customFormat="1">
      <c r="B103" s="67"/>
      <c r="C103" s="64"/>
      <c r="D103" s="64"/>
      <c r="E103" s="88"/>
      <c r="F103" s="24"/>
      <c r="G103" s="68"/>
      <c r="H103" s="388" t="s">
        <v>37</v>
      </c>
      <c r="I103" s="402">
        <f>I26+I52+I77</f>
        <v>7</v>
      </c>
      <c r="J103" s="114">
        <f t="shared" ref="J103:T103" si="164">J26+J52+J79</f>
        <v>7</v>
      </c>
      <c r="K103" s="114">
        <f t="shared" si="164"/>
        <v>9</v>
      </c>
      <c r="L103" s="114">
        <f t="shared" si="164"/>
        <v>11</v>
      </c>
      <c r="M103" s="114">
        <f t="shared" si="164"/>
        <v>14</v>
      </c>
      <c r="N103" s="114">
        <f t="shared" si="164"/>
        <v>18</v>
      </c>
      <c r="O103" s="114">
        <f t="shared" si="164"/>
        <v>22</v>
      </c>
      <c r="P103" s="114">
        <f t="shared" si="164"/>
        <v>26</v>
      </c>
      <c r="Q103" s="114">
        <f t="shared" si="164"/>
        <v>31</v>
      </c>
      <c r="R103" s="114">
        <f t="shared" si="164"/>
        <v>36</v>
      </c>
      <c r="S103" s="114">
        <f t="shared" si="164"/>
        <v>42</v>
      </c>
      <c r="T103" s="128">
        <f t="shared" si="164"/>
        <v>48</v>
      </c>
      <c r="U103" s="105">
        <f>SUM(I103:T103)</f>
        <v>271</v>
      </c>
      <c r="V103" s="114">
        <f t="shared" ref="V103:AG103" si="165">V26+V52+V79</f>
        <v>56</v>
      </c>
      <c r="W103" s="114">
        <f t="shared" si="165"/>
        <v>65</v>
      </c>
      <c r="X103" s="114">
        <f t="shared" si="165"/>
        <v>73</v>
      </c>
      <c r="Y103" s="114">
        <f t="shared" si="165"/>
        <v>82</v>
      </c>
      <c r="Z103" s="114">
        <f t="shared" si="165"/>
        <v>93</v>
      </c>
      <c r="AA103" s="114">
        <f t="shared" si="165"/>
        <v>104</v>
      </c>
      <c r="AB103" s="114">
        <f t="shared" si="165"/>
        <v>116</v>
      </c>
      <c r="AC103" s="114">
        <f t="shared" si="165"/>
        <v>128</v>
      </c>
      <c r="AD103" s="114">
        <f t="shared" si="165"/>
        <v>144</v>
      </c>
      <c r="AE103" s="114">
        <f t="shared" si="165"/>
        <v>159</v>
      </c>
      <c r="AF103" s="114">
        <f t="shared" si="165"/>
        <v>174</v>
      </c>
      <c r="AG103" s="114">
        <f t="shared" si="165"/>
        <v>191</v>
      </c>
      <c r="AH103" s="105">
        <f>SUM(V103:AG103)</f>
        <v>1385</v>
      </c>
    </row>
    <row r="104" spans="2:34" s="7" customFormat="1">
      <c r="B104" s="67"/>
      <c r="C104" s="64"/>
      <c r="D104" s="64"/>
      <c r="E104" s="88"/>
      <c r="F104" s="24"/>
      <c r="G104" s="68"/>
      <c r="H104" s="389" t="s">
        <v>23</v>
      </c>
      <c r="I104" s="403">
        <f>I101+I102-I103</f>
        <v>229</v>
      </c>
      <c r="J104" s="115">
        <f t="shared" ref="J104:T104" si="166">J101+J102-J103</f>
        <v>314</v>
      </c>
      <c r="K104" s="115">
        <f t="shared" si="166"/>
        <v>409</v>
      </c>
      <c r="L104" s="115">
        <f t="shared" si="166"/>
        <v>518</v>
      </c>
      <c r="M104" s="115">
        <f t="shared" si="166"/>
        <v>641</v>
      </c>
      <c r="N104" s="115">
        <f t="shared" si="166"/>
        <v>780</v>
      </c>
      <c r="O104" s="115">
        <f t="shared" si="166"/>
        <v>933</v>
      </c>
      <c r="P104" s="115">
        <f t="shared" si="166"/>
        <v>1105</v>
      </c>
      <c r="Q104" s="115">
        <f t="shared" si="166"/>
        <v>1297</v>
      </c>
      <c r="R104" s="115">
        <f t="shared" si="166"/>
        <v>1509</v>
      </c>
      <c r="S104" s="115">
        <f t="shared" si="166"/>
        <v>1744</v>
      </c>
      <c r="T104" s="115">
        <f t="shared" si="166"/>
        <v>2004</v>
      </c>
      <c r="U104" s="133">
        <f>T104</f>
        <v>2004</v>
      </c>
      <c r="V104" s="115">
        <f t="shared" ref="V104:AG104" si="167">V101+V102-V103</f>
        <v>2289</v>
      </c>
      <c r="W104" s="115">
        <f t="shared" si="167"/>
        <v>2599</v>
      </c>
      <c r="X104" s="115">
        <f t="shared" si="167"/>
        <v>2934</v>
      </c>
      <c r="Y104" s="115">
        <f t="shared" si="167"/>
        <v>3296</v>
      </c>
      <c r="Z104" s="115">
        <f t="shared" si="167"/>
        <v>3686</v>
      </c>
      <c r="AA104" s="115">
        <f t="shared" si="167"/>
        <v>4108</v>
      </c>
      <c r="AB104" s="115">
        <f t="shared" si="167"/>
        <v>4563</v>
      </c>
      <c r="AC104" s="115">
        <f t="shared" si="167"/>
        <v>5055</v>
      </c>
      <c r="AD104" s="115">
        <f t="shared" si="167"/>
        <v>5585</v>
      </c>
      <c r="AE104" s="115">
        <f t="shared" si="167"/>
        <v>6156</v>
      </c>
      <c r="AF104" s="115">
        <f t="shared" si="167"/>
        <v>6773</v>
      </c>
      <c r="AG104" s="115">
        <f t="shared" si="167"/>
        <v>7440</v>
      </c>
      <c r="AH104" s="133">
        <f>AG104</f>
        <v>7440</v>
      </c>
    </row>
    <row r="105" spans="2:34" s="7" customFormat="1">
      <c r="B105" s="67"/>
      <c r="C105" s="64"/>
      <c r="D105" s="64"/>
      <c r="E105" s="88"/>
      <c r="F105" s="24"/>
      <c r="G105" s="68"/>
      <c r="H105" s="388"/>
      <c r="I105" s="404"/>
      <c r="J105" s="116"/>
      <c r="K105" s="116"/>
      <c r="L105" s="116"/>
      <c r="M105" s="116"/>
      <c r="N105" s="116"/>
      <c r="O105" s="116"/>
      <c r="P105" s="116"/>
      <c r="Q105" s="116"/>
      <c r="R105" s="116"/>
      <c r="S105" s="116"/>
      <c r="T105" s="129"/>
      <c r="U105" s="130"/>
      <c r="V105" s="116"/>
      <c r="W105" s="116"/>
      <c r="X105" s="116"/>
      <c r="Y105" s="116"/>
      <c r="Z105" s="116"/>
      <c r="AA105" s="116"/>
      <c r="AB105" s="116"/>
      <c r="AC105" s="116"/>
      <c r="AD105" s="116"/>
      <c r="AE105" s="116"/>
      <c r="AF105" s="116"/>
      <c r="AG105" s="129"/>
      <c r="AH105" s="130"/>
    </row>
    <row r="106" spans="2:34" s="7" customFormat="1">
      <c r="B106" s="67"/>
      <c r="C106" s="64"/>
      <c r="D106" s="64"/>
      <c r="E106" s="88"/>
      <c r="F106" s="24"/>
      <c r="G106" s="68"/>
      <c r="H106" s="257" t="s">
        <v>25</v>
      </c>
      <c r="I106" s="401"/>
      <c r="J106" s="112"/>
      <c r="K106" s="112"/>
      <c r="L106" s="112"/>
      <c r="M106" s="112"/>
      <c r="N106" s="112"/>
      <c r="O106" s="112"/>
      <c r="P106" s="112"/>
      <c r="Q106" s="112"/>
      <c r="R106" s="112"/>
      <c r="S106" s="112"/>
      <c r="T106" s="127"/>
      <c r="U106" s="131"/>
      <c r="V106" s="112"/>
      <c r="W106" s="112"/>
      <c r="X106" s="112"/>
      <c r="Y106" s="112"/>
      <c r="Z106" s="112"/>
      <c r="AA106" s="112"/>
      <c r="AB106" s="112"/>
      <c r="AC106" s="112"/>
      <c r="AD106" s="112"/>
      <c r="AE106" s="112"/>
      <c r="AF106" s="112"/>
      <c r="AG106" s="127"/>
      <c r="AH106" s="131"/>
    </row>
    <row r="107" spans="2:34" s="7" customFormat="1">
      <c r="B107" s="67"/>
      <c r="C107" s="64"/>
      <c r="D107" s="64"/>
      <c r="E107" s="88"/>
      <c r="F107" s="24"/>
      <c r="G107" s="68"/>
      <c r="H107" s="388" t="s">
        <v>219</v>
      </c>
      <c r="I107" s="406">
        <f>I33+I60+I86</f>
        <v>162500</v>
      </c>
      <c r="J107" s="407">
        <f>I112</f>
        <v>178550</v>
      </c>
      <c r="K107" s="407">
        <f t="shared" ref="K107:T107" si="168">J112</f>
        <v>200667.75</v>
      </c>
      <c r="L107" s="407">
        <f t="shared" si="168"/>
        <v>223654.25875000001</v>
      </c>
      <c r="M107" s="407">
        <f t="shared" si="168"/>
        <v>247826.62353125002</v>
      </c>
      <c r="N107" s="407">
        <f t="shared" si="168"/>
        <v>273202.11115453125</v>
      </c>
      <c r="O107" s="407">
        <f t="shared" si="168"/>
        <v>304849.42192955437</v>
      </c>
      <c r="P107" s="407">
        <f t="shared" si="168"/>
        <v>337323.26501612453</v>
      </c>
      <c r="Q107" s="407">
        <f t="shared" si="168"/>
        <v>371722.55174265837</v>
      </c>
      <c r="R107" s="407">
        <f t="shared" si="168"/>
        <v>412659.02776413149</v>
      </c>
      <c r="S107" s="407">
        <f t="shared" si="168"/>
        <v>455207.05029282888</v>
      </c>
      <c r="T107" s="408">
        <f t="shared" si="168"/>
        <v>503494.79676918028</v>
      </c>
      <c r="U107" s="409"/>
      <c r="V107" s="407">
        <f>V33+V60+V86</f>
        <v>554339.43115761504</v>
      </c>
      <c r="W107" s="407">
        <f>V112</f>
        <v>599459.44625315082</v>
      </c>
      <c r="X107" s="407">
        <f t="shared" ref="X107:AG107" si="169">W112</f>
        <v>652440.77541571064</v>
      </c>
      <c r="Y107" s="407">
        <f t="shared" si="169"/>
        <v>707656.27547780727</v>
      </c>
      <c r="Z107" s="407">
        <f t="shared" si="169"/>
        <v>765460.87490695389</v>
      </c>
      <c r="AA107" s="407">
        <f t="shared" si="169"/>
        <v>825728.89622605697</v>
      </c>
      <c r="AB107" s="407">
        <f t="shared" si="169"/>
        <v>894593.71432941104</v>
      </c>
      <c r="AC107" s="407">
        <f t="shared" si="169"/>
        <v>966271.17750542017</v>
      </c>
      <c r="AD107" s="407">
        <f t="shared" si="169"/>
        <v>1046405.4915062743</v>
      </c>
      <c r="AE107" s="407">
        <f t="shared" si="169"/>
        <v>1130377.1181569784</v>
      </c>
      <c r="AF107" s="407">
        <f t="shared" si="169"/>
        <v>1218407.0661158876</v>
      </c>
      <c r="AG107" s="407">
        <f t="shared" si="169"/>
        <v>1315052.8136313132</v>
      </c>
      <c r="AH107" s="409"/>
    </row>
    <row r="108" spans="2:34" s="7" customFormat="1">
      <c r="B108" s="67"/>
      <c r="C108" s="64"/>
      <c r="D108" s="64"/>
      <c r="E108" s="88"/>
      <c r="F108" s="24"/>
      <c r="G108" s="68"/>
      <c r="H108" s="390" t="s">
        <v>208</v>
      </c>
      <c r="I108" s="406">
        <f>I34+I61+I89</f>
        <v>20650</v>
      </c>
      <c r="J108" s="407">
        <f t="shared" ref="J108:T108" si="170">J34+J61+J89</f>
        <v>26733.5</v>
      </c>
      <c r="K108" s="407">
        <f t="shared" si="170"/>
        <v>27676.19</v>
      </c>
      <c r="L108" s="407">
        <f t="shared" si="170"/>
        <v>28932.661099999998</v>
      </c>
      <c r="M108" s="407">
        <f t="shared" si="170"/>
        <v>30456.542631406246</v>
      </c>
      <c r="N108" s="407">
        <f t="shared" si="170"/>
        <v>36892.914536286247</v>
      </c>
      <c r="O108" s="407">
        <f t="shared" si="170"/>
        <v>33343.388746649252</v>
      </c>
      <c r="P108" s="407">
        <f t="shared" si="170"/>
        <v>35429.388014416931</v>
      </c>
      <c r="Q108" s="407">
        <f t="shared" si="170"/>
        <v>42379.807633554796</v>
      </c>
      <c r="R108" s="407">
        <f t="shared" si="170"/>
        <v>44401.641243140941</v>
      </c>
      <c r="S108" s="407">
        <f t="shared" si="170"/>
        <v>46863.714746448415</v>
      </c>
      <c r="T108" s="408">
        <f t="shared" si="170"/>
        <v>49666.842693568193</v>
      </c>
      <c r="U108" s="410">
        <f>SUM(I108:T108)</f>
        <v>423426.5913454711</v>
      </c>
      <c r="V108" s="407">
        <f t="shared" ref="V108:AG108" si="171">V34+V61+V89</f>
        <v>47444.371436697271</v>
      </c>
      <c r="W108" s="407">
        <f t="shared" si="171"/>
        <v>55409.106726328879</v>
      </c>
      <c r="X108" s="407">
        <f t="shared" si="171"/>
        <v>53456.419316167303</v>
      </c>
      <c r="Y108" s="407">
        <f t="shared" si="171"/>
        <v>56856.749625512384</v>
      </c>
      <c r="Z108" s="407">
        <f t="shared" si="171"/>
        <v>60236.093269904202</v>
      </c>
      <c r="AA108" s="407">
        <f t="shared" si="171"/>
        <v>69029.279209460641</v>
      </c>
      <c r="AB108" s="407">
        <f t="shared" si="171"/>
        <v>68296.962681907928</v>
      </c>
      <c r="AC108" s="407">
        <f t="shared" si="171"/>
        <v>77716.162115525993</v>
      </c>
      <c r="AD108" s="407">
        <f t="shared" si="171"/>
        <v>87675.549129147214</v>
      </c>
      <c r="AE108" s="407">
        <f t="shared" si="171"/>
        <v>88127.380130880818</v>
      </c>
      <c r="AF108" s="407">
        <f t="shared" si="171"/>
        <v>93855.481984973128</v>
      </c>
      <c r="AG108" s="407">
        <f t="shared" si="171"/>
        <v>105143.98508035924</v>
      </c>
      <c r="AH108" s="410">
        <f>SUM(V108:AG108)</f>
        <v>863247.54070686502</v>
      </c>
    </row>
    <row r="109" spans="2:34" s="7" customFormat="1">
      <c r="B109" s="67"/>
      <c r="C109" s="64"/>
      <c r="D109" s="64"/>
      <c r="E109" s="88"/>
      <c r="F109" s="24"/>
      <c r="G109" s="68"/>
      <c r="H109" s="390" t="s">
        <v>232</v>
      </c>
      <c r="I109" s="406">
        <f>(I36+I63+I91)+I35-I38+I62-I65-I66+I90</f>
        <v>800</v>
      </c>
      <c r="J109" s="407">
        <f t="shared" ref="J109:T109" si="172">(J36+J63+J91)+J35-J38+J62-J65-J66+J90</f>
        <v>884.24999999999795</v>
      </c>
      <c r="K109" s="407">
        <f t="shared" si="172"/>
        <v>913.3187499999965</v>
      </c>
      <c r="L109" s="407">
        <f t="shared" si="172"/>
        <v>946.72118124999668</v>
      </c>
      <c r="M109" s="407">
        <f t="shared" si="172"/>
        <v>781.75884812499635</v>
      </c>
      <c r="N109" s="407">
        <f t="shared" si="172"/>
        <v>1029.5843645181162</v>
      </c>
      <c r="O109" s="407">
        <f t="shared" si="172"/>
        <v>5617.068656956636</v>
      </c>
      <c r="P109" s="407">
        <f t="shared" si="172"/>
        <v>5670.0216026166381</v>
      </c>
      <c r="Q109" s="407">
        <f t="shared" si="172"/>
        <v>5731.2801214938754</v>
      </c>
      <c r="R109" s="407">
        <f t="shared" si="172"/>
        <v>5592.0428387812199</v>
      </c>
      <c r="S109" s="407">
        <f t="shared" si="172"/>
        <v>4457.1724094236997</v>
      </c>
      <c r="T109" s="408">
        <f t="shared" si="172"/>
        <v>4541.4401173971828</v>
      </c>
      <c r="U109" s="410">
        <f>SUM(I109:T109)</f>
        <v>36964.658890562358</v>
      </c>
      <c r="V109" s="407">
        <f t="shared" ref="V109:AG109" si="173">(V36+V63+V91)+V35-V38+V62-V65-V66+V90</f>
        <v>6637.128031467194</v>
      </c>
      <c r="W109" s="407">
        <f t="shared" si="173"/>
        <v>7243.604808434703</v>
      </c>
      <c r="X109" s="407">
        <f t="shared" si="173"/>
        <v>11880.614510363697</v>
      </c>
      <c r="Y109" s="407">
        <f t="shared" si="173"/>
        <v>11791.99997264422</v>
      </c>
      <c r="Z109" s="407">
        <f t="shared" si="173"/>
        <v>11713.561022245067</v>
      </c>
      <c r="AA109" s="407">
        <f t="shared" si="173"/>
        <v>12362.883395261841</v>
      </c>
      <c r="AB109" s="407">
        <f t="shared" si="173"/>
        <v>16816.270923602231</v>
      </c>
      <c r="AC109" s="407">
        <f t="shared" si="173"/>
        <v>16771.244318630714</v>
      </c>
      <c r="AD109" s="407">
        <f t="shared" si="173"/>
        <v>16960.243788930944</v>
      </c>
      <c r="AE109" s="407">
        <f t="shared" si="173"/>
        <v>21669.705725067131</v>
      </c>
      <c r="AF109" s="407">
        <f t="shared" si="173"/>
        <v>20948.743183063452</v>
      </c>
      <c r="AG109" s="407">
        <f t="shared" si="173"/>
        <v>20968.886202862432</v>
      </c>
      <c r="AH109" s="410">
        <f>SUM(V109:AG109)</f>
        <v>175764.88588257361</v>
      </c>
    </row>
    <row r="110" spans="2:34" s="7" customFormat="1">
      <c r="B110" s="67"/>
      <c r="C110" s="64"/>
      <c r="D110" s="64"/>
      <c r="E110" s="88"/>
      <c r="F110" s="24"/>
      <c r="G110" s="68"/>
      <c r="H110" s="390" t="s">
        <v>209</v>
      </c>
      <c r="I110" s="406">
        <f>I37+I64+I92</f>
        <v>5400</v>
      </c>
      <c r="J110" s="407">
        <f t="shared" ref="J110:T110" si="174">J37+J64+J92</f>
        <v>5500</v>
      </c>
      <c r="K110" s="407">
        <f t="shared" si="174"/>
        <v>5603</v>
      </c>
      <c r="L110" s="407">
        <f t="shared" si="174"/>
        <v>5707.0174999999999</v>
      </c>
      <c r="M110" s="407">
        <f t="shared" si="174"/>
        <v>5862.8138562499998</v>
      </c>
      <c r="N110" s="407">
        <f t="shared" si="174"/>
        <v>6275.1881257812493</v>
      </c>
      <c r="O110" s="407">
        <f t="shared" si="174"/>
        <v>6486.61431703578</v>
      </c>
      <c r="P110" s="407">
        <f t="shared" si="174"/>
        <v>6700.1228904997115</v>
      </c>
      <c r="Q110" s="407">
        <f t="shared" si="174"/>
        <v>7174.6117335755407</v>
      </c>
      <c r="R110" s="407">
        <f t="shared" si="174"/>
        <v>7445.661553224777</v>
      </c>
      <c r="S110" s="407">
        <f t="shared" si="174"/>
        <v>3033.1406795206858</v>
      </c>
      <c r="T110" s="408">
        <f t="shared" si="174"/>
        <v>3363.6484225305257</v>
      </c>
      <c r="U110" s="410">
        <f>SUM(I110:T110)</f>
        <v>68551.819078418266</v>
      </c>
      <c r="V110" s="407">
        <f t="shared" ref="V110:AG110" si="175">V37+V64+V92</f>
        <v>8961.4843726287236</v>
      </c>
      <c r="W110" s="407">
        <f t="shared" si="175"/>
        <v>9671.3823722037905</v>
      </c>
      <c r="X110" s="407">
        <f t="shared" si="175"/>
        <v>10121.533764434338</v>
      </c>
      <c r="Y110" s="407">
        <f t="shared" si="175"/>
        <v>10844.150169009994</v>
      </c>
      <c r="Z110" s="407">
        <f t="shared" si="175"/>
        <v>11681.632973046104</v>
      </c>
      <c r="AA110" s="407">
        <f t="shared" si="175"/>
        <v>12527.34450136835</v>
      </c>
      <c r="AB110" s="407">
        <f t="shared" si="175"/>
        <v>13435.770429501112</v>
      </c>
      <c r="AC110" s="407">
        <f t="shared" si="175"/>
        <v>14353.092433302667</v>
      </c>
      <c r="AD110" s="407">
        <f t="shared" si="175"/>
        <v>20664.166267374392</v>
      </c>
      <c r="AE110" s="407">
        <f t="shared" si="175"/>
        <v>21767.137897038654</v>
      </c>
      <c r="AF110" s="407">
        <f t="shared" si="175"/>
        <v>18158.47765261104</v>
      </c>
      <c r="AG110" s="407">
        <f t="shared" si="175"/>
        <v>19396.040803989523</v>
      </c>
      <c r="AH110" s="410">
        <f>SUM(V110:AG110)</f>
        <v>171582.21363650868</v>
      </c>
    </row>
    <row r="111" spans="2:34" s="7" customFormat="1">
      <c r="B111" s="67"/>
      <c r="C111" s="64"/>
      <c r="D111" s="64"/>
      <c r="E111" s="88"/>
      <c r="F111" s="24"/>
      <c r="G111" s="68"/>
      <c r="H111" s="388" t="s">
        <v>217</v>
      </c>
      <c r="I111" s="406">
        <f t="shared" ref="I111:T111" si="176">I112-I107</f>
        <v>16050</v>
      </c>
      <c r="J111" s="407">
        <f t="shared" si="176"/>
        <v>22117.75</v>
      </c>
      <c r="K111" s="407">
        <f t="shared" si="176"/>
        <v>22986.508750000008</v>
      </c>
      <c r="L111" s="407">
        <f t="shared" si="176"/>
        <v>24172.364781250013</v>
      </c>
      <c r="M111" s="407">
        <f t="shared" si="176"/>
        <v>25375.487623281224</v>
      </c>
      <c r="N111" s="407">
        <f t="shared" si="176"/>
        <v>31647.310775023128</v>
      </c>
      <c r="O111" s="407">
        <f t="shared" si="176"/>
        <v>32473.843086570152</v>
      </c>
      <c r="P111" s="407">
        <f t="shared" si="176"/>
        <v>34399.286726533843</v>
      </c>
      <c r="Q111" s="407">
        <f t="shared" si="176"/>
        <v>40936.476021473121</v>
      </c>
      <c r="R111" s="407">
        <f t="shared" si="176"/>
        <v>42548.022528697387</v>
      </c>
      <c r="S111" s="407">
        <f t="shared" si="176"/>
        <v>48287.7464763514</v>
      </c>
      <c r="T111" s="407">
        <f t="shared" si="176"/>
        <v>50844.634388434875</v>
      </c>
      <c r="U111" s="410">
        <f>SUM(I111:T111)</f>
        <v>391839.43115761515</v>
      </c>
      <c r="V111" s="407">
        <f t="shared" ref="V111:AG111" si="177">V112-V107</f>
        <v>45120.015095535782</v>
      </c>
      <c r="W111" s="407">
        <f t="shared" si="177"/>
        <v>52981.329162559821</v>
      </c>
      <c r="X111" s="407">
        <f t="shared" si="177"/>
        <v>55215.500062096631</v>
      </c>
      <c r="Y111" s="407">
        <f t="shared" si="177"/>
        <v>57804.59942914662</v>
      </c>
      <c r="Z111" s="407">
        <f t="shared" si="177"/>
        <v>60268.021319103078</v>
      </c>
      <c r="AA111" s="407">
        <f t="shared" si="177"/>
        <v>68864.818103354075</v>
      </c>
      <c r="AB111" s="407">
        <f t="shared" si="177"/>
        <v>71677.463176009129</v>
      </c>
      <c r="AC111" s="407">
        <f t="shared" si="177"/>
        <v>80134.314000854152</v>
      </c>
      <c r="AD111" s="407">
        <f t="shared" si="177"/>
        <v>83971.626650704071</v>
      </c>
      <c r="AE111" s="407">
        <f t="shared" si="177"/>
        <v>88029.947958909208</v>
      </c>
      <c r="AF111" s="407">
        <f t="shared" si="177"/>
        <v>96645.747515425552</v>
      </c>
      <c r="AG111" s="407">
        <f t="shared" si="177"/>
        <v>106716.83047923213</v>
      </c>
      <c r="AH111" s="410">
        <f>SUM(V111:AG111)</f>
        <v>867430.21295293025</v>
      </c>
    </row>
    <row r="112" spans="2:34" s="7" customFormat="1">
      <c r="B112" s="67"/>
      <c r="C112" s="64"/>
      <c r="D112" s="64"/>
      <c r="E112" s="88"/>
      <c r="F112" s="24"/>
      <c r="G112" s="68"/>
      <c r="H112" s="389" t="s">
        <v>218</v>
      </c>
      <c r="I112" s="411">
        <f>I107+I108+I109-I110</f>
        <v>178550</v>
      </c>
      <c r="J112" s="412">
        <f t="shared" ref="J112:T112" si="178">J107+J108+J109-J110</f>
        <v>200667.75</v>
      </c>
      <c r="K112" s="412">
        <f t="shared" si="178"/>
        <v>223654.25875000001</v>
      </c>
      <c r="L112" s="412">
        <f t="shared" si="178"/>
        <v>247826.62353125002</v>
      </c>
      <c r="M112" s="412">
        <f t="shared" si="178"/>
        <v>273202.11115453125</v>
      </c>
      <c r="N112" s="412">
        <f t="shared" si="178"/>
        <v>304849.42192955437</v>
      </c>
      <c r="O112" s="412">
        <f t="shared" si="178"/>
        <v>337323.26501612453</v>
      </c>
      <c r="P112" s="412">
        <f t="shared" si="178"/>
        <v>371722.55174265837</v>
      </c>
      <c r="Q112" s="412">
        <f t="shared" si="178"/>
        <v>412659.02776413149</v>
      </c>
      <c r="R112" s="412">
        <f t="shared" si="178"/>
        <v>455207.05029282888</v>
      </c>
      <c r="S112" s="412">
        <f t="shared" si="178"/>
        <v>503494.79676918028</v>
      </c>
      <c r="T112" s="413">
        <f t="shared" si="178"/>
        <v>554339.43115761515</v>
      </c>
      <c r="U112" s="414">
        <f>T112</f>
        <v>554339.43115761515</v>
      </c>
      <c r="V112" s="412">
        <f t="shared" ref="V112:AG112" si="179">V107+V108+V109-V110</f>
        <v>599459.44625315082</v>
      </c>
      <c r="W112" s="412">
        <f t="shared" si="179"/>
        <v>652440.77541571064</v>
      </c>
      <c r="X112" s="412">
        <f t="shared" si="179"/>
        <v>707656.27547780727</v>
      </c>
      <c r="Y112" s="412">
        <f t="shared" si="179"/>
        <v>765460.87490695389</v>
      </c>
      <c r="Z112" s="412">
        <f t="shared" si="179"/>
        <v>825728.89622605697</v>
      </c>
      <c r="AA112" s="412">
        <f t="shared" si="179"/>
        <v>894593.71432941104</v>
      </c>
      <c r="AB112" s="412">
        <f t="shared" si="179"/>
        <v>966271.17750542017</v>
      </c>
      <c r="AC112" s="412">
        <f t="shared" si="179"/>
        <v>1046405.4915062743</v>
      </c>
      <c r="AD112" s="412">
        <f t="shared" si="179"/>
        <v>1130377.1181569784</v>
      </c>
      <c r="AE112" s="412">
        <f t="shared" si="179"/>
        <v>1218407.0661158876</v>
      </c>
      <c r="AF112" s="412">
        <f t="shared" si="179"/>
        <v>1315052.8136313132</v>
      </c>
      <c r="AG112" s="412">
        <f t="shared" si="179"/>
        <v>1421769.6441105453</v>
      </c>
      <c r="AH112" s="414">
        <f>AG112</f>
        <v>1421769.6441105453</v>
      </c>
    </row>
    <row r="113" spans="1:34" s="286" customFormat="1">
      <c r="B113" s="287"/>
      <c r="C113" s="288"/>
      <c r="D113" s="288"/>
      <c r="E113" s="289"/>
      <c r="F113" s="290"/>
      <c r="G113" s="291"/>
      <c r="H113" s="303" t="s">
        <v>40</v>
      </c>
      <c r="I113" s="304">
        <f>(I112/I107)-1</f>
        <v>9.876923076923072E-2</v>
      </c>
      <c r="J113" s="305">
        <f t="shared" ref="J113:T113" si="180">(J112/I112)-1</f>
        <v>0.12387426491178943</v>
      </c>
      <c r="K113" s="305">
        <f t="shared" si="180"/>
        <v>0.11455008963822033</v>
      </c>
      <c r="L113" s="305">
        <f t="shared" si="180"/>
        <v>0.10807916163255271</v>
      </c>
      <c r="M113" s="305">
        <f t="shared" si="180"/>
        <v>0.10239209678810579</v>
      </c>
      <c r="N113" s="305">
        <f t="shared" si="180"/>
        <v>0.11583845615717969</v>
      </c>
      <c r="O113" s="305">
        <f t="shared" si="180"/>
        <v>0.10652420752851</v>
      </c>
      <c r="P113" s="305">
        <f t="shared" si="180"/>
        <v>0.10197721383044689</v>
      </c>
      <c r="Q113" s="305">
        <f t="shared" si="180"/>
        <v>0.11012642582366983</v>
      </c>
      <c r="R113" s="305">
        <f t="shared" si="180"/>
        <v>0.10310697129111901</v>
      </c>
      <c r="S113" s="305">
        <f t="shared" si="180"/>
        <v>0.10607864365301123</v>
      </c>
      <c r="T113" s="305">
        <f t="shared" si="180"/>
        <v>0.1009834356078636</v>
      </c>
      <c r="U113" s="306"/>
      <c r="V113" s="305">
        <f>(V112/T112)-1</f>
        <v>8.1394201024654667E-2</v>
      </c>
      <c r="W113" s="305">
        <f t="shared" ref="W113:AG113" si="181">(W112/V112)-1</f>
        <v>8.838184049598885E-2</v>
      </c>
      <c r="X113" s="305">
        <f t="shared" si="181"/>
        <v>8.462913745223144E-2</v>
      </c>
      <c r="Y113" s="305">
        <f t="shared" si="181"/>
        <v>8.168457121378192E-2</v>
      </c>
      <c r="Z113" s="305">
        <f t="shared" si="181"/>
        <v>7.873429367167728E-2</v>
      </c>
      <c r="AA113" s="305">
        <f t="shared" si="181"/>
        <v>8.3398823049667392E-2</v>
      </c>
      <c r="AB113" s="305">
        <f t="shared" si="181"/>
        <v>8.0122922873137714E-2</v>
      </c>
      <c r="AC113" s="305">
        <f t="shared" si="181"/>
        <v>8.293149569847813E-2</v>
      </c>
      <c r="AD113" s="305">
        <f t="shared" si="181"/>
        <v>8.0247693014138255E-2</v>
      </c>
      <c r="AE113" s="305">
        <f t="shared" si="181"/>
        <v>7.7876618824731292E-2</v>
      </c>
      <c r="AF113" s="305">
        <f t="shared" si="181"/>
        <v>7.9321394469189066E-2</v>
      </c>
      <c r="AG113" s="305">
        <f t="shared" si="181"/>
        <v>8.1150224061762311E-2</v>
      </c>
      <c r="AH113" s="306"/>
    </row>
    <row r="114" spans="1:34" s="286" customFormat="1">
      <c r="B114" s="295"/>
      <c r="C114" s="288"/>
      <c r="D114" s="288"/>
      <c r="E114" s="289"/>
      <c r="F114" s="296"/>
      <c r="G114" s="297"/>
      <c r="H114" s="292" t="s">
        <v>233</v>
      </c>
      <c r="I114" s="317">
        <f>I110-I109</f>
        <v>4600</v>
      </c>
      <c r="J114" s="294">
        <f t="shared" ref="J114:T114" si="182">J110-J109</f>
        <v>4615.7500000000018</v>
      </c>
      <c r="K114" s="294">
        <f t="shared" si="182"/>
        <v>4689.6812500000033</v>
      </c>
      <c r="L114" s="294">
        <f t="shared" si="182"/>
        <v>4760.2963187500036</v>
      </c>
      <c r="M114" s="294">
        <f t="shared" si="182"/>
        <v>5081.055008125004</v>
      </c>
      <c r="N114" s="294">
        <f t="shared" si="182"/>
        <v>5245.6037612631335</v>
      </c>
      <c r="O114" s="294">
        <f t="shared" si="182"/>
        <v>869.545660079144</v>
      </c>
      <c r="P114" s="294">
        <f t="shared" si="182"/>
        <v>1030.1012878830734</v>
      </c>
      <c r="Q114" s="294">
        <f t="shared" si="182"/>
        <v>1443.3316120816653</v>
      </c>
      <c r="R114" s="294">
        <f t="shared" si="182"/>
        <v>1853.6187144435571</v>
      </c>
      <c r="S114" s="294">
        <f t="shared" si="182"/>
        <v>-1424.0317299030139</v>
      </c>
      <c r="T114" s="294">
        <f t="shared" si="182"/>
        <v>-1177.7916948666571</v>
      </c>
      <c r="U114" s="415">
        <f>SUM(I114:T114)</f>
        <v>31587.160187855912</v>
      </c>
      <c r="V114" s="294">
        <f t="shared" ref="V114:AG114" si="183">V110-V109</f>
        <v>2324.3563411615296</v>
      </c>
      <c r="W114" s="294">
        <f t="shared" si="183"/>
        <v>2427.7775637690875</v>
      </c>
      <c r="X114" s="294">
        <f t="shared" si="183"/>
        <v>-1759.0807459293592</v>
      </c>
      <c r="Y114" s="294">
        <f t="shared" si="183"/>
        <v>-947.84980363422619</v>
      </c>
      <c r="Z114" s="294">
        <f t="shared" si="183"/>
        <v>-31.928049198962981</v>
      </c>
      <c r="AA114" s="294">
        <f t="shared" si="183"/>
        <v>164.46110610650976</v>
      </c>
      <c r="AB114" s="294">
        <f t="shared" si="183"/>
        <v>-3380.5004941011193</v>
      </c>
      <c r="AC114" s="294">
        <f t="shared" si="183"/>
        <v>-2418.1518853280468</v>
      </c>
      <c r="AD114" s="294">
        <f t="shared" si="183"/>
        <v>3703.9224784434482</v>
      </c>
      <c r="AE114" s="294">
        <f t="shared" si="183"/>
        <v>97.432171971522621</v>
      </c>
      <c r="AF114" s="294">
        <f t="shared" si="183"/>
        <v>-2790.2655304524123</v>
      </c>
      <c r="AG114" s="294">
        <f t="shared" si="183"/>
        <v>-1572.8453988729088</v>
      </c>
      <c r="AH114" s="415">
        <f>SUM(V114:AG114)</f>
        <v>-4182.672246064938</v>
      </c>
    </row>
    <row r="115" spans="1:34" s="286" customFormat="1">
      <c r="B115" s="287"/>
      <c r="C115" s="288"/>
      <c r="D115" s="288"/>
      <c r="E115" s="289"/>
      <c r="F115" s="290"/>
      <c r="G115" s="291"/>
      <c r="H115" s="292" t="s">
        <v>38</v>
      </c>
      <c r="I115" s="307">
        <f t="shared" ref="I115:T115" si="184">I114/I107</f>
        <v>2.8307692307692308E-2</v>
      </c>
      <c r="J115" s="308">
        <f t="shared" si="184"/>
        <v>2.5851302156258762E-2</v>
      </c>
      <c r="K115" s="308">
        <f t="shared" si="184"/>
        <v>2.3370378399119953E-2</v>
      </c>
      <c r="L115" s="308">
        <f t="shared" si="184"/>
        <v>2.1284174713932218E-2</v>
      </c>
      <c r="M115" s="308">
        <f t="shared" si="184"/>
        <v>2.0502458273956598E-2</v>
      </c>
      <c r="N115" s="308">
        <f t="shared" si="184"/>
        <v>1.9200451047378855E-2</v>
      </c>
      <c r="O115" s="308">
        <f t="shared" si="184"/>
        <v>2.8523775921086756E-3</v>
      </c>
      <c r="P115" s="308">
        <f t="shared" si="184"/>
        <v>3.0537510889853182E-3</v>
      </c>
      <c r="Q115" s="308">
        <f t="shared" si="184"/>
        <v>3.8828196064920927E-3</v>
      </c>
      <c r="R115" s="308">
        <f t="shared" si="184"/>
        <v>4.4918894043996351E-3</v>
      </c>
      <c r="S115" s="308">
        <f t="shared" si="184"/>
        <v>-3.1283165078110115E-3</v>
      </c>
      <c r="T115" s="308">
        <f t="shared" si="184"/>
        <v>-2.3392331011646943E-3</v>
      </c>
      <c r="U115" s="309"/>
      <c r="V115" s="308">
        <f t="shared" ref="V115:AG115" si="185">V114/V107</f>
        <v>4.1930200352293659E-3</v>
      </c>
      <c r="W115" s="308">
        <f t="shared" si="185"/>
        <v>4.0499446275200418E-3</v>
      </c>
      <c r="X115" s="308">
        <f t="shared" si="185"/>
        <v>-2.6961539073160155E-3</v>
      </c>
      <c r="Y115" s="308">
        <f t="shared" si="185"/>
        <v>-1.3394211801403739E-3</v>
      </c>
      <c r="Z115" s="308">
        <f t="shared" si="185"/>
        <v>-4.1710883267344023E-5</v>
      </c>
      <c r="AA115" s="308">
        <f t="shared" si="185"/>
        <v>1.9917082574943073E-4</v>
      </c>
      <c r="AB115" s="308">
        <f t="shared" si="185"/>
        <v>-3.7788109171269422E-3</v>
      </c>
      <c r="AC115" s="308">
        <f t="shared" si="185"/>
        <v>-2.5025602973803721E-3</v>
      </c>
      <c r="AD115" s="308">
        <f t="shared" si="185"/>
        <v>3.539662691478946E-3</v>
      </c>
      <c r="AE115" s="308">
        <f t="shared" si="185"/>
        <v>8.6194395132821477E-5</v>
      </c>
      <c r="AF115" s="308">
        <f t="shared" si="185"/>
        <v>-2.2900930305233629E-3</v>
      </c>
      <c r="AG115" s="308">
        <f t="shared" si="185"/>
        <v>-1.1960321156454102E-3</v>
      </c>
      <c r="AH115" s="309"/>
    </row>
    <row r="116" spans="1:34" s="286" customFormat="1" ht="13" thickBot="1">
      <c r="B116" s="287"/>
      <c r="C116" s="288"/>
      <c r="D116" s="288"/>
      <c r="E116" s="289"/>
      <c r="F116" s="290"/>
      <c r="G116" s="291"/>
      <c r="H116" s="310" t="s">
        <v>129</v>
      </c>
      <c r="I116" s="311">
        <f t="shared" ref="I116:T116" si="186">I110/I107</f>
        <v>3.323076923076923E-2</v>
      </c>
      <c r="J116" s="312">
        <f t="shared" si="186"/>
        <v>3.0803696443573229E-2</v>
      </c>
      <c r="K116" s="312">
        <f t="shared" si="186"/>
        <v>2.7921776169813037E-2</v>
      </c>
      <c r="L116" s="312">
        <f t="shared" si="186"/>
        <v>2.5517142091979056E-2</v>
      </c>
      <c r="M116" s="312">
        <f t="shared" si="186"/>
        <v>2.3656916971677665E-2</v>
      </c>
      <c r="N116" s="312">
        <f t="shared" si="186"/>
        <v>2.2969032337498359E-2</v>
      </c>
      <c r="O116" s="312">
        <f t="shared" si="186"/>
        <v>2.1278092889199338E-2</v>
      </c>
      <c r="P116" s="312">
        <f t="shared" si="186"/>
        <v>1.9862617214319433E-2</v>
      </c>
      <c r="Q116" s="312">
        <f t="shared" si="186"/>
        <v>1.9300985909895745E-2</v>
      </c>
      <c r="R116" s="312">
        <f t="shared" si="186"/>
        <v>1.8043132591977568E-2</v>
      </c>
      <c r="S116" s="312">
        <f t="shared" si="186"/>
        <v>6.6632111202352979E-3</v>
      </c>
      <c r="T116" s="313">
        <f t="shared" si="186"/>
        <v>6.6806021514310516E-3</v>
      </c>
      <c r="U116" s="314"/>
      <c r="V116" s="311">
        <f t="shared" ref="V116:AG116" si="187">V110/V107</f>
        <v>1.6166059762183344E-2</v>
      </c>
      <c r="W116" s="312">
        <f t="shared" si="187"/>
        <v>1.6133505665234908E-2</v>
      </c>
      <c r="X116" s="312">
        <f t="shared" si="187"/>
        <v>1.5513337218976356E-2</v>
      </c>
      <c r="Y116" s="312">
        <f t="shared" si="187"/>
        <v>1.5324035898202214E-2</v>
      </c>
      <c r="Z116" s="312">
        <f t="shared" si="187"/>
        <v>1.5260914510445844E-2</v>
      </c>
      <c r="AA116" s="312">
        <f t="shared" si="187"/>
        <v>1.5171256036483411E-2</v>
      </c>
      <c r="AB116" s="312">
        <f t="shared" si="187"/>
        <v>1.5018851814281512E-2</v>
      </c>
      <c r="AC116" s="312">
        <f t="shared" si="187"/>
        <v>1.4854103865912066E-2</v>
      </c>
      <c r="AD116" s="312">
        <f t="shared" si="187"/>
        <v>1.9747761680444592E-2</v>
      </c>
      <c r="AE116" s="312">
        <f t="shared" si="187"/>
        <v>1.9256527354807793E-2</v>
      </c>
      <c r="AF116" s="312">
        <f t="shared" si="187"/>
        <v>1.4903457274339144E-2</v>
      </c>
      <c r="AG116" s="312">
        <f t="shared" si="187"/>
        <v>1.4749248549516716E-2</v>
      </c>
      <c r="AH116" s="314"/>
    </row>
    <row r="117" spans="1:34" s="7" customFormat="1">
      <c r="A117" s="95"/>
      <c r="B117" s="67"/>
      <c r="C117" s="64"/>
      <c r="D117" s="64"/>
      <c r="E117" s="88"/>
      <c r="F117" s="24"/>
      <c r="G117" s="68"/>
      <c r="H117" s="101"/>
      <c r="I117" s="58"/>
      <c r="J117" s="47"/>
      <c r="K117" s="47"/>
      <c r="L117" s="47"/>
      <c r="M117" s="47"/>
      <c r="N117" s="47"/>
      <c r="O117" s="47"/>
      <c r="P117" s="47"/>
      <c r="Q117" s="47"/>
      <c r="R117" s="47"/>
      <c r="S117" s="47"/>
      <c r="T117" s="47"/>
      <c r="V117" s="47"/>
      <c r="W117" s="47"/>
      <c r="X117" s="47"/>
      <c r="Y117" s="47"/>
      <c r="Z117" s="47"/>
      <c r="AA117" s="47"/>
      <c r="AB117" s="47"/>
      <c r="AC117" s="47"/>
      <c r="AD117" s="47"/>
      <c r="AE117" s="47"/>
      <c r="AF117" s="47"/>
      <c r="AG117" s="47"/>
    </row>
    <row r="118" spans="1:34" s="7" customFormat="1">
      <c r="A118" s="95"/>
      <c r="B118" s="479"/>
      <c r="C118" s="480"/>
      <c r="D118" s="480"/>
      <c r="E118" s="481"/>
      <c r="F118" s="482"/>
      <c r="G118" s="68"/>
      <c r="H118" s="255" t="s">
        <v>124</v>
      </c>
      <c r="I118" s="405"/>
      <c r="J118" s="108"/>
      <c r="K118" s="108"/>
      <c r="L118" s="108"/>
      <c r="M118" s="108"/>
      <c r="N118" s="108"/>
      <c r="O118" s="108"/>
      <c r="P118" s="108"/>
      <c r="Q118" s="108"/>
      <c r="R118" s="108"/>
      <c r="S118" s="108"/>
      <c r="T118" s="109"/>
      <c r="U118" s="109"/>
      <c r="V118" s="108"/>
      <c r="W118" s="108"/>
      <c r="X118" s="108"/>
      <c r="Y118" s="108"/>
      <c r="Z118" s="108"/>
      <c r="AA118" s="108"/>
      <c r="AB118" s="108"/>
      <c r="AC118" s="108"/>
      <c r="AD118" s="108"/>
      <c r="AE118" s="108"/>
      <c r="AF118" s="108"/>
      <c r="AG118" s="108"/>
      <c r="AH118" s="134"/>
    </row>
    <row r="119" spans="1:34" s="7" customFormat="1">
      <c r="A119" s="95"/>
      <c r="B119" s="67"/>
      <c r="C119" s="64"/>
      <c r="D119" s="64"/>
      <c r="E119" s="88"/>
      <c r="F119" s="24"/>
      <c r="G119" s="68"/>
      <c r="H119" s="320" t="s">
        <v>234</v>
      </c>
      <c r="I119" s="402">
        <f>I40</f>
        <v>8050</v>
      </c>
      <c r="J119" s="128">
        <f t="shared" ref="J119:T119" si="188">J40</f>
        <v>11607.749999999998</v>
      </c>
      <c r="K119" s="128">
        <f t="shared" si="188"/>
        <v>15756.389999999994</v>
      </c>
      <c r="L119" s="128">
        <f t="shared" si="188"/>
        <v>20555.271281249992</v>
      </c>
      <c r="M119" s="128">
        <f t="shared" si="188"/>
        <v>26013.837765937489</v>
      </c>
      <c r="N119" s="128">
        <f t="shared" si="188"/>
        <v>32192.8893482231</v>
      </c>
      <c r="O119" s="128">
        <f t="shared" si="188"/>
        <v>39154.345356963051</v>
      </c>
      <c r="P119" s="128">
        <f t="shared" si="188"/>
        <v>46961.258151262249</v>
      </c>
      <c r="Q119" s="128">
        <f t="shared" si="188"/>
        <v>55729.862202207143</v>
      </c>
      <c r="R119" s="128">
        <f t="shared" si="188"/>
        <v>65526.29778343824</v>
      </c>
      <c r="S119" s="128">
        <f t="shared" si="188"/>
        <v>76470.444605967394</v>
      </c>
      <c r="T119" s="522">
        <f t="shared" si="188"/>
        <v>88578.790571978243</v>
      </c>
      <c r="U119" s="105">
        <f>SUM(I119:T119)</f>
        <v>486597.13706722693</v>
      </c>
      <c r="V119" s="402">
        <f>V40</f>
        <v>102080.32161077144</v>
      </c>
      <c r="W119" s="128">
        <f t="shared" ref="W119:AG119" si="189">W40</f>
        <v>116781.6396911121</v>
      </c>
      <c r="X119" s="128">
        <f t="shared" si="189"/>
        <v>132806.97218933716</v>
      </c>
      <c r="Y119" s="128">
        <f t="shared" si="189"/>
        <v>150228.9736197785</v>
      </c>
      <c r="Z119" s="128">
        <f t="shared" si="189"/>
        <v>169175.71382931451</v>
      </c>
      <c r="AA119" s="128">
        <f t="shared" si="189"/>
        <v>189723.19817574753</v>
      </c>
      <c r="AB119" s="128">
        <f t="shared" si="189"/>
        <v>212112.82138215049</v>
      </c>
      <c r="AC119" s="128">
        <f t="shared" si="189"/>
        <v>236425.66554627445</v>
      </c>
      <c r="AD119" s="128">
        <f t="shared" si="189"/>
        <v>262744.16825500381</v>
      </c>
      <c r="AE119" s="128">
        <f t="shared" si="189"/>
        <v>291263.18044555897</v>
      </c>
      <c r="AF119" s="128">
        <f t="shared" si="189"/>
        <v>322292.75846450939</v>
      </c>
      <c r="AG119" s="128">
        <f t="shared" si="189"/>
        <v>355924.53231719392</v>
      </c>
      <c r="AH119" s="105">
        <f>SUM(V119:AG119)</f>
        <v>2541559.9455267526</v>
      </c>
    </row>
    <row r="120" spans="1:34" s="7" customFormat="1">
      <c r="A120" s="95"/>
      <c r="B120" s="67"/>
      <c r="C120" s="64"/>
      <c r="D120" s="64"/>
      <c r="E120" s="88"/>
      <c r="F120" s="24"/>
      <c r="G120" s="68"/>
      <c r="H120" s="320" t="s">
        <v>235</v>
      </c>
      <c r="I120" s="402">
        <f>I68</f>
        <v>9500</v>
      </c>
      <c r="J120" s="128">
        <f t="shared" ref="J120:T120" si="190">J68</f>
        <v>12059.999999999998</v>
      </c>
      <c r="K120" s="128">
        <f t="shared" si="190"/>
        <v>14897.868749999996</v>
      </c>
      <c r="L120" s="128">
        <f t="shared" si="190"/>
        <v>18271.352249999996</v>
      </c>
      <c r="M120" s="128">
        <f t="shared" si="190"/>
        <v>22188.273388593741</v>
      </c>
      <c r="N120" s="128">
        <f t="shared" si="190"/>
        <v>26656.532581331234</v>
      </c>
      <c r="O120" s="128">
        <f t="shared" si="190"/>
        <v>31168.919659161387</v>
      </c>
      <c r="P120" s="128">
        <f t="shared" si="190"/>
        <v>36761.293591396054</v>
      </c>
      <c r="Q120" s="128">
        <f t="shared" si="190"/>
        <v>42929.165561924303</v>
      </c>
      <c r="R120" s="128">
        <f t="shared" si="190"/>
        <v>49680.752509390579</v>
      </c>
      <c r="S120" s="128">
        <f t="shared" si="190"/>
        <v>57024.352163212854</v>
      </c>
      <c r="T120" s="522">
        <f t="shared" si="190"/>
        <v>65760.640585636851</v>
      </c>
      <c r="U120" s="105">
        <f>SUM(I120:T120)</f>
        <v>386899.15104064695</v>
      </c>
      <c r="V120" s="402">
        <f>V68</f>
        <v>75379.124642379393</v>
      </c>
      <c r="W120" s="128">
        <f t="shared" ref="W120:AG120" si="191">W68</f>
        <v>86159.135724598542</v>
      </c>
      <c r="X120" s="128">
        <f t="shared" si="191"/>
        <v>97849.303288470139</v>
      </c>
      <c r="Y120" s="128">
        <f t="shared" si="191"/>
        <v>110731.90128717539</v>
      </c>
      <c r="Z120" s="128">
        <f t="shared" si="191"/>
        <v>124553.18239674253</v>
      </c>
      <c r="AA120" s="128">
        <f t="shared" si="191"/>
        <v>139870.51615366369</v>
      </c>
      <c r="AB120" s="128">
        <f t="shared" si="191"/>
        <v>156158.35612326977</v>
      </c>
      <c r="AC120" s="128">
        <f t="shared" si="191"/>
        <v>173979.82595999981</v>
      </c>
      <c r="AD120" s="128">
        <f t="shared" si="191"/>
        <v>193632.94990197418</v>
      </c>
      <c r="AE120" s="128">
        <f t="shared" si="191"/>
        <v>215143.88567032828</v>
      </c>
      <c r="AF120" s="128">
        <f t="shared" si="191"/>
        <v>238260.05516680345</v>
      </c>
      <c r="AG120" s="128">
        <f t="shared" si="191"/>
        <v>263845.11179335107</v>
      </c>
      <c r="AH120" s="105">
        <f>SUM(V120:AG120)</f>
        <v>1875563.3481087566</v>
      </c>
    </row>
    <row r="121" spans="1:34" s="7" customFormat="1">
      <c r="A121" s="95"/>
      <c r="B121" s="67"/>
      <c r="C121" s="64"/>
      <c r="D121" s="64"/>
      <c r="E121" s="88"/>
      <c r="F121" s="24"/>
      <c r="G121" s="68"/>
      <c r="H121" s="320" t="s">
        <v>236</v>
      </c>
      <c r="I121" s="402">
        <f>(I75+I76)*I84</f>
        <v>180000</v>
      </c>
      <c r="J121" s="128">
        <f t="shared" ref="J121:T121" si="192">(J75+J76)*J84</f>
        <v>240000</v>
      </c>
      <c r="K121" s="128">
        <f t="shared" si="192"/>
        <v>240000</v>
      </c>
      <c r="L121" s="128">
        <f t="shared" si="192"/>
        <v>240000</v>
      </c>
      <c r="M121" s="128">
        <f t="shared" si="192"/>
        <v>240000</v>
      </c>
      <c r="N121" s="128">
        <f t="shared" si="192"/>
        <v>300000</v>
      </c>
      <c r="O121" s="128">
        <f t="shared" si="192"/>
        <v>300000</v>
      </c>
      <c r="P121" s="128">
        <f t="shared" si="192"/>
        <v>300000</v>
      </c>
      <c r="Q121" s="128">
        <f t="shared" si="192"/>
        <v>360000</v>
      </c>
      <c r="R121" s="128">
        <f t="shared" si="192"/>
        <v>360000</v>
      </c>
      <c r="S121" s="128">
        <f t="shared" si="192"/>
        <v>360000</v>
      </c>
      <c r="T121" s="522">
        <f t="shared" si="192"/>
        <v>360000</v>
      </c>
      <c r="U121" s="105">
        <f>SUM(I121:T121)</f>
        <v>3480000</v>
      </c>
      <c r="V121" s="402">
        <f>(V75+V76)*V84</f>
        <v>300000</v>
      </c>
      <c r="W121" s="128">
        <f t="shared" ref="W121:AG121" si="193">(W75+W76)*W84</f>
        <v>360000</v>
      </c>
      <c r="X121" s="128">
        <f t="shared" si="193"/>
        <v>360000</v>
      </c>
      <c r="Y121" s="128">
        <f t="shared" si="193"/>
        <v>360000</v>
      </c>
      <c r="Z121" s="128">
        <f t="shared" si="193"/>
        <v>360000</v>
      </c>
      <c r="AA121" s="128">
        <f t="shared" si="193"/>
        <v>420000</v>
      </c>
      <c r="AB121" s="128">
        <f t="shared" si="193"/>
        <v>420000</v>
      </c>
      <c r="AC121" s="128">
        <f t="shared" si="193"/>
        <v>480000</v>
      </c>
      <c r="AD121" s="128">
        <f t="shared" si="193"/>
        <v>540000</v>
      </c>
      <c r="AE121" s="128">
        <f t="shared" si="193"/>
        <v>540000</v>
      </c>
      <c r="AF121" s="128">
        <f t="shared" si="193"/>
        <v>540000</v>
      </c>
      <c r="AG121" s="128">
        <f t="shared" si="193"/>
        <v>600000</v>
      </c>
      <c r="AH121" s="105">
        <f>SUM(V121:AG121)</f>
        <v>5280000</v>
      </c>
    </row>
    <row r="122" spans="1:34" s="7" customFormat="1">
      <c r="A122" s="95"/>
      <c r="B122" s="67"/>
      <c r="C122" s="64"/>
      <c r="D122" s="64"/>
      <c r="E122" s="88"/>
      <c r="F122" s="24"/>
      <c r="G122" s="68"/>
      <c r="H122" s="320" t="s">
        <v>237</v>
      </c>
      <c r="I122" s="523">
        <f>I78*I85</f>
        <v>132000</v>
      </c>
      <c r="J122" s="524">
        <f t="shared" ref="J122:T122" si="194">J78*J85</f>
        <v>132000</v>
      </c>
      <c r="K122" s="524">
        <f t="shared" si="194"/>
        <v>132000</v>
      </c>
      <c r="L122" s="524">
        <f t="shared" si="194"/>
        <v>132000</v>
      </c>
      <c r="M122" s="524">
        <f t="shared" si="194"/>
        <v>132000</v>
      </c>
      <c r="N122" s="524">
        <f t="shared" si="194"/>
        <v>132000</v>
      </c>
      <c r="O122" s="524">
        <f t="shared" si="194"/>
        <v>132000</v>
      </c>
      <c r="P122" s="524">
        <f t="shared" si="194"/>
        <v>132000</v>
      </c>
      <c r="Q122" s="524">
        <f t="shared" si="194"/>
        <v>132000</v>
      </c>
      <c r="R122" s="524">
        <f>R78*R85</f>
        <v>132000</v>
      </c>
      <c r="S122" s="524">
        <f t="shared" si="194"/>
        <v>0</v>
      </c>
      <c r="T122" s="525">
        <f t="shared" si="194"/>
        <v>0</v>
      </c>
      <c r="U122" s="105">
        <f>SUM(I122:T122)</f>
        <v>1320000</v>
      </c>
      <c r="V122" s="402">
        <f>V78*V85</f>
        <v>264000</v>
      </c>
      <c r="W122" s="524">
        <f t="shared" ref="W122:AG122" si="195">W78*W85</f>
        <v>330000</v>
      </c>
      <c r="X122" s="524">
        <f t="shared" si="195"/>
        <v>330000</v>
      </c>
      <c r="Y122" s="524">
        <f t="shared" si="195"/>
        <v>330000</v>
      </c>
      <c r="Z122" s="524">
        <f t="shared" si="195"/>
        <v>330000</v>
      </c>
      <c r="AA122" s="524">
        <f t="shared" si="195"/>
        <v>396000</v>
      </c>
      <c r="AB122" s="524">
        <f t="shared" si="195"/>
        <v>396000</v>
      </c>
      <c r="AC122" s="524">
        <f t="shared" si="195"/>
        <v>396000</v>
      </c>
      <c r="AD122" s="524">
        <f t="shared" si="195"/>
        <v>396000</v>
      </c>
      <c r="AE122" s="524">
        <f t="shared" si="195"/>
        <v>396000</v>
      </c>
      <c r="AF122" s="524">
        <f t="shared" si="195"/>
        <v>330000</v>
      </c>
      <c r="AG122" s="128">
        <f t="shared" si="195"/>
        <v>330000</v>
      </c>
      <c r="AH122" s="105">
        <f>SUM(V122:AG122)</f>
        <v>4224000</v>
      </c>
    </row>
    <row r="123" spans="1:34" s="7" customFormat="1" ht="13" thickBot="1">
      <c r="A123" s="95"/>
      <c r="B123" s="483"/>
      <c r="C123" s="484"/>
      <c r="D123" s="484"/>
      <c r="E123" s="485"/>
      <c r="F123" s="486"/>
      <c r="G123" s="68"/>
      <c r="H123" s="321" t="s">
        <v>125</v>
      </c>
      <c r="I123" s="416">
        <f>SUM(I119:I122)</f>
        <v>329550</v>
      </c>
      <c r="J123" s="417">
        <f t="shared" ref="J123:T123" si="196">SUM(J119:J122)</f>
        <v>395667.75</v>
      </c>
      <c r="K123" s="417">
        <f t="shared" si="196"/>
        <v>402654.25874999998</v>
      </c>
      <c r="L123" s="417">
        <f t="shared" si="196"/>
        <v>410826.62353124999</v>
      </c>
      <c r="M123" s="417">
        <f t="shared" si="196"/>
        <v>420202.11115453125</v>
      </c>
      <c r="N123" s="417">
        <f t="shared" si="196"/>
        <v>490849.42192955432</v>
      </c>
      <c r="O123" s="417">
        <f t="shared" si="196"/>
        <v>502323.26501612447</v>
      </c>
      <c r="P123" s="417">
        <f t="shared" si="196"/>
        <v>515722.55174265831</v>
      </c>
      <c r="Q123" s="417">
        <f t="shared" si="196"/>
        <v>590659.02776413143</v>
      </c>
      <c r="R123" s="417">
        <f t="shared" si="196"/>
        <v>607207.05029282882</v>
      </c>
      <c r="S123" s="417">
        <f t="shared" si="196"/>
        <v>493494.79676918022</v>
      </c>
      <c r="T123" s="417">
        <f t="shared" si="196"/>
        <v>514339.43115761509</v>
      </c>
      <c r="U123" s="418">
        <f>SUM(I123:T123)</f>
        <v>5673496.2881078739</v>
      </c>
      <c r="V123" s="417">
        <f>SUM(V119:V122)</f>
        <v>741459.44625315082</v>
      </c>
      <c r="W123" s="417">
        <f t="shared" ref="W123" si="197">SUM(W119:W122)</f>
        <v>892940.77541571064</v>
      </c>
      <c r="X123" s="417">
        <f t="shared" ref="X123" si="198">SUM(X119:X122)</f>
        <v>920656.27547780727</v>
      </c>
      <c r="Y123" s="417">
        <f t="shared" ref="Y123" si="199">SUM(Y119:Y122)</f>
        <v>950960.87490695389</v>
      </c>
      <c r="Z123" s="417">
        <f t="shared" ref="Z123" si="200">SUM(Z119:Z122)</f>
        <v>983728.89622605708</v>
      </c>
      <c r="AA123" s="417">
        <f t="shared" ref="AA123" si="201">SUM(AA119:AA122)</f>
        <v>1145593.7143294113</v>
      </c>
      <c r="AB123" s="417">
        <f t="shared" ref="AB123" si="202">SUM(AB119:AB122)</f>
        <v>1184271.1775054203</v>
      </c>
      <c r="AC123" s="417">
        <f t="shared" ref="AC123" si="203">SUM(AC119:AC122)</f>
        <v>1286405.4915062743</v>
      </c>
      <c r="AD123" s="417">
        <f t="shared" ref="AD123" si="204">SUM(AD119:AD122)</f>
        <v>1392377.1181569779</v>
      </c>
      <c r="AE123" s="417">
        <f t="shared" ref="AE123" si="205">SUM(AE119:AE122)</f>
        <v>1442407.0661158874</v>
      </c>
      <c r="AF123" s="417">
        <f t="shared" ref="AF123" si="206">SUM(AF119:AF122)</f>
        <v>1430552.8136313129</v>
      </c>
      <c r="AG123" s="417">
        <f t="shared" ref="AG123" si="207">SUM(AG119:AG122)</f>
        <v>1549769.6441105451</v>
      </c>
      <c r="AH123" s="418">
        <f>SUM(V123:AG123)</f>
        <v>13921123.29363551</v>
      </c>
    </row>
    <row r="124" spans="1:34" s="7" customFormat="1">
      <c r="A124" s="95"/>
      <c r="B124" s="491"/>
      <c r="C124" s="492"/>
      <c r="D124" s="492"/>
      <c r="E124" s="493"/>
      <c r="F124" s="494"/>
      <c r="G124" s="68"/>
      <c r="H124" s="101"/>
      <c r="I124" s="47"/>
      <c r="J124" s="47"/>
      <c r="K124" s="47"/>
      <c r="L124" s="47"/>
      <c r="M124" s="47"/>
      <c r="N124" s="47"/>
      <c r="O124" s="47"/>
      <c r="P124" s="47"/>
      <c r="Q124" s="47"/>
      <c r="R124" s="47"/>
      <c r="S124" s="47"/>
      <c r="T124" s="47"/>
      <c r="V124" s="47"/>
      <c r="W124" s="47"/>
      <c r="X124" s="47"/>
      <c r="Y124" s="47"/>
      <c r="Z124" s="47"/>
      <c r="AA124" s="47"/>
      <c r="AB124" s="47"/>
      <c r="AC124" s="47"/>
      <c r="AD124" s="47"/>
      <c r="AE124" s="47"/>
      <c r="AF124" s="47"/>
      <c r="AG124" s="47"/>
    </row>
    <row r="125" spans="1:34" s="7" customFormat="1">
      <c r="A125" s="95"/>
      <c r="B125" s="279"/>
      <c r="C125" s="487"/>
      <c r="D125" s="487"/>
      <c r="E125" s="488"/>
      <c r="F125" s="495"/>
      <c r="G125" s="68"/>
      <c r="H125" s="540" t="s">
        <v>287</v>
      </c>
      <c r="I125" s="540"/>
      <c r="J125" s="540"/>
      <c r="K125" s="540"/>
      <c r="L125" s="47"/>
      <c r="M125" s="47"/>
      <c r="N125" s="47"/>
      <c r="O125" s="47"/>
      <c r="P125" s="47"/>
      <c r="Q125" s="47"/>
      <c r="R125" s="47"/>
      <c r="S125" s="47"/>
      <c r="T125" s="47"/>
      <c r="V125" s="539" t="s">
        <v>288</v>
      </c>
      <c r="W125" s="539"/>
      <c r="X125" s="539"/>
      <c r="Y125" s="539"/>
      <c r="Z125" s="539"/>
      <c r="AA125" s="539"/>
      <c r="AB125" s="539"/>
      <c r="AC125" s="539"/>
      <c r="AD125" s="539"/>
      <c r="AE125" s="539"/>
      <c r="AF125" s="539"/>
      <c r="AG125" s="539"/>
      <c r="AH125" s="539"/>
    </row>
    <row r="126" spans="1:34" s="7" customFormat="1">
      <c r="A126" s="95"/>
      <c r="B126" s="279"/>
      <c r="C126" s="487"/>
      <c r="D126" s="487"/>
      <c r="E126" s="488"/>
      <c r="F126" s="495"/>
      <c r="G126" s="68"/>
      <c r="H126" s="541" t="s">
        <v>291</v>
      </c>
      <c r="I126" s="541"/>
      <c r="J126" s="541"/>
      <c r="K126" s="541"/>
      <c r="L126" s="541"/>
      <c r="M126" s="47"/>
      <c r="N126" s="47"/>
      <c r="O126" s="47"/>
      <c r="P126" s="47"/>
      <c r="Q126" s="47"/>
      <c r="R126" s="47"/>
      <c r="S126" s="47"/>
      <c r="T126" s="47"/>
      <c r="V126" s="527"/>
      <c r="W126" s="527"/>
      <c r="X126" s="527"/>
      <c r="Y126" s="527"/>
      <c r="Z126" s="527"/>
      <c r="AA126" s="527"/>
      <c r="AB126" s="527"/>
      <c r="AC126" s="542" t="s">
        <v>286</v>
      </c>
      <c r="AD126" s="542"/>
      <c r="AE126" s="542"/>
      <c r="AF126" s="542"/>
      <c r="AG126" s="542"/>
      <c r="AH126" s="542"/>
    </row>
    <row r="127" spans="1:34" s="7" customFormat="1">
      <c r="A127" s="95"/>
      <c r="B127" s="279"/>
      <c r="C127" s="487"/>
      <c r="D127" s="487"/>
      <c r="E127" s="488"/>
      <c r="F127" s="495"/>
      <c r="G127" s="68"/>
      <c r="H127" s="101"/>
      <c r="I127" s="47"/>
      <c r="J127" s="47"/>
      <c r="K127" s="47"/>
      <c r="L127" s="47"/>
      <c r="M127" s="47"/>
      <c r="N127" s="47"/>
      <c r="O127" s="47"/>
      <c r="P127" s="47"/>
      <c r="Q127" s="47"/>
      <c r="R127" s="47"/>
      <c r="S127" s="47"/>
      <c r="T127" s="47"/>
      <c r="V127" s="47"/>
      <c r="W127" s="47"/>
      <c r="X127" s="47"/>
      <c r="Y127" s="47"/>
      <c r="Z127" s="47"/>
      <c r="AA127" s="47"/>
      <c r="AB127" s="47"/>
      <c r="AC127" s="47"/>
      <c r="AD127" s="47"/>
      <c r="AE127" s="47"/>
      <c r="AF127" s="47"/>
      <c r="AG127" s="47"/>
    </row>
    <row r="128" spans="1:34" s="7" customFormat="1">
      <c r="A128" s="95"/>
      <c r="B128" s="279"/>
      <c r="C128" s="487"/>
      <c r="D128" s="487"/>
      <c r="E128" s="488"/>
      <c r="F128" s="495"/>
      <c r="G128" s="68"/>
      <c r="H128" s="101"/>
      <c r="I128" s="47"/>
      <c r="J128" s="47"/>
      <c r="K128" s="47"/>
      <c r="L128" s="47"/>
      <c r="M128" s="47"/>
      <c r="N128" s="47"/>
      <c r="O128" s="47"/>
      <c r="P128" s="47"/>
      <c r="Q128" s="47"/>
      <c r="R128" s="47"/>
      <c r="S128" s="47"/>
      <c r="T128" s="47"/>
      <c r="V128" s="47"/>
      <c r="W128" s="47"/>
      <c r="X128" s="47"/>
      <c r="Y128" s="47"/>
      <c r="Z128" s="47"/>
      <c r="AA128" s="47"/>
      <c r="AB128" s="47"/>
      <c r="AC128" s="47"/>
      <c r="AD128" s="47"/>
      <c r="AE128" s="47"/>
      <c r="AF128" s="47"/>
      <c r="AG128" s="47"/>
    </row>
    <row r="129" spans="1:53" s="7" customFormat="1">
      <c r="A129" s="95"/>
      <c r="B129" s="279"/>
      <c r="C129" s="487"/>
      <c r="D129" s="487"/>
      <c r="E129" s="488"/>
      <c r="F129" s="495"/>
      <c r="G129" s="68"/>
      <c r="H129" s="101"/>
      <c r="I129" s="47"/>
      <c r="J129" s="47"/>
      <c r="K129" s="47"/>
      <c r="L129" s="47"/>
      <c r="M129" s="47"/>
      <c r="N129" s="47"/>
      <c r="O129" s="47"/>
      <c r="P129" s="47"/>
      <c r="Q129" s="47"/>
      <c r="R129" s="47"/>
      <c r="S129" s="47"/>
      <c r="T129" s="47"/>
      <c r="V129" s="47"/>
      <c r="W129" s="47"/>
      <c r="X129" s="47"/>
      <c r="Y129" s="47"/>
      <c r="Z129" s="47"/>
      <c r="AA129" s="47"/>
      <c r="AB129" s="47"/>
      <c r="AC129" s="47"/>
      <c r="AD129" s="47"/>
      <c r="AE129" s="47"/>
      <c r="AF129" s="47"/>
      <c r="AG129" s="47"/>
    </row>
    <row r="130" spans="1:53">
      <c r="B130" s="68"/>
      <c r="C130" s="489"/>
      <c r="D130" s="489"/>
      <c r="E130" s="490"/>
      <c r="F130" s="496"/>
      <c r="G130" s="7"/>
      <c r="H130" s="7"/>
      <c r="I130" s="7"/>
      <c r="J130" s="7"/>
      <c r="K130" s="7"/>
      <c r="L130" s="7"/>
      <c r="M130" s="7"/>
      <c r="N130" s="7"/>
      <c r="O130" s="7"/>
      <c r="P130" s="7"/>
      <c r="Q130" s="7"/>
      <c r="R130" s="7"/>
      <c r="S130" s="7"/>
      <c r="T130" s="7"/>
      <c r="U130" s="7"/>
      <c r="AE130" s="7"/>
      <c r="AF130" s="7"/>
      <c r="AG130" s="7"/>
      <c r="AH130" s="7"/>
      <c r="AP130" s="7"/>
      <c r="AQ130" s="7"/>
      <c r="AR130" s="7"/>
      <c r="AS130" s="7"/>
      <c r="AT130" s="7"/>
      <c r="AU130" s="7"/>
      <c r="AV130" s="7"/>
      <c r="AW130" s="7"/>
      <c r="AX130" s="7"/>
      <c r="AY130" s="7"/>
      <c r="AZ130" s="7"/>
      <c r="BA130" s="7"/>
    </row>
    <row r="131" spans="1:53">
      <c r="B131" s="68"/>
      <c r="C131" s="489"/>
      <c r="D131" s="489"/>
      <c r="E131" s="490"/>
      <c r="F131" s="496"/>
      <c r="G131" s="7"/>
      <c r="H131" s="7"/>
      <c r="I131" s="7"/>
      <c r="J131" s="7"/>
      <c r="K131" s="7"/>
      <c r="L131" s="7"/>
      <c r="M131" s="7"/>
      <c r="N131" s="7"/>
      <c r="O131" s="7"/>
      <c r="P131" s="7"/>
      <c r="Q131" s="7"/>
      <c r="R131" s="7"/>
      <c r="S131" s="7"/>
      <c r="T131" s="7"/>
      <c r="U131" s="7"/>
      <c r="AE131" s="7"/>
      <c r="AF131" s="7"/>
      <c r="AG131" s="7"/>
      <c r="AH131" s="7"/>
      <c r="AP131" s="7"/>
      <c r="AQ131" s="7"/>
      <c r="AR131" s="7"/>
      <c r="AS131" s="7"/>
      <c r="AT131" s="7"/>
      <c r="AU131" s="7"/>
      <c r="AV131" s="7"/>
      <c r="AW131" s="7"/>
      <c r="AX131" s="7"/>
      <c r="AY131" s="7"/>
      <c r="AZ131" s="7"/>
      <c r="BA131" s="7"/>
    </row>
    <row r="132" spans="1:53">
      <c r="B132" s="68"/>
      <c r="C132" s="489"/>
      <c r="D132" s="489"/>
      <c r="E132" s="490"/>
      <c r="F132" s="496"/>
      <c r="G132" s="7"/>
      <c r="H132" s="7"/>
      <c r="I132" s="7"/>
      <c r="J132" s="7"/>
      <c r="K132" s="7"/>
      <c r="L132" s="7"/>
      <c r="M132" s="7"/>
      <c r="N132" s="7"/>
      <c r="O132" s="7"/>
      <c r="P132" s="7"/>
      <c r="Q132" s="7"/>
      <c r="R132" s="7"/>
      <c r="S132" s="7"/>
      <c r="T132" s="7"/>
      <c r="U132" s="7"/>
      <c r="AE132" s="7"/>
      <c r="AF132" s="7"/>
      <c r="AG132" s="7"/>
      <c r="AH132" s="7"/>
      <c r="AP132" s="7"/>
      <c r="AQ132" s="7"/>
      <c r="AR132" s="7"/>
      <c r="AS132" s="7"/>
      <c r="AT132" s="7"/>
      <c r="AU132" s="7"/>
      <c r="AV132" s="7"/>
      <c r="AW132" s="7"/>
      <c r="AX132" s="7"/>
      <c r="AY132" s="7"/>
      <c r="AZ132" s="7"/>
      <c r="BA132" s="7"/>
    </row>
    <row r="133" spans="1:53">
      <c r="B133" s="68"/>
      <c r="C133" s="489"/>
      <c r="D133" s="489"/>
      <c r="E133" s="490"/>
      <c r="F133" s="496"/>
      <c r="G133" s="7"/>
      <c r="H133" s="7"/>
      <c r="I133" s="7"/>
      <c r="J133" s="7"/>
      <c r="K133" s="7"/>
      <c r="L133" s="7"/>
      <c r="M133" s="7"/>
      <c r="N133" s="7"/>
      <c r="O133" s="7"/>
      <c r="P133" s="7"/>
      <c r="Q133" s="7"/>
      <c r="R133" s="7"/>
      <c r="S133" s="7"/>
      <c r="T133" s="7"/>
      <c r="U133" s="7"/>
      <c r="AE133" s="7"/>
      <c r="AF133" s="7"/>
      <c r="AG133" s="7"/>
      <c r="AH133" s="7"/>
      <c r="AP133" s="7"/>
      <c r="AQ133" s="7"/>
      <c r="AR133" s="7"/>
      <c r="AS133" s="7"/>
      <c r="AT133" s="7"/>
      <c r="AU133" s="7"/>
      <c r="AV133" s="7"/>
      <c r="AW133" s="7"/>
      <c r="AX133" s="7"/>
      <c r="AY133" s="7"/>
      <c r="AZ133" s="7"/>
      <c r="BA133" s="7"/>
    </row>
    <row r="134" spans="1:53">
      <c r="B134" s="68"/>
      <c r="C134" s="489"/>
      <c r="D134" s="489"/>
      <c r="E134" s="490"/>
      <c r="F134" s="496"/>
      <c r="G134" s="7"/>
      <c r="H134" s="7"/>
      <c r="I134" s="7"/>
      <c r="J134" s="7"/>
      <c r="K134" s="7"/>
      <c r="L134" s="7"/>
      <c r="M134" s="7"/>
      <c r="N134" s="7"/>
      <c r="O134" s="7"/>
      <c r="P134" s="7"/>
      <c r="Q134" s="7"/>
      <c r="R134" s="7"/>
      <c r="S134" s="7"/>
      <c r="T134" s="7"/>
      <c r="U134" s="7"/>
      <c r="AE134" s="7"/>
      <c r="AF134" s="7"/>
      <c r="AG134" s="7"/>
      <c r="AH134" s="7"/>
      <c r="AP134" s="7"/>
      <c r="AQ134" s="7"/>
      <c r="AR134" s="7"/>
      <c r="AS134" s="7"/>
      <c r="AT134" s="7"/>
      <c r="AU134" s="7"/>
      <c r="AV134" s="7"/>
      <c r="AW134" s="7"/>
      <c r="AX134" s="7"/>
      <c r="AY134" s="7"/>
      <c r="AZ134" s="7"/>
      <c r="BA134" s="7"/>
    </row>
    <row r="135" spans="1:53">
      <c r="B135" s="68"/>
      <c r="C135" s="489"/>
      <c r="D135" s="489"/>
      <c r="E135" s="490"/>
      <c r="F135" s="496"/>
      <c r="G135" s="7"/>
      <c r="H135" s="7"/>
      <c r="I135" s="7"/>
      <c r="J135" s="7"/>
      <c r="K135" s="7"/>
      <c r="L135" s="7"/>
      <c r="M135" s="7"/>
      <c r="N135" s="7"/>
      <c r="O135" s="7"/>
      <c r="P135" s="7"/>
      <c r="Q135" s="7"/>
      <c r="R135" s="7"/>
      <c r="S135" s="7"/>
      <c r="T135" s="7"/>
      <c r="U135" s="7"/>
      <c r="AE135" s="7"/>
      <c r="AF135" s="7"/>
      <c r="AG135" s="7"/>
      <c r="AH135" s="7"/>
      <c r="AP135" s="7"/>
      <c r="AQ135" s="7"/>
      <c r="AR135" s="7"/>
      <c r="AS135" s="7"/>
      <c r="AT135" s="7"/>
      <c r="AU135" s="7"/>
      <c r="AV135" s="7"/>
      <c r="AW135" s="7"/>
      <c r="AX135" s="7"/>
      <c r="AY135" s="7"/>
      <c r="AZ135" s="7"/>
      <c r="BA135" s="7"/>
    </row>
    <row r="136" spans="1:53">
      <c r="B136" s="7"/>
      <c r="C136" s="489"/>
      <c r="D136" s="489"/>
      <c r="E136" s="490"/>
      <c r="F136" s="490"/>
      <c r="G136" s="7"/>
      <c r="H136" s="7"/>
      <c r="I136" s="7"/>
      <c r="J136" s="7"/>
      <c r="K136" s="7"/>
      <c r="L136" s="7"/>
      <c r="M136" s="7"/>
      <c r="N136" s="7"/>
      <c r="O136" s="7"/>
      <c r="P136" s="7"/>
      <c r="Q136" s="7"/>
      <c r="R136" s="7"/>
      <c r="S136" s="7"/>
      <c r="T136" s="7"/>
      <c r="U136" s="7"/>
      <c r="AE136" s="7"/>
      <c r="AF136" s="7"/>
      <c r="AG136" s="7"/>
      <c r="AH136" s="7"/>
      <c r="AP136" s="7"/>
      <c r="AQ136" s="7"/>
      <c r="AR136" s="7"/>
      <c r="AS136" s="7"/>
      <c r="AT136" s="7"/>
      <c r="AU136" s="7"/>
      <c r="AV136" s="7"/>
      <c r="AW136" s="7"/>
      <c r="AX136" s="7"/>
      <c r="AY136" s="7"/>
      <c r="AZ136" s="7"/>
      <c r="BA136" s="7"/>
    </row>
    <row r="137" spans="1:53">
      <c r="B137" s="7"/>
      <c r="C137" s="489"/>
      <c r="D137" s="489"/>
      <c r="E137" s="490"/>
      <c r="F137" s="490"/>
      <c r="G137" s="7"/>
      <c r="H137" s="7"/>
      <c r="I137" s="7"/>
      <c r="J137" s="7"/>
      <c r="K137" s="7"/>
      <c r="L137" s="7"/>
      <c r="M137" s="7"/>
      <c r="N137" s="7"/>
      <c r="O137" s="7"/>
      <c r="P137" s="7"/>
      <c r="Q137" s="7"/>
      <c r="R137" s="7"/>
      <c r="S137" s="7"/>
      <c r="T137" s="7"/>
      <c r="U137" s="7"/>
      <c r="AE137" s="7"/>
      <c r="AF137" s="7"/>
      <c r="AG137" s="7"/>
      <c r="AH137" s="7"/>
      <c r="AP137" s="7"/>
      <c r="AQ137" s="7"/>
      <c r="AR137" s="7"/>
      <c r="AS137" s="7"/>
      <c r="AT137" s="7"/>
      <c r="AU137" s="7"/>
      <c r="AV137" s="7"/>
      <c r="AW137" s="7"/>
      <c r="AX137" s="7"/>
      <c r="AY137" s="7"/>
      <c r="AZ137" s="7"/>
      <c r="BA137" s="7"/>
    </row>
    <row r="138" spans="1:53">
      <c r="B138" s="7"/>
      <c r="C138" s="489"/>
      <c r="D138" s="489"/>
      <c r="E138" s="490"/>
      <c r="F138" s="490"/>
      <c r="G138" s="7"/>
      <c r="H138" s="7"/>
      <c r="I138" s="7"/>
      <c r="J138" s="7"/>
      <c r="K138" s="7"/>
      <c r="L138" s="7"/>
      <c r="M138" s="7"/>
      <c r="N138" s="7"/>
      <c r="O138" s="7"/>
      <c r="P138" s="7"/>
      <c r="Q138" s="7"/>
      <c r="R138" s="7"/>
      <c r="S138" s="7"/>
      <c r="T138" s="7"/>
      <c r="U138" s="7"/>
      <c r="AE138" s="7"/>
      <c r="AF138" s="7"/>
      <c r="AG138" s="7"/>
      <c r="AH138" s="7"/>
      <c r="AP138" s="7"/>
      <c r="AQ138" s="7"/>
      <c r="AR138" s="7"/>
      <c r="AS138" s="7"/>
      <c r="AT138" s="7"/>
      <c r="AU138" s="7"/>
      <c r="AV138" s="7"/>
      <c r="AW138" s="7"/>
      <c r="AX138" s="7"/>
      <c r="AY138" s="7"/>
      <c r="AZ138" s="7"/>
      <c r="BA138" s="7"/>
    </row>
    <row r="139" spans="1:53">
      <c r="B139" s="7"/>
      <c r="C139" s="489"/>
      <c r="D139" s="489"/>
      <c r="E139" s="490"/>
      <c r="F139" s="490"/>
      <c r="G139" s="7"/>
      <c r="H139" s="7"/>
      <c r="I139" s="7"/>
      <c r="J139" s="7"/>
      <c r="K139" s="7"/>
      <c r="L139" s="7"/>
      <c r="M139" s="7"/>
      <c r="N139" s="7"/>
      <c r="O139" s="7"/>
      <c r="P139" s="7"/>
      <c r="Q139" s="7"/>
      <c r="R139" s="7"/>
      <c r="S139" s="7"/>
      <c r="T139" s="7"/>
      <c r="U139" s="7"/>
      <c r="AE139" s="7"/>
      <c r="AF139" s="7"/>
      <c r="AG139" s="7"/>
      <c r="AH139" s="7"/>
      <c r="AP139" s="7"/>
      <c r="AQ139" s="7"/>
      <c r="AR139" s="7"/>
      <c r="AS139" s="7"/>
      <c r="AT139" s="7"/>
      <c r="AU139" s="7"/>
      <c r="AV139" s="7"/>
      <c r="AW139" s="7"/>
      <c r="AX139" s="7"/>
      <c r="AY139" s="7"/>
      <c r="AZ139" s="7"/>
      <c r="BA139" s="7"/>
    </row>
    <row r="140" spans="1:53">
      <c r="B140" s="7"/>
      <c r="C140" s="489"/>
      <c r="D140" s="489"/>
      <c r="E140" s="490"/>
      <c r="F140" s="490"/>
      <c r="G140" s="7"/>
      <c r="H140" s="7"/>
      <c r="I140" s="7"/>
      <c r="J140" s="7"/>
      <c r="K140" s="7"/>
      <c r="L140" s="7"/>
      <c r="M140" s="7"/>
      <c r="N140" s="7"/>
      <c r="O140" s="7"/>
      <c r="P140" s="7"/>
      <c r="Q140" s="7"/>
      <c r="R140" s="7"/>
      <c r="S140" s="7"/>
      <c r="T140" s="7"/>
      <c r="U140" s="7"/>
      <c r="AE140" s="7"/>
      <c r="AF140" s="7"/>
      <c r="AG140" s="7"/>
      <c r="AH140" s="7"/>
      <c r="AP140" s="7"/>
      <c r="AQ140" s="7"/>
      <c r="AR140" s="7"/>
      <c r="AS140" s="7"/>
      <c r="AT140" s="7"/>
      <c r="AU140" s="7"/>
      <c r="AV140" s="7"/>
      <c r="AW140" s="7"/>
      <c r="AX140" s="7"/>
      <c r="AY140" s="7"/>
      <c r="AZ140" s="7"/>
      <c r="BA140" s="7"/>
    </row>
    <row r="141" spans="1:53">
      <c r="B141" s="7"/>
      <c r="C141" s="489"/>
      <c r="D141" s="489"/>
      <c r="E141" s="490"/>
      <c r="F141" s="490"/>
      <c r="G141" s="7"/>
      <c r="H141" s="7"/>
      <c r="I141" s="7"/>
      <c r="J141" s="7"/>
      <c r="K141" s="7"/>
      <c r="L141" s="7"/>
      <c r="M141" s="7"/>
      <c r="N141" s="7"/>
      <c r="O141" s="7"/>
      <c r="P141" s="7"/>
      <c r="Q141" s="7"/>
      <c r="R141" s="7"/>
      <c r="S141" s="7"/>
      <c r="T141" s="7"/>
      <c r="U141" s="7"/>
      <c r="AE141" s="7"/>
      <c r="AF141" s="7"/>
      <c r="AG141" s="7"/>
      <c r="AH141" s="7"/>
      <c r="AP141" s="7"/>
      <c r="AQ141" s="7"/>
      <c r="AR141" s="7"/>
      <c r="AS141" s="7"/>
      <c r="AT141" s="7"/>
      <c r="AU141" s="7"/>
      <c r="AV141" s="7"/>
      <c r="AW141" s="7"/>
      <c r="AX141" s="7"/>
      <c r="AY141" s="7"/>
      <c r="AZ141" s="7"/>
      <c r="BA141" s="7"/>
    </row>
    <row r="142" spans="1:53">
      <c r="B142" s="7"/>
      <c r="C142" s="489"/>
      <c r="D142" s="489"/>
      <c r="E142" s="490"/>
      <c r="F142" s="490"/>
      <c r="G142" s="7"/>
      <c r="H142" s="7"/>
      <c r="I142" s="7"/>
      <c r="J142" s="7"/>
      <c r="K142" s="7"/>
      <c r="L142" s="7"/>
      <c r="M142" s="7"/>
      <c r="N142" s="7"/>
      <c r="O142" s="7"/>
      <c r="P142" s="7"/>
      <c r="Q142" s="7"/>
      <c r="R142" s="7"/>
      <c r="S142" s="7"/>
      <c r="T142" s="7"/>
      <c r="U142" s="7"/>
      <c r="AE142" s="7"/>
      <c r="AF142" s="7"/>
      <c r="AG142" s="7"/>
      <c r="AH142" s="7"/>
      <c r="AP142" s="7"/>
      <c r="AQ142" s="7"/>
      <c r="AR142" s="7"/>
      <c r="AS142" s="7"/>
      <c r="AT142" s="7"/>
      <c r="AU142" s="7"/>
      <c r="AV142" s="7"/>
      <c r="AW142" s="7"/>
      <c r="AX142" s="7"/>
      <c r="AY142" s="7"/>
      <c r="AZ142" s="7"/>
      <c r="BA142" s="7"/>
    </row>
    <row r="143" spans="1:53">
      <c r="B143" s="7"/>
      <c r="C143" s="489"/>
      <c r="D143" s="489"/>
      <c r="E143" s="490"/>
      <c r="F143" s="490"/>
      <c r="G143" s="7"/>
      <c r="H143" s="7"/>
      <c r="I143" s="7"/>
      <c r="J143" s="7"/>
      <c r="K143" s="7"/>
      <c r="L143" s="7"/>
      <c r="M143" s="7"/>
      <c r="N143" s="7"/>
      <c r="O143" s="7"/>
      <c r="P143" s="7"/>
      <c r="Q143" s="7"/>
      <c r="R143" s="7"/>
      <c r="S143" s="7"/>
      <c r="T143" s="7"/>
      <c r="U143" s="7"/>
      <c r="AE143" s="7"/>
      <c r="AF143" s="7"/>
      <c r="AG143" s="7"/>
      <c r="AH143" s="7"/>
      <c r="AP143" s="7"/>
      <c r="AQ143" s="7"/>
      <c r="AR143" s="7"/>
      <c r="AS143" s="7"/>
      <c r="AT143" s="7"/>
      <c r="AU143" s="7"/>
      <c r="AV143" s="7"/>
      <c r="AW143" s="7"/>
      <c r="AX143" s="7"/>
      <c r="AY143" s="7"/>
      <c r="AZ143" s="7"/>
      <c r="BA143" s="7"/>
    </row>
    <row r="144" spans="1:53">
      <c r="B144" s="7"/>
      <c r="C144" s="489"/>
      <c r="D144" s="489"/>
      <c r="E144" s="490"/>
      <c r="F144" s="490"/>
      <c r="G144" s="7"/>
      <c r="H144" s="7"/>
      <c r="I144" s="7"/>
      <c r="J144" s="7"/>
      <c r="K144" s="7"/>
      <c r="L144" s="7"/>
      <c r="M144" s="7"/>
      <c r="N144" s="7"/>
      <c r="O144" s="7"/>
      <c r="P144" s="7"/>
      <c r="Q144" s="7"/>
      <c r="R144" s="7"/>
      <c r="S144" s="7"/>
      <c r="T144" s="7"/>
      <c r="U144" s="7"/>
      <c r="AE144" s="7"/>
      <c r="AF144" s="7"/>
      <c r="AG144" s="7"/>
      <c r="AH144" s="7"/>
      <c r="AP144" s="7"/>
      <c r="AQ144" s="7"/>
      <c r="AR144" s="7"/>
      <c r="AS144" s="7"/>
      <c r="AT144" s="7"/>
      <c r="AU144" s="7"/>
      <c r="AV144" s="7"/>
      <c r="AW144" s="7"/>
      <c r="AX144" s="7"/>
      <c r="AY144" s="7"/>
      <c r="AZ144" s="7"/>
      <c r="BA144" s="7"/>
    </row>
    <row r="145" spans="2:53">
      <c r="B145" s="7"/>
      <c r="C145" s="489"/>
      <c r="D145" s="489"/>
      <c r="E145" s="490"/>
      <c r="F145" s="490"/>
      <c r="G145" s="7"/>
      <c r="H145" s="7"/>
      <c r="I145" s="7"/>
      <c r="J145" s="7"/>
      <c r="K145" s="7"/>
      <c r="L145" s="7"/>
      <c r="M145" s="7"/>
      <c r="N145" s="7"/>
      <c r="O145" s="7"/>
      <c r="P145" s="7"/>
      <c r="Q145" s="7"/>
      <c r="R145" s="7"/>
      <c r="S145" s="7"/>
      <c r="T145" s="7"/>
      <c r="U145" s="7"/>
      <c r="AE145" s="7"/>
      <c r="AF145" s="7"/>
      <c r="AG145" s="7"/>
      <c r="AH145" s="7"/>
      <c r="AP145" s="7"/>
      <c r="AQ145" s="7"/>
      <c r="AR145" s="7"/>
      <c r="AS145" s="7"/>
      <c r="AT145" s="7"/>
      <c r="AU145" s="7"/>
      <c r="AV145" s="7"/>
      <c r="AW145" s="7"/>
      <c r="AX145" s="7"/>
      <c r="AY145" s="7"/>
      <c r="AZ145" s="7"/>
      <c r="BA145" s="7"/>
    </row>
    <row r="146" spans="2:53">
      <c r="B146" s="7"/>
      <c r="C146" s="489"/>
      <c r="D146" s="489"/>
      <c r="E146" s="490"/>
      <c r="F146" s="490"/>
      <c r="G146" s="7"/>
      <c r="H146" s="7"/>
      <c r="I146" s="7"/>
      <c r="J146" s="7"/>
      <c r="K146" s="7"/>
      <c r="L146" s="7"/>
      <c r="M146" s="7"/>
      <c r="N146" s="7"/>
      <c r="O146" s="7"/>
      <c r="P146" s="7"/>
      <c r="Q146" s="7"/>
      <c r="R146" s="7"/>
      <c r="S146" s="7"/>
      <c r="T146" s="7"/>
      <c r="U146" s="7"/>
      <c r="AE146" s="7"/>
      <c r="AF146" s="7"/>
      <c r="AG146" s="7"/>
      <c r="AH146" s="7"/>
      <c r="AP146" s="7"/>
      <c r="AQ146" s="7"/>
      <c r="AR146" s="7"/>
      <c r="AS146" s="7"/>
      <c r="AT146" s="7"/>
      <c r="AU146" s="7"/>
      <c r="AV146" s="7"/>
      <c r="AW146" s="7"/>
      <c r="AX146" s="7"/>
      <c r="AY146" s="7"/>
      <c r="AZ146" s="7"/>
      <c r="BA146" s="7"/>
    </row>
    <row r="147" spans="2:53">
      <c r="B147" s="7"/>
      <c r="C147" s="489"/>
      <c r="D147" s="489"/>
      <c r="E147" s="490"/>
      <c r="F147" s="490"/>
      <c r="G147" s="7"/>
      <c r="H147" s="7"/>
      <c r="I147" s="7"/>
      <c r="J147" s="7"/>
      <c r="K147" s="7"/>
      <c r="L147" s="7"/>
      <c r="M147" s="7"/>
      <c r="N147" s="7"/>
      <c r="O147" s="7"/>
      <c r="P147" s="7"/>
      <c r="Q147" s="7"/>
      <c r="R147" s="7"/>
      <c r="S147" s="7"/>
      <c r="T147" s="7"/>
      <c r="U147" s="7"/>
      <c r="AE147" s="7"/>
      <c r="AF147" s="7"/>
      <c r="AG147" s="7"/>
      <c r="AH147" s="7"/>
      <c r="AP147" s="7"/>
      <c r="AQ147" s="7"/>
      <c r="AR147" s="7"/>
      <c r="AS147" s="7"/>
      <c r="AT147" s="7"/>
      <c r="AU147" s="7"/>
      <c r="AV147" s="7"/>
      <c r="AW147" s="7"/>
      <c r="AX147" s="7"/>
      <c r="AY147" s="7"/>
      <c r="AZ147" s="7"/>
      <c r="BA147" s="7"/>
    </row>
    <row r="148" spans="2:53">
      <c r="B148" s="7"/>
      <c r="C148" s="489"/>
      <c r="D148" s="489"/>
      <c r="E148" s="490"/>
      <c r="F148" s="490"/>
      <c r="G148" s="7"/>
      <c r="H148" s="7"/>
      <c r="I148" s="7"/>
      <c r="J148" s="7"/>
      <c r="K148" s="7"/>
      <c r="L148" s="7"/>
      <c r="M148" s="7"/>
      <c r="N148" s="7"/>
      <c r="O148" s="7"/>
      <c r="P148" s="7"/>
      <c r="Q148" s="7"/>
      <c r="R148" s="7"/>
      <c r="S148" s="7"/>
      <c r="T148" s="7"/>
      <c r="U148" s="7"/>
      <c r="AE148" s="7"/>
      <c r="AF148" s="7"/>
      <c r="AG148" s="7"/>
      <c r="AH148" s="7"/>
      <c r="AP148" s="7"/>
      <c r="AQ148" s="7"/>
      <c r="AR148" s="7"/>
      <c r="AS148" s="7"/>
      <c r="AT148" s="7"/>
      <c r="AU148" s="7"/>
      <c r="AV148" s="7"/>
      <c r="AW148" s="7"/>
      <c r="AX148" s="7"/>
      <c r="AY148" s="7"/>
      <c r="AZ148" s="7"/>
      <c r="BA148" s="7"/>
    </row>
    <row r="149" spans="2:53">
      <c r="B149" s="7"/>
      <c r="C149" s="489"/>
      <c r="D149" s="489"/>
      <c r="E149" s="490"/>
      <c r="F149" s="490"/>
      <c r="G149" s="7"/>
      <c r="H149" s="7"/>
      <c r="I149" s="7"/>
      <c r="J149" s="7"/>
      <c r="K149" s="7"/>
      <c r="L149" s="7"/>
      <c r="M149" s="7"/>
      <c r="N149" s="7"/>
      <c r="O149" s="7"/>
      <c r="P149" s="7"/>
      <c r="Q149" s="7"/>
      <c r="R149" s="7"/>
      <c r="S149" s="7"/>
      <c r="T149" s="7"/>
      <c r="U149" s="7"/>
      <c r="AE149" s="7"/>
      <c r="AF149" s="7"/>
      <c r="AG149" s="7"/>
      <c r="AH149" s="7"/>
      <c r="AP149" s="7"/>
      <c r="AQ149" s="7"/>
      <c r="AR149" s="7"/>
      <c r="AS149" s="7"/>
      <c r="AT149" s="7"/>
      <c r="AU149" s="7"/>
      <c r="AV149" s="7"/>
      <c r="AW149" s="7"/>
      <c r="AX149" s="7"/>
      <c r="AY149" s="7"/>
      <c r="AZ149" s="7"/>
      <c r="BA149" s="7"/>
    </row>
    <row r="150" spans="2:53">
      <c r="B150" s="7"/>
      <c r="C150" s="489"/>
      <c r="D150" s="489"/>
      <c r="E150" s="490"/>
      <c r="F150" s="490"/>
      <c r="G150" s="7"/>
      <c r="H150" s="7"/>
      <c r="I150" s="7"/>
      <c r="J150" s="7"/>
      <c r="K150" s="7"/>
      <c r="L150" s="7"/>
      <c r="M150" s="7"/>
      <c r="N150" s="7"/>
      <c r="O150" s="7"/>
      <c r="P150" s="7"/>
      <c r="Q150" s="7"/>
      <c r="R150" s="7"/>
      <c r="S150" s="7"/>
      <c r="T150" s="7"/>
      <c r="U150" s="7"/>
      <c r="AE150" s="7"/>
      <c r="AF150" s="7"/>
      <c r="AG150" s="7"/>
      <c r="AH150" s="7"/>
      <c r="AP150" s="7"/>
      <c r="AQ150" s="7"/>
      <c r="AR150" s="7"/>
      <c r="AS150" s="7"/>
      <c r="AT150" s="7"/>
      <c r="AU150" s="7"/>
      <c r="AV150" s="7"/>
      <c r="AW150" s="7"/>
      <c r="AX150" s="7"/>
      <c r="AY150" s="7"/>
      <c r="AZ150" s="7"/>
      <c r="BA150" s="7"/>
    </row>
    <row r="151" spans="2:53">
      <c r="B151" s="7"/>
      <c r="C151" s="489"/>
      <c r="D151" s="489"/>
      <c r="E151" s="490"/>
      <c r="F151" s="490"/>
      <c r="G151" s="7"/>
      <c r="H151" s="7"/>
      <c r="I151" s="7"/>
      <c r="J151" s="7"/>
      <c r="K151" s="7"/>
      <c r="L151" s="7"/>
      <c r="M151" s="7"/>
      <c r="N151" s="7"/>
      <c r="O151" s="7"/>
      <c r="P151" s="7"/>
      <c r="Q151" s="7"/>
      <c r="R151" s="7"/>
      <c r="S151" s="7"/>
      <c r="T151" s="7"/>
      <c r="U151" s="7"/>
      <c r="AE151" s="7"/>
      <c r="AF151" s="7"/>
      <c r="AG151" s="7"/>
      <c r="AH151" s="7"/>
      <c r="AP151" s="7"/>
      <c r="AQ151" s="7"/>
      <c r="AR151" s="7"/>
      <c r="AS151" s="7"/>
      <c r="AT151" s="7"/>
      <c r="AU151" s="7"/>
      <c r="AV151" s="7"/>
      <c r="AW151" s="7"/>
      <c r="AX151" s="7"/>
      <c r="AY151" s="7"/>
      <c r="AZ151" s="7"/>
      <c r="BA151" s="7"/>
    </row>
    <row r="152" spans="2:53">
      <c r="B152" s="7"/>
      <c r="C152" s="489"/>
      <c r="D152" s="489"/>
      <c r="E152" s="490"/>
      <c r="F152" s="490"/>
      <c r="G152" s="7"/>
      <c r="H152" s="7"/>
      <c r="I152" s="7"/>
      <c r="J152" s="7"/>
      <c r="K152" s="7"/>
      <c r="L152" s="7"/>
      <c r="M152" s="7"/>
      <c r="N152" s="7"/>
      <c r="O152" s="7"/>
      <c r="P152" s="7"/>
      <c r="Q152" s="7"/>
      <c r="R152" s="7"/>
      <c r="S152" s="7"/>
      <c r="T152" s="7"/>
      <c r="U152" s="7"/>
      <c r="AE152" s="7"/>
      <c r="AF152" s="7"/>
      <c r="AG152" s="7"/>
      <c r="AH152" s="7"/>
      <c r="AP152" s="7"/>
      <c r="AQ152" s="7"/>
      <c r="AR152" s="7"/>
      <c r="AS152" s="7"/>
      <c r="AT152" s="7"/>
      <c r="AU152" s="7"/>
      <c r="AV152" s="7"/>
      <c r="AW152" s="7"/>
      <c r="AX152" s="7"/>
      <c r="AY152" s="7"/>
      <c r="AZ152" s="7"/>
      <c r="BA152" s="7"/>
    </row>
    <row r="153" spans="2:53">
      <c r="B153" s="7"/>
      <c r="C153" s="489"/>
      <c r="D153" s="489"/>
      <c r="E153" s="490"/>
      <c r="F153" s="490"/>
      <c r="G153" s="7"/>
      <c r="H153" s="7"/>
      <c r="I153" s="7"/>
      <c r="J153" s="7"/>
      <c r="K153" s="7"/>
      <c r="L153" s="7"/>
      <c r="M153" s="7"/>
      <c r="N153" s="7"/>
      <c r="O153" s="7"/>
      <c r="P153" s="7"/>
      <c r="Q153" s="7"/>
      <c r="R153" s="7"/>
      <c r="S153" s="7"/>
      <c r="T153" s="7"/>
      <c r="U153" s="7"/>
      <c r="AE153" s="7"/>
      <c r="AF153" s="7"/>
      <c r="AG153" s="7"/>
      <c r="AH153" s="7"/>
      <c r="AP153" s="7"/>
      <c r="AQ153" s="7"/>
      <c r="AR153" s="7"/>
      <c r="AS153" s="7"/>
      <c r="AT153" s="7"/>
      <c r="AU153" s="7"/>
      <c r="AV153" s="7"/>
      <c r="AW153" s="7"/>
      <c r="AX153" s="7"/>
      <c r="AY153" s="7"/>
      <c r="AZ153" s="7"/>
      <c r="BA153" s="7"/>
    </row>
    <row r="154" spans="2:53">
      <c r="B154" s="7"/>
      <c r="C154" s="489"/>
      <c r="D154" s="489"/>
      <c r="E154" s="490"/>
      <c r="F154" s="490"/>
      <c r="G154" s="7"/>
      <c r="H154" s="7"/>
      <c r="I154" s="7"/>
      <c r="J154" s="7"/>
      <c r="K154" s="7"/>
      <c r="L154" s="7"/>
      <c r="M154" s="7"/>
      <c r="N154" s="7"/>
      <c r="O154" s="7"/>
      <c r="P154" s="7"/>
      <c r="Q154" s="7"/>
      <c r="R154" s="7"/>
      <c r="S154" s="7"/>
      <c r="T154" s="7"/>
      <c r="U154" s="7"/>
      <c r="AE154" s="7"/>
      <c r="AF154" s="7"/>
      <c r="AG154" s="7"/>
      <c r="AH154" s="7"/>
      <c r="AP154" s="7"/>
      <c r="AQ154" s="7"/>
      <c r="AR154" s="7"/>
      <c r="AS154" s="7"/>
      <c r="AT154" s="7"/>
      <c r="AU154" s="7"/>
      <c r="AV154" s="7"/>
      <c r="AW154" s="7"/>
      <c r="AX154" s="7"/>
      <c r="AY154" s="7"/>
      <c r="AZ154" s="7"/>
      <c r="BA154" s="7"/>
    </row>
    <row r="155" spans="2:53">
      <c r="B155" s="7"/>
      <c r="C155" s="489"/>
      <c r="D155" s="489"/>
      <c r="E155" s="490"/>
      <c r="F155" s="490"/>
      <c r="G155" s="7"/>
      <c r="H155" s="7"/>
      <c r="I155" s="7"/>
      <c r="J155" s="7"/>
      <c r="K155" s="7"/>
      <c r="L155" s="7"/>
      <c r="M155" s="7"/>
      <c r="N155" s="7"/>
      <c r="O155" s="7"/>
      <c r="P155" s="7"/>
      <c r="Q155" s="7"/>
      <c r="R155" s="7"/>
      <c r="S155" s="7"/>
      <c r="T155" s="7"/>
      <c r="U155" s="7"/>
      <c r="AE155" s="7"/>
      <c r="AF155" s="7"/>
      <c r="AG155" s="7"/>
      <c r="AH155" s="7"/>
      <c r="AP155" s="7"/>
      <c r="AQ155" s="7"/>
      <c r="AR155" s="7"/>
      <c r="AS155" s="7"/>
      <c r="AT155" s="7"/>
      <c r="AU155" s="7"/>
      <c r="AV155" s="7"/>
      <c r="AW155" s="7"/>
      <c r="AX155" s="7"/>
      <c r="AY155" s="7"/>
      <c r="AZ155" s="7"/>
      <c r="BA155" s="7"/>
    </row>
    <row r="156" spans="2:53">
      <c r="B156" s="7"/>
      <c r="C156" s="489"/>
      <c r="D156" s="489"/>
      <c r="E156" s="490"/>
      <c r="F156" s="490"/>
      <c r="G156" s="7"/>
      <c r="H156" s="7"/>
      <c r="I156" s="7"/>
      <c r="J156" s="7"/>
      <c r="K156" s="7"/>
      <c r="L156" s="7"/>
      <c r="M156" s="7"/>
      <c r="N156" s="7"/>
      <c r="O156" s="7"/>
      <c r="P156" s="7"/>
      <c r="Q156" s="7"/>
      <c r="R156" s="7"/>
      <c r="S156" s="7"/>
      <c r="T156" s="7"/>
      <c r="U156" s="7"/>
      <c r="AE156" s="7"/>
      <c r="AF156" s="7"/>
      <c r="AG156" s="7"/>
      <c r="AH156" s="7"/>
      <c r="AP156" s="7"/>
      <c r="AQ156" s="7"/>
      <c r="AR156" s="7"/>
      <c r="AS156" s="7"/>
      <c r="AT156" s="7"/>
      <c r="AU156" s="7"/>
      <c r="AV156" s="7"/>
      <c r="AW156" s="7"/>
      <c r="AX156" s="7"/>
      <c r="AY156" s="7"/>
      <c r="AZ156" s="7"/>
      <c r="BA156" s="7"/>
    </row>
    <row r="157" spans="2:53">
      <c r="B157" s="7"/>
      <c r="C157" s="489"/>
      <c r="D157" s="489"/>
      <c r="E157" s="490"/>
      <c r="F157" s="490"/>
      <c r="G157" s="7"/>
      <c r="H157" s="7"/>
      <c r="I157" s="7"/>
      <c r="J157" s="7"/>
      <c r="K157" s="7"/>
      <c r="L157" s="7"/>
      <c r="M157" s="7"/>
      <c r="N157" s="7"/>
      <c r="O157" s="7"/>
      <c r="P157" s="7"/>
      <c r="Q157" s="7"/>
      <c r="R157" s="7"/>
      <c r="S157" s="7"/>
      <c r="T157" s="7"/>
      <c r="U157" s="7"/>
      <c r="AE157" s="7"/>
      <c r="AF157" s="7"/>
      <c r="AG157" s="7"/>
      <c r="AH157" s="7"/>
      <c r="AP157" s="7"/>
      <c r="AQ157" s="7"/>
      <c r="AR157" s="7"/>
      <c r="AS157" s="7"/>
      <c r="AT157" s="7"/>
      <c r="AU157" s="7"/>
      <c r="AV157" s="7"/>
      <c r="AW157" s="7"/>
      <c r="AX157" s="7"/>
      <c r="AY157" s="7"/>
      <c r="AZ157" s="7"/>
      <c r="BA157" s="7"/>
    </row>
    <row r="158" spans="2:53">
      <c r="B158" s="7"/>
      <c r="C158" s="489"/>
      <c r="D158" s="489"/>
      <c r="E158" s="490"/>
      <c r="F158" s="490"/>
      <c r="G158" s="7"/>
      <c r="H158" s="7"/>
      <c r="I158" s="7"/>
      <c r="J158" s="7"/>
      <c r="K158" s="7"/>
      <c r="L158" s="7"/>
      <c r="M158" s="7"/>
      <c r="N158" s="7"/>
      <c r="O158" s="7"/>
      <c r="P158" s="7"/>
      <c r="Q158" s="7"/>
      <c r="R158" s="7"/>
      <c r="S158" s="7"/>
      <c r="T158" s="7"/>
      <c r="U158" s="7"/>
      <c r="AE158" s="7"/>
      <c r="AF158" s="7"/>
      <c r="AG158" s="7"/>
      <c r="AH158" s="7"/>
      <c r="AP158" s="7"/>
      <c r="AQ158" s="7"/>
      <c r="AR158" s="7"/>
      <c r="AS158" s="7"/>
      <c r="AT158" s="7"/>
      <c r="AU158" s="7"/>
      <c r="AV158" s="7"/>
      <c r="AW158" s="7"/>
      <c r="AX158" s="7"/>
      <c r="AY158" s="7"/>
      <c r="AZ158" s="7"/>
      <c r="BA158" s="7"/>
    </row>
    <row r="159" spans="2:53">
      <c r="B159" s="7"/>
      <c r="C159" s="489"/>
      <c r="D159" s="489"/>
      <c r="E159" s="490"/>
      <c r="F159" s="490"/>
      <c r="G159" s="7"/>
      <c r="H159" s="7"/>
      <c r="I159" s="7"/>
      <c r="J159" s="7"/>
      <c r="K159" s="7"/>
      <c r="L159" s="7"/>
      <c r="M159" s="7"/>
      <c r="N159" s="7"/>
      <c r="O159" s="7"/>
      <c r="P159" s="7"/>
      <c r="Q159" s="7"/>
      <c r="R159" s="7"/>
      <c r="S159" s="7"/>
      <c r="T159" s="7"/>
      <c r="U159" s="7"/>
      <c r="AE159" s="7"/>
      <c r="AF159" s="7"/>
      <c r="AG159" s="7"/>
      <c r="AH159" s="7"/>
      <c r="AP159" s="7"/>
      <c r="AQ159" s="7"/>
      <c r="AR159" s="7"/>
      <c r="AS159" s="7"/>
      <c r="AT159" s="7"/>
      <c r="AU159" s="7"/>
      <c r="AV159" s="7"/>
      <c r="AW159" s="7"/>
      <c r="AX159" s="7"/>
      <c r="AY159" s="7"/>
      <c r="AZ159" s="7"/>
      <c r="BA159" s="7"/>
    </row>
    <row r="160" spans="2:53">
      <c r="B160" s="7"/>
      <c r="C160" s="489"/>
      <c r="D160" s="489"/>
      <c r="E160" s="490"/>
      <c r="F160" s="490"/>
      <c r="G160" s="7"/>
      <c r="H160" s="7"/>
      <c r="I160" s="7"/>
      <c r="J160" s="7"/>
      <c r="K160" s="7"/>
      <c r="L160" s="7"/>
      <c r="M160" s="7"/>
      <c r="N160" s="7"/>
      <c r="O160" s="7"/>
      <c r="P160" s="7"/>
      <c r="Q160" s="7"/>
      <c r="R160" s="7"/>
      <c r="S160" s="7"/>
      <c r="T160" s="7"/>
      <c r="U160" s="7"/>
      <c r="AE160" s="7"/>
      <c r="AF160" s="7"/>
      <c r="AG160" s="7"/>
      <c r="AH160" s="7"/>
      <c r="AP160" s="7"/>
      <c r="AQ160" s="7"/>
      <c r="AR160" s="7"/>
      <c r="AS160" s="7"/>
      <c r="AT160" s="7"/>
      <c r="AU160" s="7"/>
      <c r="AV160" s="7"/>
      <c r="AW160" s="7"/>
      <c r="AX160" s="7"/>
      <c r="AY160" s="7"/>
      <c r="AZ160" s="7"/>
      <c r="BA160" s="7"/>
    </row>
    <row r="161" spans="2:53">
      <c r="B161" s="7"/>
      <c r="C161" s="489"/>
      <c r="D161" s="489"/>
      <c r="E161" s="490"/>
      <c r="F161" s="490"/>
      <c r="G161" s="7"/>
      <c r="H161" s="7"/>
      <c r="I161" s="7"/>
      <c r="J161" s="7"/>
      <c r="K161" s="7"/>
      <c r="L161" s="7"/>
      <c r="M161" s="7"/>
      <c r="N161" s="7"/>
      <c r="O161" s="7"/>
      <c r="P161" s="7"/>
      <c r="Q161" s="7"/>
      <c r="R161" s="7"/>
      <c r="S161" s="7"/>
      <c r="T161" s="7"/>
      <c r="U161" s="7"/>
      <c r="AE161" s="7"/>
      <c r="AF161" s="7"/>
      <c r="AG161" s="7"/>
      <c r="AH161" s="7"/>
      <c r="AP161" s="7"/>
      <c r="AQ161" s="7"/>
      <c r="AR161" s="7"/>
      <c r="AS161" s="7"/>
      <c r="AT161" s="7"/>
      <c r="AU161" s="7"/>
      <c r="AV161" s="7"/>
      <c r="AW161" s="7"/>
      <c r="AX161" s="7"/>
      <c r="AY161" s="7"/>
      <c r="AZ161" s="7"/>
      <c r="BA161" s="7"/>
    </row>
    <row r="162" spans="2:53">
      <c r="B162" s="7"/>
      <c r="C162" s="489"/>
      <c r="D162" s="489"/>
      <c r="E162" s="490"/>
      <c r="F162" s="490"/>
      <c r="G162" s="7"/>
      <c r="H162" s="7"/>
      <c r="I162" s="7"/>
      <c r="J162" s="7"/>
      <c r="K162" s="7"/>
      <c r="L162" s="7"/>
      <c r="M162" s="7"/>
      <c r="N162" s="7"/>
      <c r="O162" s="7"/>
      <c r="P162" s="7"/>
      <c r="Q162" s="7"/>
      <c r="R162" s="7"/>
      <c r="S162" s="7"/>
      <c r="T162" s="7"/>
      <c r="U162" s="7"/>
      <c r="AE162" s="7"/>
      <c r="AF162" s="7"/>
      <c r="AG162" s="7"/>
      <c r="AH162" s="7"/>
      <c r="AP162" s="7"/>
      <c r="AQ162" s="7"/>
      <c r="AR162" s="7"/>
      <c r="AS162" s="7"/>
      <c r="AT162" s="7"/>
      <c r="AU162" s="7"/>
      <c r="AV162" s="7"/>
      <c r="AW162" s="7"/>
      <c r="AX162" s="7"/>
      <c r="AY162" s="7"/>
      <c r="AZ162" s="7"/>
      <c r="BA162" s="7"/>
    </row>
    <row r="163" spans="2:53">
      <c r="B163" s="7"/>
      <c r="C163" s="489"/>
      <c r="D163" s="489"/>
      <c r="E163" s="490"/>
      <c r="F163" s="490"/>
      <c r="G163" s="7"/>
      <c r="H163" s="7"/>
      <c r="I163" s="7"/>
      <c r="J163" s="7"/>
      <c r="K163" s="7"/>
      <c r="L163" s="7"/>
      <c r="M163" s="7"/>
      <c r="N163" s="7"/>
      <c r="O163" s="7"/>
      <c r="P163" s="7"/>
      <c r="Q163" s="7"/>
      <c r="R163" s="7"/>
      <c r="S163" s="7"/>
      <c r="T163" s="7"/>
      <c r="U163" s="7"/>
      <c r="AE163" s="7"/>
      <c r="AF163" s="7"/>
      <c r="AG163" s="7"/>
      <c r="AH163" s="7"/>
      <c r="AP163" s="7"/>
      <c r="AQ163" s="7"/>
      <c r="AR163" s="7"/>
      <c r="AS163" s="7"/>
      <c r="AT163" s="7"/>
      <c r="AU163" s="7"/>
      <c r="AV163" s="7"/>
      <c r="AW163" s="7"/>
      <c r="AX163" s="7"/>
      <c r="AY163" s="7"/>
      <c r="AZ163" s="7"/>
      <c r="BA163" s="7"/>
    </row>
    <row r="164" spans="2:53">
      <c r="B164" s="7"/>
      <c r="C164" s="489"/>
      <c r="D164" s="489"/>
      <c r="E164" s="490"/>
      <c r="F164" s="490"/>
      <c r="G164" s="7"/>
      <c r="H164" s="7"/>
      <c r="I164" s="7"/>
      <c r="J164" s="7"/>
      <c r="K164" s="7"/>
      <c r="L164" s="7"/>
      <c r="M164" s="7"/>
      <c r="N164" s="7"/>
      <c r="O164" s="7"/>
      <c r="P164" s="7"/>
      <c r="Q164" s="7"/>
      <c r="R164" s="7"/>
      <c r="S164" s="7"/>
      <c r="T164" s="7"/>
      <c r="U164" s="7"/>
      <c r="AE164" s="7"/>
      <c r="AF164" s="7"/>
      <c r="AG164" s="7"/>
      <c r="AH164" s="7"/>
      <c r="AP164" s="7"/>
      <c r="AQ164" s="7"/>
      <c r="AR164" s="7"/>
      <c r="AS164" s="7"/>
      <c r="AT164" s="7"/>
      <c r="AU164" s="7"/>
      <c r="AV164" s="7"/>
      <c r="AW164" s="7"/>
      <c r="AX164" s="7"/>
      <c r="AY164" s="7"/>
      <c r="AZ164" s="7"/>
      <c r="BA164" s="7"/>
    </row>
    <row r="165" spans="2:53">
      <c r="B165" s="7"/>
      <c r="C165" s="489"/>
      <c r="D165" s="489"/>
      <c r="E165" s="490"/>
      <c r="F165" s="490"/>
      <c r="G165" s="7"/>
      <c r="H165" s="7"/>
      <c r="I165" s="7"/>
      <c r="J165" s="7"/>
      <c r="K165" s="7"/>
      <c r="L165" s="7"/>
      <c r="M165" s="7"/>
      <c r="N165" s="7"/>
      <c r="O165" s="7"/>
      <c r="P165" s="7"/>
      <c r="Q165" s="7"/>
      <c r="R165" s="7"/>
      <c r="S165" s="7"/>
      <c r="T165" s="7"/>
      <c r="U165" s="7"/>
      <c r="AE165" s="7"/>
      <c r="AF165" s="7"/>
      <c r="AG165" s="7"/>
      <c r="AH165" s="7"/>
      <c r="AP165" s="7"/>
      <c r="AQ165" s="7"/>
      <c r="AR165" s="7"/>
      <c r="AS165" s="7"/>
      <c r="AT165" s="7"/>
      <c r="AU165" s="7"/>
      <c r="AV165" s="7"/>
      <c r="AW165" s="7"/>
      <c r="AX165" s="7"/>
      <c r="AY165" s="7"/>
      <c r="AZ165" s="7"/>
      <c r="BA165" s="7"/>
    </row>
    <row r="166" spans="2:53">
      <c r="B166" s="7"/>
      <c r="C166" s="489"/>
      <c r="D166" s="489"/>
      <c r="E166" s="490"/>
      <c r="F166" s="490"/>
      <c r="G166" s="7"/>
      <c r="H166" s="7"/>
      <c r="I166" s="7"/>
      <c r="J166" s="7"/>
      <c r="K166" s="7"/>
      <c r="L166" s="7"/>
      <c r="M166" s="7"/>
      <c r="N166" s="7"/>
      <c r="O166" s="7"/>
      <c r="P166" s="7"/>
      <c r="Q166" s="7"/>
      <c r="R166" s="7"/>
      <c r="S166" s="7"/>
      <c r="T166" s="7"/>
      <c r="U166" s="7"/>
      <c r="AE166" s="7"/>
      <c r="AF166" s="7"/>
      <c r="AG166" s="7"/>
      <c r="AH166" s="7"/>
      <c r="AP166" s="7"/>
      <c r="AQ166" s="7"/>
      <c r="AR166" s="7"/>
      <c r="AS166" s="7"/>
      <c r="AT166" s="7"/>
      <c r="AU166" s="7"/>
      <c r="AV166" s="7"/>
      <c r="AW166" s="7"/>
      <c r="AX166" s="7"/>
      <c r="AY166" s="7"/>
      <c r="AZ166" s="7"/>
      <c r="BA166" s="7"/>
    </row>
    <row r="167" spans="2:53">
      <c r="B167" s="7"/>
      <c r="C167" s="489"/>
      <c r="D167" s="489"/>
      <c r="E167" s="490"/>
      <c r="F167" s="490"/>
      <c r="G167" s="7"/>
      <c r="H167" s="7"/>
      <c r="I167" s="7"/>
      <c r="J167" s="7"/>
      <c r="K167" s="7"/>
      <c r="L167" s="7"/>
      <c r="M167" s="7"/>
      <c r="N167" s="7"/>
      <c r="O167" s="7"/>
      <c r="P167" s="7"/>
      <c r="Q167" s="7"/>
      <c r="R167" s="7"/>
      <c r="S167" s="7"/>
      <c r="T167" s="7"/>
      <c r="U167" s="7"/>
      <c r="AE167" s="7"/>
      <c r="AF167" s="7"/>
      <c r="AG167" s="7"/>
      <c r="AH167" s="7"/>
      <c r="AP167" s="7"/>
      <c r="AQ167" s="7"/>
      <c r="AR167" s="7"/>
      <c r="AS167" s="7"/>
      <c r="AT167" s="7"/>
      <c r="AU167" s="7"/>
      <c r="AV167" s="7"/>
      <c r="AW167" s="7"/>
      <c r="AX167" s="7"/>
      <c r="AY167" s="7"/>
      <c r="AZ167" s="7"/>
      <c r="BA167" s="7"/>
    </row>
    <row r="168" spans="2:53">
      <c r="B168" s="7"/>
      <c r="C168" s="489"/>
      <c r="D168" s="489"/>
      <c r="E168" s="490"/>
      <c r="F168" s="490"/>
      <c r="G168" s="7"/>
      <c r="H168" s="7"/>
      <c r="I168" s="7"/>
      <c r="J168" s="7"/>
      <c r="K168" s="7"/>
      <c r="L168" s="7"/>
      <c r="M168" s="7"/>
      <c r="N168" s="7"/>
      <c r="O168" s="7"/>
      <c r="P168" s="7"/>
      <c r="Q168" s="7"/>
      <c r="R168" s="7"/>
      <c r="S168" s="7"/>
      <c r="T168" s="7"/>
      <c r="U168" s="7"/>
      <c r="AE168" s="7"/>
      <c r="AF168" s="7"/>
      <c r="AG168" s="7"/>
      <c r="AH168" s="7"/>
      <c r="AP168" s="7"/>
      <c r="AQ168" s="7"/>
      <c r="AR168" s="7"/>
      <c r="AS168" s="7"/>
      <c r="AT168" s="7"/>
      <c r="AU168" s="7"/>
      <c r="AV168" s="7"/>
      <c r="AW168" s="7"/>
      <c r="AX168" s="7"/>
      <c r="AY168" s="7"/>
      <c r="AZ168" s="7"/>
      <c r="BA168" s="7"/>
    </row>
    <row r="169" spans="2:53">
      <c r="B169" s="7"/>
      <c r="C169" s="489"/>
      <c r="D169" s="489"/>
      <c r="E169" s="490"/>
      <c r="F169" s="490"/>
      <c r="G169" s="7"/>
      <c r="H169" s="7"/>
      <c r="I169" s="7"/>
      <c r="J169" s="7"/>
      <c r="K169" s="7"/>
      <c r="L169" s="7"/>
      <c r="M169" s="7"/>
      <c r="N169" s="7"/>
      <c r="O169" s="7"/>
      <c r="P169" s="7"/>
      <c r="Q169" s="7"/>
      <c r="R169" s="7"/>
      <c r="S169" s="7"/>
      <c r="T169" s="7"/>
      <c r="U169" s="7"/>
      <c r="AE169" s="7"/>
      <c r="AF169" s="7"/>
      <c r="AG169" s="7"/>
      <c r="AH169" s="7"/>
      <c r="AP169" s="7"/>
      <c r="AQ169" s="7"/>
      <c r="AR169" s="7"/>
      <c r="AS169" s="7"/>
      <c r="AT169" s="7"/>
      <c r="AU169" s="7"/>
      <c r="AV169" s="7"/>
      <c r="AW169" s="7"/>
      <c r="AX169" s="7"/>
      <c r="AY169" s="7"/>
      <c r="AZ169" s="7"/>
      <c r="BA169" s="7"/>
    </row>
    <row r="170" spans="2:53">
      <c r="B170" s="7"/>
      <c r="C170" s="489"/>
      <c r="D170" s="489"/>
      <c r="E170" s="490"/>
      <c r="F170" s="490"/>
      <c r="G170" s="7"/>
      <c r="H170" s="7"/>
      <c r="I170" s="7"/>
      <c r="J170" s="7"/>
      <c r="K170" s="7"/>
      <c r="L170" s="7"/>
      <c r="M170" s="7"/>
      <c r="N170" s="7"/>
      <c r="O170" s="7"/>
      <c r="P170" s="7"/>
      <c r="Q170" s="7"/>
      <c r="R170" s="7"/>
      <c r="S170" s="7"/>
      <c r="T170" s="7"/>
      <c r="U170" s="7"/>
      <c r="AE170" s="7"/>
      <c r="AF170" s="7"/>
      <c r="AG170" s="7"/>
      <c r="AH170" s="7"/>
      <c r="AP170" s="7"/>
      <c r="AQ170" s="7"/>
      <c r="AR170" s="7"/>
      <c r="AS170" s="7"/>
      <c r="AT170" s="7"/>
      <c r="AU170" s="7"/>
      <c r="AV170" s="7"/>
      <c r="AW170" s="7"/>
      <c r="AX170" s="7"/>
      <c r="AY170" s="7"/>
      <c r="AZ170" s="7"/>
      <c r="BA170" s="7"/>
    </row>
    <row r="171" spans="2:53">
      <c r="B171" s="7"/>
      <c r="C171" s="489"/>
      <c r="D171" s="489"/>
      <c r="E171" s="490"/>
      <c r="F171" s="490"/>
      <c r="G171" s="7"/>
      <c r="H171" s="7"/>
      <c r="I171" s="7"/>
      <c r="J171" s="7"/>
      <c r="K171" s="7"/>
      <c r="L171" s="7"/>
      <c r="M171" s="7"/>
      <c r="N171" s="7"/>
      <c r="O171" s="7"/>
      <c r="P171" s="7"/>
      <c r="Q171" s="7"/>
      <c r="R171" s="7"/>
      <c r="S171" s="7"/>
      <c r="T171" s="7"/>
      <c r="U171" s="7"/>
      <c r="AE171" s="7"/>
      <c r="AF171" s="7"/>
      <c r="AG171" s="7"/>
      <c r="AH171" s="7"/>
      <c r="AP171" s="7"/>
      <c r="AQ171" s="7"/>
      <c r="AR171" s="7"/>
      <c r="AS171" s="7"/>
      <c r="AT171" s="7"/>
      <c r="AU171" s="7"/>
      <c r="AV171" s="7"/>
      <c r="AW171" s="7"/>
      <c r="AX171" s="7"/>
      <c r="AY171" s="7"/>
      <c r="AZ171" s="7"/>
      <c r="BA171" s="7"/>
    </row>
    <row r="172" spans="2:53">
      <c r="B172" s="7"/>
      <c r="C172" s="489"/>
      <c r="D172" s="489"/>
      <c r="E172" s="490"/>
      <c r="F172" s="490"/>
      <c r="G172" s="7"/>
      <c r="H172" s="7"/>
      <c r="I172" s="7"/>
      <c r="J172" s="7"/>
      <c r="K172" s="7"/>
      <c r="L172" s="7"/>
      <c r="M172" s="7"/>
      <c r="N172" s="7"/>
      <c r="O172" s="7"/>
      <c r="P172" s="7"/>
      <c r="Q172" s="7"/>
      <c r="R172" s="7"/>
      <c r="S172" s="7"/>
      <c r="T172" s="7"/>
      <c r="U172" s="7"/>
      <c r="AE172" s="7"/>
      <c r="AF172" s="7"/>
      <c r="AG172" s="7"/>
      <c r="AH172" s="7"/>
      <c r="AP172" s="7"/>
      <c r="AQ172" s="7"/>
      <c r="AR172" s="7"/>
      <c r="AS172" s="7"/>
      <c r="AT172" s="7"/>
      <c r="AU172" s="7"/>
      <c r="AV172" s="7"/>
      <c r="AW172" s="7"/>
      <c r="AX172" s="7"/>
      <c r="AY172" s="7"/>
      <c r="AZ172" s="7"/>
      <c r="BA172" s="7"/>
    </row>
    <row r="173" spans="2:53">
      <c r="B173" s="7"/>
      <c r="C173" s="489"/>
      <c r="D173" s="489"/>
      <c r="E173" s="490"/>
      <c r="F173" s="490"/>
      <c r="G173" s="7"/>
      <c r="H173" s="7"/>
      <c r="I173" s="7"/>
      <c r="J173" s="7"/>
      <c r="K173" s="7"/>
      <c r="L173" s="7"/>
      <c r="M173" s="7"/>
      <c r="N173" s="7"/>
      <c r="O173" s="7"/>
      <c r="P173" s="7"/>
      <c r="Q173" s="7"/>
      <c r="R173" s="7"/>
      <c r="S173" s="7"/>
      <c r="T173" s="7"/>
      <c r="U173" s="7"/>
      <c r="AE173" s="7"/>
      <c r="AF173" s="7"/>
      <c r="AG173" s="7"/>
      <c r="AH173" s="7"/>
      <c r="AP173" s="7"/>
      <c r="AQ173" s="7"/>
      <c r="AR173" s="7"/>
      <c r="AS173" s="7"/>
      <c r="AT173" s="7"/>
      <c r="AU173" s="7"/>
      <c r="AV173" s="7"/>
      <c r="AW173" s="7"/>
      <c r="AX173" s="7"/>
      <c r="AY173" s="7"/>
      <c r="AZ173" s="7"/>
      <c r="BA173" s="7"/>
    </row>
    <row r="174" spans="2:53">
      <c r="B174" s="7"/>
      <c r="C174" s="489"/>
      <c r="D174" s="489"/>
      <c r="E174" s="490"/>
      <c r="F174" s="490"/>
      <c r="G174" s="7"/>
      <c r="H174" s="7"/>
      <c r="I174" s="7"/>
      <c r="J174" s="7"/>
      <c r="K174" s="7"/>
      <c r="L174" s="7"/>
      <c r="M174" s="7"/>
      <c r="N174" s="7"/>
      <c r="O174" s="7"/>
      <c r="P174" s="7"/>
      <c r="Q174" s="7"/>
      <c r="R174" s="7"/>
      <c r="S174" s="7"/>
      <c r="T174" s="7"/>
      <c r="U174" s="7"/>
      <c r="AE174" s="7"/>
      <c r="AF174" s="7"/>
      <c r="AG174" s="7"/>
      <c r="AH174" s="7"/>
      <c r="AP174" s="7"/>
      <c r="AQ174" s="7"/>
      <c r="AR174" s="7"/>
      <c r="AS174" s="7"/>
      <c r="AT174" s="7"/>
      <c r="AU174" s="7"/>
      <c r="AV174" s="7"/>
      <c r="AW174" s="7"/>
      <c r="AX174" s="7"/>
      <c r="AY174" s="7"/>
      <c r="AZ174" s="7"/>
      <c r="BA174" s="7"/>
    </row>
    <row r="175" spans="2:53">
      <c r="B175" s="7"/>
      <c r="C175" s="489"/>
      <c r="D175" s="489"/>
      <c r="E175" s="490"/>
      <c r="F175" s="490"/>
      <c r="G175" s="7"/>
      <c r="H175" s="7"/>
      <c r="I175" s="7"/>
      <c r="J175" s="7"/>
      <c r="K175" s="7"/>
      <c r="L175" s="7"/>
      <c r="M175" s="7"/>
      <c r="N175" s="7"/>
      <c r="O175" s="7"/>
      <c r="P175" s="7"/>
      <c r="Q175" s="7"/>
      <c r="R175" s="7"/>
      <c r="S175" s="7"/>
      <c r="T175" s="7"/>
      <c r="U175" s="7"/>
      <c r="AE175" s="7"/>
      <c r="AF175" s="7"/>
      <c r="AG175" s="7"/>
      <c r="AH175" s="7"/>
      <c r="AP175" s="7"/>
      <c r="AQ175" s="7"/>
      <c r="AR175" s="7"/>
      <c r="AS175" s="7"/>
      <c r="AT175" s="7"/>
      <c r="AU175" s="7"/>
      <c r="AV175" s="7"/>
      <c r="AW175" s="7"/>
      <c r="AX175" s="7"/>
      <c r="AY175" s="7"/>
      <c r="AZ175" s="7"/>
      <c r="BA175" s="7"/>
    </row>
    <row r="176" spans="2:53">
      <c r="B176" s="7"/>
      <c r="C176" s="489"/>
      <c r="D176" s="489"/>
      <c r="E176" s="490"/>
      <c r="F176" s="490"/>
      <c r="G176" s="7"/>
      <c r="H176" s="7"/>
      <c r="I176" s="7"/>
      <c r="J176" s="7"/>
      <c r="K176" s="7"/>
      <c r="L176" s="7"/>
      <c r="M176" s="7"/>
      <c r="N176" s="7"/>
      <c r="O176" s="7"/>
      <c r="P176" s="7"/>
      <c r="Q176" s="7"/>
      <c r="R176" s="7"/>
      <c r="S176" s="7"/>
      <c r="T176" s="7"/>
      <c r="U176" s="7"/>
      <c r="AE176" s="7"/>
      <c r="AF176" s="7"/>
      <c r="AG176" s="7"/>
      <c r="AH176" s="7"/>
      <c r="AP176" s="7"/>
      <c r="AQ176" s="7"/>
      <c r="AR176" s="7"/>
      <c r="AS176" s="7"/>
      <c r="AT176" s="7"/>
      <c r="AU176" s="7"/>
      <c r="AV176" s="7"/>
      <c r="AW176" s="7"/>
      <c r="AX176" s="7"/>
      <c r="AY176" s="7"/>
      <c r="AZ176" s="7"/>
      <c r="BA176" s="7"/>
    </row>
    <row r="177" spans="2:53">
      <c r="B177" s="7"/>
      <c r="C177" s="489"/>
      <c r="D177" s="489"/>
      <c r="E177" s="490"/>
      <c r="F177" s="490"/>
      <c r="G177" s="7"/>
      <c r="H177" s="7"/>
      <c r="I177" s="7"/>
      <c r="J177" s="7"/>
      <c r="K177" s="7"/>
      <c r="L177" s="7"/>
      <c r="M177" s="7"/>
      <c r="N177" s="7"/>
      <c r="O177" s="7"/>
      <c r="P177" s="7"/>
      <c r="Q177" s="7"/>
      <c r="R177" s="7"/>
      <c r="S177" s="7"/>
      <c r="T177" s="7"/>
      <c r="U177" s="7"/>
      <c r="AE177" s="7"/>
      <c r="AF177" s="7"/>
      <c r="AG177" s="7"/>
      <c r="AH177" s="7"/>
      <c r="AP177" s="7"/>
      <c r="AQ177" s="7"/>
      <c r="AR177" s="7"/>
      <c r="AS177" s="7"/>
      <c r="AT177" s="7"/>
      <c r="AU177" s="7"/>
      <c r="AV177" s="7"/>
      <c r="AW177" s="7"/>
      <c r="AX177" s="7"/>
      <c r="AY177" s="7"/>
      <c r="AZ177" s="7"/>
      <c r="BA177" s="7"/>
    </row>
    <row r="178" spans="2:53">
      <c r="B178" s="7"/>
      <c r="C178" s="489"/>
      <c r="D178" s="489"/>
      <c r="E178" s="490"/>
      <c r="F178" s="490"/>
      <c r="G178" s="7"/>
      <c r="H178" s="7"/>
      <c r="I178" s="7"/>
      <c r="J178" s="7"/>
      <c r="K178" s="7"/>
      <c r="L178" s="7"/>
      <c r="M178" s="7"/>
      <c r="N178" s="7"/>
      <c r="O178" s="7"/>
      <c r="P178" s="7"/>
      <c r="Q178" s="7"/>
      <c r="R178" s="7"/>
      <c r="S178" s="7"/>
      <c r="T178" s="7"/>
      <c r="U178" s="7"/>
      <c r="AE178" s="7"/>
      <c r="AF178" s="7"/>
      <c r="AG178" s="7"/>
      <c r="AH178" s="7"/>
      <c r="AP178" s="7"/>
      <c r="AQ178" s="7"/>
      <c r="AR178" s="7"/>
      <c r="AS178" s="7"/>
      <c r="AT178" s="7"/>
      <c r="AU178" s="7"/>
      <c r="AV178" s="7"/>
      <c r="AW178" s="7"/>
      <c r="AX178" s="7"/>
      <c r="AY178" s="7"/>
      <c r="AZ178" s="7"/>
      <c r="BA178" s="7"/>
    </row>
    <row r="179" spans="2:53">
      <c r="B179" s="7"/>
      <c r="C179" s="489"/>
      <c r="D179" s="489"/>
      <c r="E179" s="490"/>
      <c r="F179" s="490"/>
      <c r="G179" s="7"/>
      <c r="H179" s="7"/>
      <c r="I179" s="7"/>
      <c r="J179" s="7"/>
      <c r="K179" s="7"/>
      <c r="L179" s="7"/>
      <c r="M179" s="7"/>
      <c r="N179" s="7"/>
      <c r="O179" s="7"/>
      <c r="P179" s="7"/>
      <c r="Q179" s="7"/>
      <c r="R179" s="7"/>
      <c r="S179" s="7"/>
      <c r="T179" s="7"/>
      <c r="U179" s="7"/>
      <c r="AE179" s="7"/>
      <c r="AF179" s="7"/>
      <c r="AG179" s="7"/>
      <c r="AH179" s="7"/>
      <c r="AP179" s="7"/>
      <c r="AQ179" s="7"/>
      <c r="AR179" s="7"/>
      <c r="AS179" s="7"/>
      <c r="AT179" s="7"/>
      <c r="AU179" s="7"/>
      <c r="AV179" s="7"/>
      <c r="AW179" s="7"/>
      <c r="AX179" s="7"/>
      <c r="AY179" s="7"/>
      <c r="AZ179" s="7"/>
      <c r="BA179" s="7"/>
    </row>
    <row r="180" spans="2:53">
      <c r="B180" s="7"/>
      <c r="C180" s="489"/>
      <c r="D180" s="489"/>
      <c r="E180" s="490"/>
      <c r="F180" s="490"/>
      <c r="G180" s="7"/>
      <c r="H180" s="7"/>
      <c r="I180" s="7"/>
      <c r="J180" s="7"/>
      <c r="K180" s="7"/>
      <c r="L180" s="7"/>
      <c r="M180" s="7"/>
      <c r="N180" s="7"/>
      <c r="O180" s="7"/>
      <c r="P180" s="7"/>
      <c r="Q180" s="7"/>
      <c r="R180" s="7"/>
      <c r="S180" s="7"/>
      <c r="T180" s="7"/>
      <c r="U180" s="7"/>
      <c r="AE180" s="7"/>
      <c r="AF180" s="7"/>
      <c r="AG180" s="7"/>
      <c r="AH180" s="7"/>
      <c r="AP180" s="7"/>
      <c r="AQ180" s="7"/>
      <c r="AR180" s="7"/>
      <c r="AS180" s="7"/>
      <c r="AT180" s="7"/>
      <c r="AU180" s="7"/>
      <c r="AV180" s="7"/>
      <c r="AW180" s="7"/>
      <c r="AX180" s="7"/>
      <c r="AY180" s="7"/>
      <c r="AZ180" s="7"/>
      <c r="BA180" s="7"/>
    </row>
    <row r="181" spans="2:53">
      <c r="B181" s="7"/>
      <c r="C181" s="489"/>
      <c r="D181" s="489"/>
      <c r="E181" s="490"/>
      <c r="F181" s="490"/>
      <c r="G181" s="7"/>
      <c r="H181" s="7"/>
      <c r="I181" s="7"/>
      <c r="J181" s="7"/>
      <c r="K181" s="7"/>
      <c r="L181" s="7"/>
      <c r="M181" s="7"/>
      <c r="N181" s="7"/>
      <c r="O181" s="7"/>
      <c r="P181" s="7"/>
      <c r="Q181" s="7"/>
      <c r="R181" s="7"/>
      <c r="S181" s="7"/>
      <c r="T181" s="7"/>
      <c r="U181" s="7"/>
      <c r="AE181" s="7"/>
      <c r="AF181" s="7"/>
      <c r="AG181" s="7"/>
      <c r="AH181" s="7"/>
      <c r="AP181" s="7"/>
      <c r="AQ181" s="7"/>
      <c r="AR181" s="7"/>
      <c r="AS181" s="7"/>
      <c r="AT181" s="7"/>
      <c r="AU181" s="7"/>
      <c r="AV181" s="7"/>
      <c r="AW181" s="7"/>
      <c r="AX181" s="7"/>
      <c r="AY181" s="7"/>
      <c r="AZ181" s="7"/>
      <c r="BA181" s="7"/>
    </row>
    <row r="182" spans="2:53">
      <c r="B182" s="7"/>
      <c r="C182" s="489"/>
      <c r="D182" s="489"/>
      <c r="E182" s="490"/>
      <c r="F182" s="490"/>
      <c r="G182" s="7"/>
      <c r="H182" s="7"/>
      <c r="I182" s="7"/>
      <c r="J182" s="7"/>
      <c r="K182" s="7"/>
      <c r="L182" s="7"/>
      <c r="M182" s="7"/>
      <c r="N182" s="7"/>
      <c r="O182" s="7"/>
      <c r="P182" s="7"/>
      <c r="Q182" s="7"/>
      <c r="R182" s="7"/>
      <c r="S182" s="7"/>
      <c r="T182" s="7"/>
      <c r="U182" s="7"/>
      <c r="AE182" s="7"/>
      <c r="AF182" s="7"/>
      <c r="AG182" s="7"/>
      <c r="AH182" s="7"/>
      <c r="AP182" s="7"/>
      <c r="AQ182" s="7"/>
      <c r="AR182" s="7"/>
      <c r="AS182" s="7"/>
      <c r="AT182" s="7"/>
      <c r="AU182" s="7"/>
      <c r="AV182" s="7"/>
      <c r="AW182" s="7"/>
      <c r="AX182" s="7"/>
      <c r="AY182" s="7"/>
      <c r="AZ182" s="7"/>
      <c r="BA182" s="7"/>
    </row>
    <row r="183" spans="2:53">
      <c r="B183" s="7"/>
      <c r="C183" s="489"/>
      <c r="D183" s="489"/>
      <c r="E183" s="490"/>
      <c r="F183" s="490"/>
      <c r="G183" s="7"/>
      <c r="H183" s="7"/>
      <c r="I183" s="7"/>
      <c r="J183" s="7"/>
      <c r="K183" s="7"/>
      <c r="L183" s="7"/>
      <c r="M183" s="7"/>
      <c r="N183" s="7"/>
      <c r="O183" s="7"/>
      <c r="P183" s="7"/>
      <c r="Q183" s="7"/>
      <c r="R183" s="7"/>
      <c r="S183" s="7"/>
      <c r="T183" s="7"/>
      <c r="U183" s="7"/>
      <c r="AE183" s="7"/>
      <c r="AF183" s="7"/>
      <c r="AG183" s="7"/>
      <c r="AH183" s="7"/>
      <c r="AP183" s="7"/>
      <c r="AQ183" s="7"/>
      <c r="AR183" s="7"/>
      <c r="AS183" s="7"/>
      <c r="AT183" s="7"/>
      <c r="AU183" s="7"/>
      <c r="AV183" s="7"/>
      <c r="AW183" s="7"/>
      <c r="AX183" s="7"/>
      <c r="AY183" s="7"/>
      <c r="AZ183" s="7"/>
      <c r="BA183" s="7"/>
    </row>
    <row r="184" spans="2:53">
      <c r="B184" s="7"/>
      <c r="C184" s="489"/>
      <c r="D184" s="489"/>
      <c r="E184" s="490"/>
      <c r="F184" s="490"/>
      <c r="G184" s="7"/>
      <c r="H184" s="7"/>
      <c r="I184" s="7"/>
      <c r="J184" s="7"/>
      <c r="K184" s="7"/>
      <c r="L184" s="7"/>
      <c r="M184" s="7"/>
      <c r="N184" s="7"/>
      <c r="O184" s="7"/>
      <c r="P184" s="7"/>
      <c r="Q184" s="7"/>
      <c r="R184" s="7"/>
      <c r="S184" s="7"/>
      <c r="T184" s="7"/>
      <c r="U184" s="7"/>
      <c r="AE184" s="7"/>
      <c r="AF184" s="7"/>
      <c r="AG184" s="7"/>
      <c r="AH184" s="7"/>
      <c r="AP184" s="7"/>
      <c r="AQ184" s="7"/>
      <c r="AR184" s="7"/>
      <c r="AS184" s="7"/>
      <c r="AT184" s="7"/>
      <c r="AU184" s="7"/>
      <c r="AV184" s="7"/>
      <c r="AW184" s="7"/>
      <c r="AX184" s="7"/>
      <c r="AY184" s="7"/>
      <c r="AZ184" s="7"/>
      <c r="BA184" s="7"/>
    </row>
    <row r="185" spans="2:53">
      <c r="B185" s="7"/>
      <c r="C185" s="489"/>
      <c r="D185" s="489"/>
      <c r="E185" s="490"/>
      <c r="F185" s="490"/>
      <c r="G185" s="7"/>
      <c r="H185" s="7"/>
      <c r="I185" s="7"/>
      <c r="J185" s="7"/>
      <c r="K185" s="7"/>
      <c r="L185" s="7"/>
      <c r="M185" s="7"/>
      <c r="N185" s="7"/>
      <c r="O185" s="7"/>
      <c r="P185" s="7"/>
      <c r="Q185" s="7"/>
      <c r="R185" s="7"/>
      <c r="S185" s="7"/>
      <c r="T185" s="7"/>
      <c r="U185" s="7"/>
      <c r="AE185" s="7"/>
      <c r="AF185" s="7"/>
      <c r="AG185" s="7"/>
      <c r="AH185" s="7"/>
      <c r="AP185" s="7"/>
      <c r="AQ185" s="7"/>
      <c r="AR185" s="7"/>
      <c r="AS185" s="7"/>
      <c r="AT185" s="7"/>
      <c r="AU185" s="7"/>
      <c r="AV185" s="7"/>
      <c r="AW185" s="7"/>
      <c r="AX185" s="7"/>
      <c r="AY185" s="7"/>
      <c r="AZ185" s="7"/>
      <c r="BA185" s="7"/>
    </row>
    <row r="186" spans="2:53">
      <c r="B186" s="7"/>
      <c r="C186" s="489"/>
      <c r="D186" s="489"/>
      <c r="E186" s="490"/>
      <c r="F186" s="490"/>
      <c r="G186" s="7"/>
      <c r="H186" s="7"/>
      <c r="I186" s="7"/>
      <c r="J186" s="7"/>
      <c r="K186" s="7"/>
      <c r="L186" s="7"/>
      <c r="M186" s="7"/>
      <c r="N186" s="7"/>
      <c r="O186" s="7"/>
      <c r="P186" s="7"/>
      <c r="Q186" s="7"/>
      <c r="R186" s="7"/>
      <c r="S186" s="7"/>
      <c r="T186" s="7"/>
      <c r="U186" s="7"/>
      <c r="AE186" s="7"/>
      <c r="AF186" s="7"/>
      <c r="AG186" s="7"/>
      <c r="AH186" s="7"/>
      <c r="AP186" s="7"/>
      <c r="AQ186" s="7"/>
      <c r="AR186" s="7"/>
      <c r="AS186" s="7"/>
      <c r="AT186" s="7"/>
      <c r="AU186" s="7"/>
      <c r="AV186" s="7"/>
      <c r="AW186" s="7"/>
      <c r="AX186" s="7"/>
      <c r="AY186" s="7"/>
      <c r="AZ186" s="7"/>
      <c r="BA186" s="7"/>
    </row>
    <row r="187" spans="2:53">
      <c r="B187" s="7"/>
      <c r="C187" s="489"/>
      <c r="D187" s="489"/>
      <c r="E187" s="490"/>
      <c r="F187" s="490"/>
      <c r="G187" s="7"/>
      <c r="H187" s="7"/>
      <c r="I187" s="7"/>
      <c r="J187" s="7"/>
      <c r="K187" s="7"/>
      <c r="L187" s="7"/>
      <c r="M187" s="7"/>
      <c r="N187" s="7"/>
      <c r="O187" s="7"/>
      <c r="P187" s="7"/>
      <c r="Q187" s="7"/>
      <c r="R187" s="7"/>
      <c r="S187" s="7"/>
      <c r="T187" s="7"/>
      <c r="U187" s="7"/>
      <c r="AE187" s="7"/>
      <c r="AF187" s="7"/>
      <c r="AG187" s="7"/>
      <c r="AH187" s="7"/>
      <c r="AP187" s="7"/>
      <c r="AQ187" s="7"/>
      <c r="AR187" s="7"/>
      <c r="AS187" s="7"/>
      <c r="AT187" s="7"/>
      <c r="AU187" s="7"/>
      <c r="AV187" s="7"/>
      <c r="AW187" s="7"/>
      <c r="AX187" s="7"/>
      <c r="AY187" s="7"/>
      <c r="AZ187" s="7"/>
      <c r="BA187" s="7"/>
    </row>
    <row r="188" spans="2:53">
      <c r="B188" s="7"/>
      <c r="C188" s="489"/>
      <c r="D188" s="489"/>
      <c r="E188" s="490"/>
      <c r="F188" s="490"/>
      <c r="G188" s="7"/>
      <c r="H188" s="7"/>
      <c r="I188" s="7"/>
      <c r="J188" s="7"/>
      <c r="K188" s="7"/>
      <c r="L188" s="7"/>
      <c r="M188" s="7"/>
      <c r="N188" s="7"/>
      <c r="O188" s="7"/>
      <c r="P188" s="7"/>
      <c r="Q188" s="7"/>
      <c r="R188" s="7"/>
      <c r="S188" s="7"/>
      <c r="T188" s="7"/>
      <c r="U188" s="7"/>
      <c r="AE188" s="7"/>
      <c r="AF188" s="7"/>
      <c r="AG188" s="7"/>
      <c r="AH188" s="7"/>
      <c r="AP188" s="7"/>
      <c r="AQ188" s="7"/>
      <c r="AR188" s="7"/>
      <c r="AS188" s="7"/>
      <c r="AT188" s="7"/>
      <c r="AU188" s="7"/>
      <c r="AV188" s="7"/>
      <c r="AW188" s="7"/>
      <c r="AX188" s="7"/>
      <c r="AY188" s="7"/>
      <c r="AZ188" s="7"/>
      <c r="BA188" s="7"/>
    </row>
    <row r="189" spans="2:53">
      <c r="B189" s="7"/>
      <c r="C189" s="489"/>
      <c r="D189" s="489"/>
      <c r="E189" s="490"/>
      <c r="F189" s="490"/>
      <c r="G189" s="7"/>
      <c r="H189" s="7"/>
      <c r="I189" s="7"/>
      <c r="J189" s="7"/>
      <c r="K189" s="7"/>
      <c r="L189" s="7"/>
      <c r="M189" s="7"/>
      <c r="N189" s="7"/>
      <c r="O189" s="7"/>
      <c r="P189" s="7"/>
      <c r="Q189" s="7"/>
      <c r="R189" s="7"/>
      <c r="S189" s="7"/>
      <c r="T189" s="7"/>
      <c r="U189" s="7"/>
      <c r="AE189" s="7"/>
      <c r="AF189" s="7"/>
      <c r="AG189" s="7"/>
      <c r="AH189" s="7"/>
      <c r="AP189" s="7"/>
      <c r="AQ189" s="7"/>
      <c r="AR189" s="7"/>
      <c r="AS189" s="7"/>
      <c r="AT189" s="7"/>
      <c r="AU189" s="7"/>
      <c r="AV189" s="7"/>
      <c r="AW189" s="7"/>
      <c r="AX189" s="7"/>
      <c r="AY189" s="7"/>
      <c r="AZ189" s="7"/>
      <c r="BA189" s="7"/>
    </row>
    <row r="190" spans="2:53">
      <c r="B190" s="7"/>
      <c r="C190" s="489"/>
      <c r="D190" s="489"/>
      <c r="E190" s="490"/>
      <c r="F190" s="490"/>
      <c r="G190" s="7"/>
      <c r="H190" s="7"/>
      <c r="I190" s="7"/>
      <c r="J190" s="7"/>
      <c r="K190" s="7"/>
      <c r="L190" s="7"/>
      <c r="M190" s="7"/>
      <c r="N190" s="7"/>
      <c r="O190" s="7"/>
      <c r="P190" s="7"/>
      <c r="Q190" s="7"/>
      <c r="R190" s="7"/>
      <c r="S190" s="7"/>
      <c r="T190" s="7"/>
      <c r="U190" s="7"/>
      <c r="AE190" s="7"/>
      <c r="AF190" s="7"/>
      <c r="AG190" s="7"/>
      <c r="AH190" s="7"/>
      <c r="AP190" s="7"/>
      <c r="AQ190" s="7"/>
      <c r="AR190" s="7"/>
      <c r="AS190" s="7"/>
      <c r="AT190" s="7"/>
      <c r="AU190" s="7"/>
      <c r="AV190" s="7"/>
      <c r="AW190" s="7"/>
      <c r="AX190" s="7"/>
      <c r="AY190" s="7"/>
      <c r="AZ190" s="7"/>
      <c r="BA190" s="7"/>
    </row>
    <row r="191" spans="2:53">
      <c r="B191" s="7"/>
      <c r="C191" s="489"/>
      <c r="D191" s="489"/>
      <c r="E191" s="490"/>
      <c r="F191" s="490"/>
      <c r="G191" s="7"/>
      <c r="H191" s="7"/>
      <c r="I191" s="7"/>
      <c r="J191" s="7"/>
      <c r="K191" s="7"/>
      <c r="L191" s="7"/>
      <c r="M191" s="7"/>
      <c r="N191" s="7"/>
      <c r="O191" s="7"/>
      <c r="P191" s="7"/>
      <c r="Q191" s="7"/>
      <c r="R191" s="7"/>
      <c r="S191" s="7"/>
      <c r="T191" s="7"/>
      <c r="U191" s="7"/>
      <c r="AE191" s="7"/>
      <c r="AF191" s="7"/>
      <c r="AG191" s="7"/>
      <c r="AH191" s="7"/>
      <c r="AP191" s="7"/>
      <c r="AQ191" s="7"/>
      <c r="AR191" s="7"/>
      <c r="AS191" s="7"/>
      <c r="AT191" s="7"/>
      <c r="AU191" s="7"/>
      <c r="AV191" s="7"/>
      <c r="AW191" s="7"/>
      <c r="AX191" s="7"/>
      <c r="AY191" s="7"/>
      <c r="AZ191" s="7"/>
      <c r="BA191" s="7"/>
    </row>
    <row r="192" spans="2:53">
      <c r="B192" s="7"/>
      <c r="C192" s="489"/>
      <c r="D192" s="489"/>
      <c r="E192" s="490"/>
      <c r="F192" s="490"/>
      <c r="G192" s="7"/>
      <c r="H192" s="7"/>
      <c r="I192" s="7"/>
      <c r="J192" s="7"/>
      <c r="K192" s="7"/>
      <c r="L192" s="7"/>
      <c r="M192" s="7"/>
      <c r="N192" s="7"/>
      <c r="O192" s="7"/>
      <c r="P192" s="7"/>
      <c r="Q192" s="7"/>
      <c r="R192" s="7"/>
      <c r="S192" s="7"/>
      <c r="T192" s="7"/>
      <c r="U192" s="7"/>
      <c r="AE192" s="7"/>
      <c r="AF192" s="7"/>
      <c r="AG192" s="7"/>
      <c r="AH192" s="7"/>
      <c r="AP192" s="7"/>
      <c r="AQ192" s="7"/>
      <c r="AR192" s="7"/>
      <c r="AS192" s="7"/>
      <c r="AT192" s="7"/>
      <c r="AU192" s="7"/>
      <c r="AV192" s="7"/>
      <c r="AW192" s="7"/>
      <c r="AX192" s="7"/>
      <c r="AY192" s="7"/>
      <c r="AZ192" s="7"/>
      <c r="BA192" s="7"/>
    </row>
    <row r="193" spans="2:53">
      <c r="B193" s="7"/>
      <c r="C193" s="489"/>
      <c r="D193" s="489"/>
      <c r="E193" s="490"/>
      <c r="F193" s="490"/>
      <c r="G193" s="7"/>
      <c r="H193" s="7"/>
      <c r="I193" s="7"/>
      <c r="J193" s="7"/>
      <c r="K193" s="7"/>
      <c r="L193" s="7"/>
      <c r="M193" s="7"/>
      <c r="N193" s="7"/>
      <c r="O193" s="7"/>
      <c r="P193" s="7"/>
      <c r="Q193" s="7"/>
      <c r="R193" s="7"/>
      <c r="S193" s="7"/>
      <c r="T193" s="7"/>
      <c r="U193" s="7"/>
      <c r="AE193" s="7"/>
      <c r="AF193" s="7"/>
      <c r="AG193" s="7"/>
      <c r="AH193" s="7"/>
      <c r="AP193" s="7"/>
      <c r="AQ193" s="7"/>
      <c r="AR193" s="7"/>
      <c r="AS193" s="7"/>
      <c r="AT193" s="7"/>
      <c r="AU193" s="7"/>
      <c r="AV193" s="7"/>
      <c r="AW193" s="7"/>
      <c r="AX193" s="7"/>
      <c r="AY193" s="7"/>
      <c r="AZ193" s="7"/>
      <c r="BA193" s="7"/>
    </row>
    <row r="194" spans="2:53">
      <c r="B194" s="7"/>
      <c r="C194" s="489"/>
      <c r="D194" s="489"/>
      <c r="E194" s="490"/>
      <c r="F194" s="490"/>
      <c r="G194" s="7"/>
      <c r="H194" s="7"/>
      <c r="I194" s="7"/>
      <c r="J194" s="7"/>
      <c r="K194" s="7"/>
      <c r="L194" s="7"/>
      <c r="M194" s="7"/>
      <c r="N194" s="7"/>
      <c r="O194" s="7"/>
      <c r="P194" s="7"/>
      <c r="Q194" s="7"/>
      <c r="R194" s="7"/>
      <c r="S194" s="7"/>
      <c r="T194" s="7"/>
      <c r="U194" s="7"/>
      <c r="AE194" s="7"/>
      <c r="AF194" s="7"/>
      <c r="AG194" s="7"/>
      <c r="AH194" s="7"/>
      <c r="AP194" s="7"/>
      <c r="AQ194" s="7"/>
      <c r="AR194" s="7"/>
      <c r="AS194" s="7"/>
      <c r="AT194" s="7"/>
      <c r="AU194" s="7"/>
      <c r="AV194" s="7"/>
      <c r="AW194" s="7"/>
      <c r="AX194" s="7"/>
      <c r="AY194" s="7"/>
      <c r="AZ194" s="7"/>
      <c r="BA194" s="7"/>
    </row>
    <row r="195" spans="2:53">
      <c r="B195" s="7"/>
      <c r="C195" s="489"/>
      <c r="D195" s="489"/>
      <c r="E195" s="490"/>
      <c r="F195" s="490"/>
      <c r="G195" s="7"/>
      <c r="H195" s="7"/>
      <c r="I195" s="7"/>
      <c r="J195" s="7"/>
      <c r="K195" s="7"/>
      <c r="L195" s="7"/>
      <c r="M195" s="7"/>
      <c r="N195" s="7"/>
      <c r="O195" s="7"/>
      <c r="P195" s="7"/>
      <c r="Q195" s="7"/>
      <c r="R195" s="7"/>
      <c r="S195" s="7"/>
      <c r="T195" s="7"/>
      <c r="U195" s="7"/>
      <c r="AE195" s="7"/>
      <c r="AF195" s="7"/>
      <c r="AG195" s="7"/>
      <c r="AH195" s="7"/>
      <c r="AP195" s="7"/>
      <c r="AQ195" s="7"/>
      <c r="AR195" s="7"/>
      <c r="AS195" s="7"/>
      <c r="AT195" s="7"/>
      <c r="AU195" s="7"/>
      <c r="AV195" s="7"/>
      <c r="AW195" s="7"/>
      <c r="AX195" s="7"/>
      <c r="AY195" s="7"/>
      <c r="AZ195" s="7"/>
      <c r="BA195" s="7"/>
    </row>
    <row r="196" spans="2:53">
      <c r="B196" s="7"/>
      <c r="C196" s="489"/>
      <c r="D196" s="489"/>
      <c r="E196" s="490"/>
      <c r="F196" s="490"/>
      <c r="G196" s="7"/>
      <c r="H196" s="7"/>
      <c r="I196" s="7"/>
      <c r="J196" s="7"/>
      <c r="K196" s="7"/>
      <c r="L196" s="7"/>
      <c r="M196" s="7"/>
      <c r="N196" s="7"/>
      <c r="O196" s="7"/>
      <c r="P196" s="7"/>
      <c r="Q196" s="7"/>
      <c r="R196" s="7"/>
      <c r="S196" s="7"/>
      <c r="T196" s="7"/>
      <c r="U196" s="7"/>
      <c r="AE196" s="7"/>
      <c r="AF196" s="7"/>
      <c r="AG196" s="7"/>
      <c r="AH196" s="7"/>
      <c r="AP196" s="7"/>
      <c r="AQ196" s="7"/>
      <c r="AR196" s="7"/>
      <c r="AS196" s="7"/>
      <c r="AT196" s="7"/>
      <c r="AU196" s="7"/>
      <c r="AV196" s="7"/>
      <c r="AW196" s="7"/>
      <c r="AX196" s="7"/>
      <c r="AY196" s="7"/>
      <c r="AZ196" s="7"/>
      <c r="BA196" s="7"/>
    </row>
    <row r="197" spans="2:53">
      <c r="B197" s="7"/>
      <c r="C197" s="489"/>
      <c r="D197" s="489"/>
      <c r="E197" s="490"/>
      <c r="F197" s="490"/>
      <c r="G197" s="7"/>
      <c r="H197" s="7"/>
      <c r="I197" s="7"/>
      <c r="J197" s="7"/>
      <c r="K197" s="7"/>
      <c r="L197" s="7"/>
      <c r="M197" s="7"/>
      <c r="N197" s="7"/>
      <c r="O197" s="7"/>
      <c r="P197" s="7"/>
      <c r="Q197" s="7"/>
      <c r="R197" s="7"/>
      <c r="S197" s="7"/>
      <c r="T197" s="7"/>
      <c r="U197" s="7"/>
      <c r="AE197" s="7"/>
      <c r="AF197" s="7"/>
      <c r="AG197" s="7"/>
      <c r="AH197" s="7"/>
      <c r="AP197" s="7"/>
      <c r="AQ197" s="7"/>
      <c r="AR197" s="7"/>
      <c r="AS197" s="7"/>
      <c r="AT197" s="7"/>
      <c r="AU197" s="7"/>
      <c r="AV197" s="7"/>
      <c r="AW197" s="7"/>
      <c r="AX197" s="7"/>
      <c r="AY197" s="7"/>
      <c r="AZ197" s="7"/>
      <c r="BA197" s="7"/>
    </row>
    <row r="198" spans="2:53">
      <c r="B198" s="7"/>
      <c r="C198" s="489"/>
      <c r="D198" s="489"/>
      <c r="E198" s="490"/>
      <c r="F198" s="490"/>
      <c r="G198" s="7"/>
      <c r="H198" s="7"/>
      <c r="I198" s="7"/>
      <c r="J198" s="7"/>
      <c r="K198" s="7"/>
      <c r="L198" s="7"/>
      <c r="M198" s="7"/>
      <c r="N198" s="7"/>
      <c r="O198" s="7"/>
      <c r="P198" s="7"/>
      <c r="Q198" s="7"/>
      <c r="R198" s="7"/>
      <c r="S198" s="7"/>
      <c r="T198" s="7"/>
      <c r="U198" s="7"/>
      <c r="AE198" s="7"/>
      <c r="AF198" s="7"/>
      <c r="AG198" s="7"/>
      <c r="AH198" s="7"/>
      <c r="AP198" s="7"/>
      <c r="AQ198" s="7"/>
      <c r="AR198" s="7"/>
      <c r="AS198" s="7"/>
      <c r="AT198" s="7"/>
      <c r="AU198" s="7"/>
      <c r="AV198" s="7"/>
      <c r="AW198" s="7"/>
      <c r="AX198" s="7"/>
      <c r="AY198" s="7"/>
      <c r="AZ198" s="7"/>
      <c r="BA198" s="7"/>
    </row>
    <row r="199" spans="2:53">
      <c r="B199" s="7"/>
      <c r="C199" s="489"/>
      <c r="D199" s="489"/>
      <c r="E199" s="490"/>
      <c r="F199" s="490"/>
      <c r="G199" s="7"/>
      <c r="H199" s="7"/>
      <c r="I199" s="7"/>
      <c r="J199" s="7"/>
      <c r="K199" s="7"/>
      <c r="L199" s="7"/>
      <c r="M199" s="7"/>
      <c r="N199" s="7"/>
      <c r="O199" s="7"/>
      <c r="P199" s="7"/>
      <c r="Q199" s="7"/>
      <c r="R199" s="7"/>
      <c r="S199" s="7"/>
      <c r="T199" s="7"/>
      <c r="U199" s="7"/>
      <c r="AE199" s="7"/>
      <c r="AF199" s="7"/>
      <c r="AG199" s="7"/>
      <c r="AH199" s="7"/>
      <c r="AP199" s="7"/>
      <c r="AQ199" s="7"/>
      <c r="AR199" s="7"/>
      <c r="AS199" s="7"/>
      <c r="AT199" s="7"/>
      <c r="AU199" s="7"/>
      <c r="AV199" s="7"/>
      <c r="AW199" s="7"/>
      <c r="AX199" s="7"/>
      <c r="AY199" s="7"/>
      <c r="AZ199" s="7"/>
      <c r="BA199" s="7"/>
    </row>
    <row r="200" spans="2:53">
      <c r="B200" s="7"/>
      <c r="C200" s="489"/>
      <c r="D200" s="489"/>
      <c r="E200" s="490"/>
      <c r="F200" s="490"/>
      <c r="G200" s="7"/>
      <c r="H200" s="7"/>
      <c r="I200" s="7"/>
      <c r="J200" s="7"/>
      <c r="K200" s="7"/>
      <c r="L200" s="7"/>
      <c r="M200" s="7"/>
      <c r="N200" s="7"/>
      <c r="O200" s="7"/>
      <c r="P200" s="7"/>
      <c r="Q200" s="7"/>
      <c r="R200" s="7"/>
      <c r="S200" s="7"/>
      <c r="T200" s="7"/>
      <c r="U200" s="7"/>
      <c r="AE200" s="7"/>
      <c r="AF200" s="7"/>
      <c r="AG200" s="7"/>
      <c r="AH200" s="7"/>
      <c r="AP200" s="7"/>
      <c r="AQ200" s="7"/>
      <c r="AR200" s="7"/>
      <c r="AS200" s="7"/>
      <c r="AT200" s="7"/>
      <c r="AU200" s="7"/>
      <c r="AV200" s="7"/>
      <c r="AW200" s="7"/>
      <c r="AX200" s="7"/>
      <c r="AY200" s="7"/>
      <c r="AZ200" s="7"/>
      <c r="BA200" s="7"/>
    </row>
    <row r="201" spans="2:53">
      <c r="B201" s="7"/>
      <c r="C201" s="489"/>
      <c r="D201" s="489"/>
      <c r="E201" s="490"/>
      <c r="F201" s="490"/>
      <c r="G201" s="7"/>
      <c r="H201" s="7"/>
      <c r="I201" s="7"/>
      <c r="J201" s="7"/>
      <c r="K201" s="7"/>
      <c r="L201" s="7"/>
      <c r="M201" s="7"/>
      <c r="N201" s="7"/>
      <c r="O201" s="7"/>
      <c r="P201" s="7"/>
      <c r="Q201" s="7"/>
      <c r="R201" s="7"/>
      <c r="S201" s="7"/>
      <c r="T201" s="7"/>
      <c r="U201" s="7"/>
      <c r="AE201" s="7"/>
      <c r="AF201" s="7"/>
      <c r="AG201" s="7"/>
      <c r="AH201" s="7"/>
      <c r="AP201" s="7"/>
      <c r="AQ201" s="7"/>
      <c r="AR201" s="7"/>
      <c r="AS201" s="7"/>
      <c r="AT201" s="7"/>
      <c r="AU201" s="7"/>
      <c r="AV201" s="7"/>
      <c r="AW201" s="7"/>
      <c r="AX201" s="7"/>
      <c r="AY201" s="7"/>
      <c r="AZ201" s="7"/>
      <c r="BA201" s="7"/>
    </row>
    <row r="202" spans="2:53">
      <c r="B202" s="7"/>
      <c r="C202" s="489"/>
      <c r="D202" s="489"/>
      <c r="E202" s="490"/>
      <c r="F202" s="490"/>
      <c r="G202" s="7"/>
      <c r="H202" s="7"/>
      <c r="I202" s="7"/>
      <c r="J202" s="7"/>
      <c r="K202" s="7"/>
      <c r="L202" s="7"/>
      <c r="M202" s="7"/>
      <c r="N202" s="7"/>
      <c r="O202" s="7"/>
      <c r="P202" s="7"/>
      <c r="Q202" s="7"/>
      <c r="R202" s="7"/>
      <c r="S202" s="7"/>
      <c r="T202" s="7"/>
      <c r="U202" s="7"/>
      <c r="AE202" s="7"/>
      <c r="AF202" s="7"/>
      <c r="AG202" s="7"/>
      <c r="AH202" s="7"/>
      <c r="AP202" s="7"/>
      <c r="AQ202" s="7"/>
      <c r="AR202" s="7"/>
      <c r="AS202" s="7"/>
      <c r="AT202" s="7"/>
      <c r="AU202" s="7"/>
      <c r="AV202" s="7"/>
      <c r="AW202" s="7"/>
      <c r="AX202" s="7"/>
      <c r="AY202" s="7"/>
      <c r="AZ202" s="7"/>
      <c r="BA202" s="7"/>
    </row>
    <row r="203" spans="2:53">
      <c r="B203" s="7"/>
      <c r="C203" s="489"/>
      <c r="D203" s="489"/>
      <c r="E203" s="490"/>
      <c r="F203" s="490"/>
      <c r="G203" s="7"/>
      <c r="H203" s="7"/>
      <c r="I203" s="7"/>
      <c r="J203" s="7"/>
      <c r="K203" s="7"/>
      <c r="L203" s="7"/>
      <c r="M203" s="7"/>
      <c r="N203" s="7"/>
      <c r="O203" s="7"/>
      <c r="P203" s="7"/>
      <c r="Q203" s="7"/>
      <c r="R203" s="7"/>
      <c r="S203" s="7"/>
      <c r="T203" s="7"/>
      <c r="U203" s="7"/>
      <c r="AE203" s="7"/>
      <c r="AF203" s="7"/>
      <c r="AG203" s="7"/>
      <c r="AH203" s="7"/>
      <c r="AP203" s="7"/>
      <c r="AQ203" s="7"/>
      <c r="AR203" s="7"/>
      <c r="AS203" s="7"/>
      <c r="AT203" s="7"/>
      <c r="AU203" s="7"/>
      <c r="AV203" s="7"/>
      <c r="AW203" s="7"/>
      <c r="AX203" s="7"/>
      <c r="AY203" s="7"/>
      <c r="AZ203" s="7"/>
      <c r="BA203" s="7"/>
    </row>
    <row r="204" spans="2:53">
      <c r="B204" s="7"/>
      <c r="C204" s="489"/>
      <c r="D204" s="489"/>
      <c r="E204" s="490"/>
      <c r="F204" s="490"/>
      <c r="G204" s="7"/>
      <c r="H204" s="7"/>
      <c r="I204" s="7"/>
      <c r="J204" s="7"/>
      <c r="K204" s="7"/>
      <c r="L204" s="7"/>
      <c r="M204" s="7"/>
      <c r="N204" s="7"/>
      <c r="O204" s="7"/>
      <c r="P204" s="7"/>
      <c r="Q204" s="7"/>
      <c r="R204" s="7"/>
      <c r="S204" s="7"/>
      <c r="T204" s="7"/>
      <c r="U204" s="7"/>
      <c r="AE204" s="7"/>
      <c r="AF204" s="7"/>
      <c r="AG204" s="7"/>
      <c r="AH204" s="7"/>
      <c r="AP204" s="7"/>
      <c r="AQ204" s="7"/>
      <c r="AR204" s="7"/>
      <c r="AS204" s="7"/>
      <c r="AT204" s="7"/>
      <c r="AU204" s="7"/>
      <c r="AV204" s="7"/>
      <c r="AW204" s="7"/>
      <c r="AX204" s="7"/>
      <c r="AY204" s="7"/>
      <c r="AZ204" s="7"/>
      <c r="BA204" s="7"/>
    </row>
    <row r="205" spans="2:53">
      <c r="B205" s="7"/>
      <c r="C205" s="489"/>
      <c r="D205" s="489"/>
      <c r="E205" s="490"/>
      <c r="F205" s="490"/>
      <c r="G205" s="7"/>
      <c r="H205" s="7"/>
      <c r="I205" s="7"/>
      <c r="J205" s="7"/>
      <c r="K205" s="7"/>
      <c r="L205" s="7"/>
      <c r="M205" s="7"/>
      <c r="N205" s="7"/>
      <c r="O205" s="7"/>
      <c r="P205" s="7"/>
      <c r="Q205" s="7"/>
      <c r="R205" s="7"/>
      <c r="S205" s="7"/>
      <c r="T205" s="7"/>
      <c r="U205" s="7"/>
      <c r="AE205" s="7"/>
      <c r="AF205" s="7"/>
      <c r="AG205" s="7"/>
      <c r="AH205" s="7"/>
      <c r="AP205" s="7"/>
      <c r="AQ205" s="7"/>
      <c r="AR205" s="7"/>
      <c r="AS205" s="7"/>
      <c r="AT205" s="7"/>
      <c r="AU205" s="7"/>
      <c r="AV205" s="7"/>
      <c r="AW205" s="7"/>
      <c r="AX205" s="7"/>
      <c r="AY205" s="7"/>
      <c r="AZ205" s="7"/>
      <c r="BA205" s="7"/>
    </row>
    <row r="206" spans="2:53">
      <c r="B206" s="7"/>
      <c r="C206" s="489"/>
      <c r="D206" s="489"/>
      <c r="E206" s="490"/>
      <c r="F206" s="490"/>
      <c r="G206" s="7"/>
      <c r="H206" s="7"/>
      <c r="I206" s="7"/>
      <c r="J206" s="7"/>
      <c r="K206" s="7"/>
      <c r="L206" s="7"/>
      <c r="M206" s="7"/>
      <c r="N206" s="7"/>
      <c r="O206" s="7"/>
      <c r="P206" s="7"/>
      <c r="Q206" s="7"/>
      <c r="R206" s="7"/>
      <c r="S206" s="7"/>
      <c r="T206" s="7"/>
      <c r="U206" s="7"/>
      <c r="AE206" s="7"/>
      <c r="AF206" s="7"/>
      <c r="AG206" s="7"/>
      <c r="AH206" s="7"/>
      <c r="AP206" s="7"/>
      <c r="AQ206" s="7"/>
      <c r="AR206" s="7"/>
      <c r="AS206" s="7"/>
      <c r="AT206" s="7"/>
      <c r="AU206" s="7"/>
      <c r="AV206" s="7"/>
      <c r="AW206" s="7"/>
      <c r="AX206" s="7"/>
      <c r="AY206" s="7"/>
      <c r="AZ206" s="7"/>
      <c r="BA206" s="7"/>
    </row>
    <row r="207" spans="2:53">
      <c r="B207" s="7"/>
      <c r="C207" s="489"/>
      <c r="D207" s="489"/>
      <c r="E207" s="490"/>
      <c r="F207" s="490"/>
      <c r="G207" s="7"/>
      <c r="H207" s="7"/>
      <c r="I207" s="7"/>
      <c r="J207" s="7"/>
      <c r="K207" s="7"/>
      <c r="L207" s="7"/>
      <c r="M207" s="7"/>
      <c r="N207" s="7"/>
      <c r="O207" s="7"/>
      <c r="P207" s="7"/>
      <c r="Q207" s="7"/>
      <c r="R207" s="7"/>
      <c r="S207" s="7"/>
      <c r="T207" s="7"/>
      <c r="U207" s="7"/>
      <c r="AE207" s="7"/>
      <c r="AF207" s="7"/>
      <c r="AG207" s="7"/>
      <c r="AH207" s="7"/>
      <c r="AP207" s="7"/>
      <c r="AQ207" s="7"/>
      <c r="AR207" s="7"/>
      <c r="AS207" s="7"/>
      <c r="AT207" s="7"/>
      <c r="AU207" s="7"/>
      <c r="AV207" s="7"/>
      <c r="AW207" s="7"/>
      <c r="AX207" s="7"/>
      <c r="AY207" s="7"/>
      <c r="AZ207" s="7"/>
      <c r="BA207" s="7"/>
    </row>
    <row r="208" spans="2:53">
      <c r="B208" s="7"/>
      <c r="C208" s="489"/>
      <c r="D208" s="489"/>
      <c r="E208" s="490"/>
      <c r="F208" s="490"/>
      <c r="G208" s="7"/>
      <c r="H208" s="7"/>
      <c r="I208" s="7"/>
      <c r="J208" s="7"/>
      <c r="K208" s="7"/>
      <c r="L208" s="7"/>
      <c r="M208" s="7"/>
      <c r="N208" s="7"/>
      <c r="O208" s="7"/>
      <c r="P208" s="7"/>
      <c r="Q208" s="7"/>
      <c r="R208" s="7"/>
      <c r="S208" s="7"/>
      <c r="T208" s="7"/>
      <c r="U208" s="7"/>
      <c r="AE208" s="7"/>
      <c r="AF208" s="7"/>
      <c r="AG208" s="7"/>
      <c r="AH208" s="7"/>
      <c r="AP208" s="7"/>
      <c r="AQ208" s="7"/>
      <c r="AR208" s="7"/>
      <c r="AS208" s="7"/>
      <c r="AT208" s="7"/>
      <c r="AU208" s="7"/>
      <c r="AV208" s="7"/>
      <c r="AW208" s="7"/>
      <c r="AX208" s="7"/>
      <c r="AY208" s="7"/>
      <c r="AZ208" s="7"/>
      <c r="BA208" s="7"/>
    </row>
    <row r="209" spans="1:53">
      <c r="B209" s="7"/>
      <c r="C209" s="489"/>
      <c r="D209" s="489"/>
      <c r="E209" s="490"/>
      <c r="F209" s="490"/>
      <c r="G209" s="7"/>
      <c r="H209" s="7"/>
      <c r="I209" s="7"/>
      <c r="J209" s="7"/>
      <c r="K209" s="7"/>
      <c r="L209" s="7"/>
      <c r="M209" s="7"/>
      <c r="N209" s="7"/>
      <c r="O209" s="7"/>
      <c r="P209" s="7"/>
      <c r="Q209" s="7"/>
      <c r="R209" s="7"/>
      <c r="S209" s="7"/>
      <c r="T209" s="7"/>
      <c r="U209" s="7"/>
      <c r="AE209" s="7"/>
      <c r="AF209" s="7"/>
      <c r="AG209" s="7"/>
      <c r="AH209" s="7"/>
      <c r="AP209" s="7"/>
      <c r="AQ209" s="7"/>
      <c r="AR209" s="7"/>
      <c r="AS209" s="7"/>
      <c r="AT209" s="7"/>
      <c r="AU209" s="7"/>
      <c r="AV209" s="7"/>
      <c r="AW209" s="7"/>
      <c r="AX209" s="7"/>
      <c r="AY209" s="7"/>
      <c r="AZ209" s="7"/>
      <c r="BA209" s="7"/>
    </row>
    <row r="210" spans="1:53">
      <c r="B210" s="7"/>
      <c r="C210" s="489"/>
      <c r="D210" s="489"/>
      <c r="E210" s="490"/>
      <c r="F210" s="490"/>
      <c r="G210" s="7"/>
      <c r="H210" s="7"/>
      <c r="I210" s="7"/>
      <c r="J210" s="7"/>
      <c r="K210" s="7"/>
      <c r="L210" s="7"/>
      <c r="M210" s="7"/>
      <c r="N210" s="7"/>
      <c r="O210" s="7"/>
      <c r="P210" s="7"/>
      <c r="Q210" s="7"/>
      <c r="R210" s="7"/>
      <c r="S210" s="7"/>
      <c r="T210" s="7"/>
      <c r="U210" s="7"/>
      <c r="AE210" s="7"/>
      <c r="AF210" s="7"/>
      <c r="AG210" s="7"/>
      <c r="AH210" s="7"/>
      <c r="AP210" s="7"/>
      <c r="AQ210" s="7"/>
      <c r="AR210" s="7"/>
      <c r="AS210" s="7"/>
      <c r="AT210" s="7"/>
      <c r="AU210" s="7"/>
      <c r="AV210" s="7"/>
      <c r="AW210" s="7"/>
      <c r="AX210" s="7"/>
      <c r="AY210" s="7"/>
      <c r="AZ210" s="7"/>
      <c r="BA210" s="7"/>
    </row>
    <row r="211" spans="1:53">
      <c r="B211" s="7"/>
      <c r="C211" s="489"/>
      <c r="D211" s="489"/>
      <c r="E211" s="490"/>
      <c r="F211" s="490"/>
      <c r="G211" s="7"/>
      <c r="H211" s="7"/>
      <c r="I211" s="7"/>
      <c r="J211" s="7"/>
      <c r="K211" s="7"/>
      <c r="L211" s="7"/>
      <c r="M211" s="7"/>
      <c r="N211" s="7"/>
      <c r="O211" s="7"/>
      <c r="P211" s="7"/>
      <c r="Q211" s="7"/>
      <c r="R211" s="7"/>
      <c r="S211" s="7"/>
      <c r="T211" s="7"/>
      <c r="U211" s="7"/>
      <c r="AE211" s="7"/>
      <c r="AF211" s="7"/>
      <c r="AG211" s="7"/>
      <c r="AH211" s="7"/>
      <c r="AP211" s="7"/>
      <c r="AQ211" s="7"/>
      <c r="AR211" s="7"/>
      <c r="AS211" s="7"/>
      <c r="AT211" s="7"/>
      <c r="AU211" s="7"/>
      <c r="AV211" s="7"/>
      <c r="AW211" s="7"/>
      <c r="AX211" s="7"/>
      <c r="AY211" s="7"/>
      <c r="AZ211" s="7"/>
      <c r="BA211" s="7"/>
    </row>
    <row r="212" spans="1:53">
      <c r="B212" s="7"/>
      <c r="C212" s="489"/>
      <c r="D212" s="489"/>
      <c r="E212" s="490"/>
      <c r="F212" s="490"/>
      <c r="G212" s="7"/>
      <c r="H212" s="7"/>
      <c r="I212" s="7"/>
      <c r="J212" s="7"/>
      <c r="K212" s="7"/>
      <c r="L212" s="7"/>
      <c r="M212" s="7"/>
      <c r="N212" s="7"/>
      <c r="O212" s="7"/>
      <c r="P212" s="7"/>
      <c r="Q212" s="7"/>
      <c r="R212" s="7"/>
      <c r="S212" s="7"/>
      <c r="T212" s="7"/>
      <c r="U212" s="7"/>
      <c r="AE212" s="7"/>
      <c r="AF212" s="7"/>
      <c r="AG212" s="7"/>
      <c r="AH212" s="7"/>
      <c r="AP212" s="7"/>
      <c r="AQ212" s="7"/>
      <c r="AR212" s="7"/>
      <c r="AS212" s="7"/>
      <c r="AT212" s="7"/>
      <c r="AU212" s="7"/>
      <c r="AV212" s="7"/>
      <c r="AW212" s="7"/>
      <c r="AX212" s="7"/>
      <c r="AY212" s="7"/>
      <c r="AZ212" s="7"/>
      <c r="BA212" s="7"/>
    </row>
    <row r="213" spans="1:53">
      <c r="B213" s="7"/>
      <c r="C213" s="489"/>
      <c r="D213" s="489"/>
      <c r="E213" s="490"/>
      <c r="F213" s="490"/>
      <c r="G213" s="7"/>
      <c r="H213" s="7"/>
      <c r="I213" s="7"/>
      <c r="J213" s="7"/>
      <c r="K213" s="7"/>
      <c r="L213" s="7"/>
      <c r="M213" s="7"/>
      <c r="N213" s="7"/>
      <c r="O213" s="7"/>
      <c r="P213" s="7"/>
      <c r="Q213" s="7"/>
      <c r="R213" s="7"/>
      <c r="S213" s="7"/>
      <c r="T213" s="7"/>
      <c r="U213" s="7"/>
      <c r="AE213" s="7"/>
      <c r="AF213" s="7"/>
      <c r="AG213" s="7"/>
      <c r="AH213" s="7"/>
      <c r="AP213" s="7"/>
      <c r="AQ213" s="7"/>
      <c r="AR213" s="7"/>
      <c r="AS213" s="7"/>
      <c r="AT213" s="7"/>
      <c r="AU213" s="7"/>
      <c r="AV213" s="7"/>
      <c r="AW213" s="7"/>
      <c r="AX213" s="7"/>
      <c r="AY213" s="7"/>
      <c r="AZ213" s="7"/>
      <c r="BA213" s="7"/>
    </row>
    <row r="214" spans="1:53">
      <c r="B214" s="7"/>
      <c r="C214" s="489"/>
      <c r="D214" s="489"/>
      <c r="E214" s="490"/>
      <c r="F214" s="490"/>
      <c r="G214" s="7"/>
      <c r="H214" s="7"/>
      <c r="I214" s="7"/>
      <c r="J214" s="7"/>
      <c r="K214" s="7"/>
      <c r="L214" s="7"/>
      <c r="M214" s="7"/>
      <c r="N214" s="7"/>
      <c r="O214" s="7"/>
      <c r="P214" s="7"/>
      <c r="Q214" s="7"/>
      <c r="R214" s="7"/>
      <c r="S214" s="7"/>
      <c r="T214" s="7"/>
      <c r="U214" s="7"/>
      <c r="AE214" s="7"/>
      <c r="AF214" s="7"/>
      <c r="AG214" s="7"/>
      <c r="AH214" s="7"/>
      <c r="AP214" s="7"/>
      <c r="AQ214" s="7"/>
      <c r="AR214" s="7"/>
      <c r="AS214" s="7"/>
      <c r="AT214" s="7"/>
      <c r="AU214" s="7"/>
      <c r="AV214" s="7"/>
      <c r="AW214" s="7"/>
      <c r="AX214" s="7"/>
      <c r="AY214" s="7"/>
      <c r="AZ214" s="7"/>
      <c r="BA214" s="7"/>
    </row>
    <row r="215" spans="1:53">
      <c r="B215" s="7"/>
      <c r="C215" s="489"/>
      <c r="D215" s="489"/>
      <c r="E215" s="490"/>
      <c r="F215" s="490"/>
      <c r="G215" s="7"/>
      <c r="H215" s="7"/>
      <c r="I215" s="7"/>
      <c r="J215" s="7"/>
      <c r="K215" s="7"/>
      <c r="L215" s="7"/>
      <c r="M215" s="7"/>
      <c r="N215" s="7"/>
      <c r="O215" s="7"/>
      <c r="P215" s="7"/>
      <c r="Q215" s="7"/>
      <c r="R215" s="7"/>
      <c r="S215" s="7"/>
      <c r="T215" s="7"/>
      <c r="U215" s="7"/>
      <c r="AE215" s="7"/>
      <c r="AF215" s="7"/>
      <c r="AG215" s="7"/>
      <c r="AH215" s="7"/>
      <c r="AP215" s="7"/>
      <c r="AQ215" s="7"/>
      <c r="AR215" s="7"/>
      <c r="AS215" s="7"/>
      <c r="AT215" s="7"/>
      <c r="AU215" s="7"/>
      <c r="AV215" s="7"/>
      <c r="AW215" s="7"/>
      <c r="AX215" s="7"/>
      <c r="AY215" s="7"/>
      <c r="AZ215" s="7"/>
      <c r="BA215" s="7"/>
    </row>
    <row r="216" spans="1:53">
      <c r="B216" s="7"/>
      <c r="C216" s="489"/>
      <c r="D216" s="489"/>
      <c r="E216" s="490"/>
      <c r="F216" s="490"/>
      <c r="G216" s="7"/>
      <c r="H216" s="7"/>
      <c r="I216" s="7"/>
      <c r="J216" s="7"/>
      <c r="K216" s="7"/>
      <c r="L216" s="7"/>
      <c r="M216" s="7"/>
      <c r="N216" s="7"/>
      <c r="O216" s="7"/>
      <c r="P216" s="7"/>
      <c r="Q216" s="7"/>
      <c r="R216" s="7"/>
      <c r="S216" s="7"/>
      <c r="T216" s="7"/>
      <c r="U216" s="7"/>
      <c r="AE216" s="7"/>
      <c r="AF216" s="7"/>
      <c r="AG216" s="7"/>
      <c r="AH216" s="7"/>
      <c r="AP216" s="7"/>
      <c r="AQ216" s="7"/>
      <c r="AR216" s="7"/>
      <c r="AS216" s="7"/>
      <c r="AT216" s="7"/>
      <c r="AU216" s="7"/>
      <c r="AV216" s="7"/>
      <c r="AW216" s="7"/>
      <c r="AX216" s="7"/>
      <c r="AY216" s="7"/>
      <c r="AZ216" s="7"/>
      <c r="BA216" s="7"/>
    </row>
    <row r="217" spans="1:53">
      <c r="B217" s="7"/>
      <c r="C217" s="489"/>
      <c r="D217" s="489"/>
      <c r="E217" s="490"/>
      <c r="F217" s="490"/>
      <c r="G217" s="7"/>
      <c r="H217" s="7"/>
      <c r="I217" s="7"/>
      <c r="J217" s="7"/>
      <c r="K217" s="7"/>
      <c r="L217" s="7"/>
      <c r="M217" s="7"/>
      <c r="N217" s="7"/>
      <c r="O217" s="7"/>
      <c r="P217" s="7"/>
      <c r="Q217" s="7"/>
      <c r="R217" s="7"/>
      <c r="S217" s="7"/>
      <c r="T217" s="7"/>
      <c r="U217" s="7"/>
      <c r="AE217" s="7"/>
      <c r="AF217" s="7"/>
      <c r="AG217" s="7"/>
      <c r="AH217" s="7"/>
      <c r="AP217" s="7"/>
      <c r="AQ217" s="7"/>
      <c r="AR217" s="7"/>
      <c r="AS217" s="7"/>
      <c r="AT217" s="7"/>
      <c r="AU217" s="7"/>
      <c r="AV217" s="7"/>
      <c r="AW217" s="7"/>
      <c r="AX217" s="7"/>
      <c r="AY217" s="7"/>
      <c r="AZ217" s="7"/>
      <c r="BA217" s="7"/>
    </row>
    <row r="218" spans="1:53" s="7" customFormat="1">
      <c r="A218" s="95"/>
      <c r="B218" s="279"/>
      <c r="C218" s="487"/>
      <c r="D218" s="487"/>
      <c r="E218" s="488"/>
      <c r="F218" s="495"/>
      <c r="G218" s="68"/>
      <c r="H218" s="136" t="s">
        <v>39</v>
      </c>
      <c r="I218" s="47"/>
      <c r="J218" s="47"/>
      <c r="K218" s="47"/>
      <c r="L218" s="47"/>
      <c r="M218" s="47"/>
      <c r="N218" s="47"/>
      <c r="O218" s="47"/>
      <c r="P218" s="47"/>
      <c r="Q218" s="47"/>
      <c r="R218" s="47"/>
      <c r="S218" s="47"/>
      <c r="T218" s="47"/>
      <c r="V218" s="47"/>
      <c r="W218" s="47"/>
      <c r="X218" s="47"/>
      <c r="Y218" s="47"/>
      <c r="Z218" s="47"/>
      <c r="AA218" s="47"/>
      <c r="AB218" s="47"/>
      <c r="AC218" s="47"/>
      <c r="AD218" s="47"/>
      <c r="AE218" s="47"/>
      <c r="AF218" s="47"/>
      <c r="AG218" s="47"/>
    </row>
    <row r="219" spans="1:53" s="7" customFormat="1">
      <c r="A219" s="95"/>
      <c r="B219" s="279"/>
      <c r="C219" s="487"/>
      <c r="D219" s="487"/>
      <c r="E219" s="488"/>
      <c r="F219" s="495"/>
      <c r="G219" s="68"/>
      <c r="H219" s="136" t="s">
        <v>238</v>
      </c>
      <c r="I219" s="420">
        <f t="shared" ref="I219:T219" si="208">-I110</f>
        <v>-5400</v>
      </c>
      <c r="J219" s="420">
        <f t="shared" si="208"/>
        <v>-5500</v>
      </c>
      <c r="K219" s="420">
        <f t="shared" si="208"/>
        <v>-5603</v>
      </c>
      <c r="L219" s="420">
        <f t="shared" si="208"/>
        <v>-5707.0174999999999</v>
      </c>
      <c r="M219" s="420">
        <f t="shared" si="208"/>
        <v>-5862.8138562499998</v>
      </c>
      <c r="N219" s="420">
        <f t="shared" si="208"/>
        <v>-6275.1881257812493</v>
      </c>
      <c r="O219" s="420">
        <f t="shared" si="208"/>
        <v>-6486.61431703578</v>
      </c>
      <c r="P219" s="420">
        <f t="shared" si="208"/>
        <v>-6700.1228904997115</v>
      </c>
      <c r="Q219" s="420">
        <f t="shared" si="208"/>
        <v>-7174.6117335755407</v>
      </c>
      <c r="R219" s="420">
        <f t="shared" si="208"/>
        <v>-7445.661553224777</v>
      </c>
      <c r="S219" s="420">
        <f t="shared" si="208"/>
        <v>-3033.1406795206858</v>
      </c>
      <c r="T219" s="420">
        <f t="shared" si="208"/>
        <v>-3363.6484225305257</v>
      </c>
      <c r="U219" s="420"/>
      <c r="V219" s="420">
        <f t="shared" ref="V219:AG219" si="209">-V110</f>
        <v>-8961.4843726287236</v>
      </c>
      <c r="W219" s="420">
        <f t="shared" si="209"/>
        <v>-9671.3823722037905</v>
      </c>
      <c r="X219" s="420">
        <f t="shared" si="209"/>
        <v>-10121.533764434338</v>
      </c>
      <c r="Y219" s="420">
        <f t="shared" si="209"/>
        <v>-10844.150169009994</v>
      </c>
      <c r="Z219" s="420">
        <f t="shared" si="209"/>
        <v>-11681.632973046104</v>
      </c>
      <c r="AA219" s="420">
        <f t="shared" si="209"/>
        <v>-12527.34450136835</v>
      </c>
      <c r="AB219" s="420">
        <f t="shared" si="209"/>
        <v>-13435.770429501112</v>
      </c>
      <c r="AC219" s="420">
        <f t="shared" si="209"/>
        <v>-14353.092433302667</v>
      </c>
      <c r="AD219" s="420">
        <f t="shared" si="209"/>
        <v>-20664.166267374392</v>
      </c>
      <c r="AE219" s="420">
        <f t="shared" si="209"/>
        <v>-21767.137897038654</v>
      </c>
      <c r="AF219" s="420">
        <f t="shared" si="209"/>
        <v>-18158.47765261104</v>
      </c>
      <c r="AG219" s="420">
        <f t="shared" si="209"/>
        <v>-19396.040803989523</v>
      </c>
      <c r="AH219" s="35"/>
    </row>
    <row r="220" spans="1:53" s="7" customFormat="1">
      <c r="A220" s="95"/>
      <c r="B220" s="279"/>
      <c r="C220" s="487"/>
      <c r="D220" s="487"/>
      <c r="E220" s="488"/>
      <c r="F220" s="495"/>
      <c r="G220" s="68"/>
      <c r="H220" s="136" t="s">
        <v>130</v>
      </c>
      <c r="I220" s="265">
        <f t="shared" ref="I220:T220" si="210">-I79</f>
        <v>-1</v>
      </c>
      <c r="J220" s="265">
        <f t="shared" si="210"/>
        <v>-1</v>
      </c>
      <c r="K220" s="265">
        <f t="shared" si="210"/>
        <v>-1</v>
      </c>
      <c r="L220" s="265">
        <f t="shared" si="210"/>
        <v>-1</v>
      </c>
      <c r="M220" s="265">
        <f t="shared" si="210"/>
        <v>-1</v>
      </c>
      <c r="N220" s="265">
        <f t="shared" si="210"/>
        <v>-1</v>
      </c>
      <c r="O220" s="265">
        <f t="shared" si="210"/>
        <v>-1</v>
      </c>
      <c r="P220" s="265">
        <f t="shared" si="210"/>
        <v>-1</v>
      </c>
      <c r="Q220" s="265">
        <f t="shared" si="210"/>
        <v>-1</v>
      </c>
      <c r="R220" s="265">
        <f t="shared" si="210"/>
        <v>-1</v>
      </c>
      <c r="S220" s="265">
        <f t="shared" si="210"/>
        <v>0</v>
      </c>
      <c r="T220" s="265">
        <f t="shared" si="210"/>
        <v>0</v>
      </c>
      <c r="U220" s="138"/>
      <c r="V220" s="265">
        <f t="shared" ref="V220:AG220" si="211">-V79</f>
        <v>-1</v>
      </c>
      <c r="W220" s="265">
        <f t="shared" si="211"/>
        <v>-1</v>
      </c>
      <c r="X220" s="265">
        <f t="shared" si="211"/>
        <v>-1</v>
      </c>
      <c r="Y220" s="265">
        <f t="shared" si="211"/>
        <v>-1</v>
      </c>
      <c r="Z220" s="265">
        <f t="shared" si="211"/>
        <v>-1</v>
      </c>
      <c r="AA220" s="265">
        <f t="shared" si="211"/>
        <v>-1</v>
      </c>
      <c r="AB220" s="265">
        <f t="shared" si="211"/>
        <v>-1</v>
      </c>
      <c r="AC220" s="265">
        <f t="shared" si="211"/>
        <v>-1</v>
      </c>
      <c r="AD220" s="265">
        <f t="shared" si="211"/>
        <v>-2</v>
      </c>
      <c r="AE220" s="265">
        <f t="shared" si="211"/>
        <v>-2</v>
      </c>
      <c r="AF220" s="265">
        <f t="shared" si="211"/>
        <v>-1</v>
      </c>
      <c r="AG220" s="265">
        <f t="shared" si="211"/>
        <v>-1</v>
      </c>
    </row>
    <row r="221" spans="1:53" s="7" customFormat="1">
      <c r="A221" s="95"/>
      <c r="B221" s="279"/>
      <c r="C221" s="487"/>
      <c r="D221" s="487"/>
      <c r="E221" s="488"/>
      <c r="F221" s="495"/>
      <c r="G221" s="68"/>
      <c r="H221" s="136" t="s">
        <v>282</v>
      </c>
      <c r="I221" s="520">
        <f>I29/(I32*Summary!D12)</f>
        <v>5.529924678095302</v>
      </c>
      <c r="J221" s="520">
        <f>J29/(J32*Summary!E12)</f>
        <v>9.1752186884506255</v>
      </c>
      <c r="K221" s="520">
        <f>K29/(K32*Summary!F12)</f>
        <v>8.2775659883991359</v>
      </c>
      <c r="L221" s="520">
        <f>L29/(L32*Summary!G12)</f>
        <v>9.1356848881318324</v>
      </c>
      <c r="M221" s="520">
        <f>M29/(M32*Summary!H12)</f>
        <v>11.187140102609769</v>
      </c>
      <c r="N221" s="520">
        <f>N29/(N32*Summary!I12)</f>
        <v>11.753621437882575</v>
      </c>
      <c r="O221" s="520">
        <f>O29/(O32*Summary!J12)</f>
        <v>10.873459361144311</v>
      </c>
      <c r="P221" s="520">
        <f>P29/(P32*Summary!K12)</f>
        <v>10.344803709282962</v>
      </c>
      <c r="Q221" s="520">
        <f>Q29/(Q32*Summary!L12)</f>
        <v>11.09152738422792</v>
      </c>
      <c r="R221" s="520">
        <f>R29/(R32*Summary!M12)</f>
        <v>10.114371595121574</v>
      </c>
      <c r="S221" s="520">
        <f>S29/(S32*Summary!N12)</f>
        <v>9.3751492330186466</v>
      </c>
      <c r="T221" s="520">
        <f>T29/(T32*Summary!O12)</f>
        <v>8.7914271668940227</v>
      </c>
      <c r="U221" s="520"/>
      <c r="V221" s="520">
        <f>V29/(V32*Summary!Q12)</f>
        <v>8.696185289075137</v>
      </c>
      <c r="W221" s="520">
        <f>W29/(W32*Summary!R12)</f>
        <v>8.7021165840049584</v>
      </c>
      <c r="X221" s="520">
        <f>X29/(X32*Summary!S12)</f>
        <v>8.8823285141189423</v>
      </c>
      <c r="Y221" s="520">
        <f>Y29/(Y32*Summary!T12)</f>
        <v>8.100523223045494</v>
      </c>
      <c r="Z221" s="520">
        <f>Z29/(Z32*Summary!U12)</f>
        <v>7.7402544001865996</v>
      </c>
      <c r="AA221" s="520">
        <f>AA29/(AA32*Summary!V12)</f>
        <v>7.677043309348166</v>
      </c>
      <c r="AB221" s="520">
        <f>AB29/(AB32*Summary!W12)</f>
        <v>7.3852640539218477</v>
      </c>
      <c r="AC221" s="520">
        <f>AC29/(AC32*Summary!X12)</f>
        <v>6.9884094532184449</v>
      </c>
      <c r="AD221" s="520">
        <f>AD29/(AD32*Summary!Y12)</f>
        <v>6.6202808815609044</v>
      </c>
      <c r="AE221" s="520">
        <f>AE29/(AE32*Summary!Z12)</f>
        <v>6.649710047382281</v>
      </c>
      <c r="AF221" s="520">
        <f>AF29/(AF32*Summary!AA12)</f>
        <v>6.1448321065014602</v>
      </c>
      <c r="AG221" s="520">
        <f>AG29/(AG32*Summary!AB12)</f>
        <v>5.8584124090924634</v>
      </c>
    </row>
    <row r="222" spans="1:53" s="7" customFormat="1">
      <c r="A222" s="95"/>
      <c r="B222" s="279"/>
      <c r="C222" s="487"/>
      <c r="D222" s="487"/>
      <c r="E222" s="488"/>
      <c r="F222" s="495"/>
      <c r="G222" s="68"/>
      <c r="H222" s="136" t="s">
        <v>283</v>
      </c>
      <c r="I222" s="520">
        <f>I56/(I59*Summary!D12)</f>
        <v>6.9677050944000802</v>
      </c>
      <c r="J222" s="520">
        <f>J56/(J59*Summary!E12)</f>
        <v>11.316103049089106</v>
      </c>
      <c r="K222" s="520">
        <f>K56/(K59*Summary!F12)</f>
        <v>11.079203707549613</v>
      </c>
      <c r="L222" s="520">
        <f>L56/(L59*Summary!G12)</f>
        <v>12.302722316017535</v>
      </c>
      <c r="M222" s="520">
        <f>M56/(M59*Summary!H12)</f>
        <v>14.294679020001372</v>
      </c>
      <c r="N222" s="520">
        <f>N56/(N59*Summary!I12)</f>
        <v>15.514780298004998</v>
      </c>
      <c r="O222" s="520">
        <f>O56/(O59*Summary!J12)</f>
        <v>14.728594952822752</v>
      </c>
      <c r="P222" s="520">
        <f>P56/(P59*Summary!K12)</f>
        <v>13.368669408919519</v>
      </c>
      <c r="Q222" s="520">
        <f>Q56/(Q59*Summary!L12)</f>
        <v>14.457232245648807</v>
      </c>
      <c r="R222" s="520">
        <f>R56/(R59*Summary!M12)</f>
        <v>13.338327541066571</v>
      </c>
      <c r="S222" s="520">
        <f>S56/(S59*Summary!N12)</f>
        <v>12.291862327735558</v>
      </c>
      <c r="T222" s="520">
        <f>T56/(T59*Summary!O12)</f>
        <v>11.235872769396265</v>
      </c>
      <c r="U222" s="520"/>
      <c r="V222" s="520">
        <f>V56/(V59*Summary!Q12)</f>
        <v>11.285716019599731</v>
      </c>
      <c r="W222" s="520">
        <f>W56/(W59*Summary!R12)</f>
        <v>11.138709227526347</v>
      </c>
      <c r="X222" s="520">
        <f>X56/(X59*Summary!S12)</f>
        <v>11.272482368827312</v>
      </c>
      <c r="Y222" s="520">
        <f>Y56/(Y59*Summary!T12)</f>
        <v>10.065896070604074</v>
      </c>
      <c r="Z222" s="520">
        <f>Z56/(Z59*Summary!U12)</f>
        <v>9.6870456584153501</v>
      </c>
      <c r="AA222" s="520">
        <f>AA56/(AA59*Summary!V12)</f>
        <v>9.5749790163814605</v>
      </c>
      <c r="AB222" s="520">
        <f>AB56/(AB59*Summary!W12)</f>
        <v>9.1240730590224324</v>
      </c>
      <c r="AC222" s="520">
        <f>AC56/(AC59*Summary!X12)</f>
        <v>8.5973688389594329</v>
      </c>
      <c r="AD222" s="520">
        <f>AD56/(AD59*Summary!Y12)</f>
        <v>8.0851940979062924</v>
      </c>
      <c r="AE222" s="520">
        <f>AE56/(AE59*Summary!Z12)</f>
        <v>8.0313002902364605</v>
      </c>
      <c r="AF222" s="520">
        <f>AF56/(AF59*Summary!AA12)</f>
        <v>7.3957443567535393</v>
      </c>
      <c r="AG222" s="520">
        <f>AG56/(AG59*Summary!AB12)</f>
        <v>7.0108869813729475</v>
      </c>
    </row>
    <row r="223" spans="1:53" s="7" customFormat="1">
      <c r="A223" s="95"/>
      <c r="B223" s="279"/>
      <c r="C223" s="487"/>
      <c r="D223" s="487"/>
      <c r="E223" s="488"/>
      <c r="F223" s="495"/>
      <c r="G223" s="68"/>
      <c r="H223" s="136" t="s">
        <v>284</v>
      </c>
      <c r="I223" s="520">
        <f>I81/((I84/12)*Summary!D12)</f>
        <v>7.9265635936294494</v>
      </c>
      <c r="J223" s="520">
        <f>J81/((J84/12)*Summary!E12)</f>
        <v>16.85793663907744</v>
      </c>
      <c r="K223" s="520">
        <f>K81/((K84/12)*Summary!F12)</f>
        <v>15.00435623359294</v>
      </c>
      <c r="L223" s="520">
        <f>L81/((L84/12)*Summary!G12)</f>
        <v>16.152742381626059</v>
      </c>
      <c r="M223" s="520">
        <f>M81/((M84/12)*Summary!H12)</f>
        <v>15.119656505678076</v>
      </c>
      <c r="N223" s="520">
        <f>N81/((N84/12)*Summary!I12)</f>
        <v>12.37921058259848</v>
      </c>
      <c r="O223" s="520">
        <f>O81/((O84/12)*Summary!J12)</f>
        <v>12.366136422969321</v>
      </c>
      <c r="P223" s="520">
        <f>P81/((P84/12)*Summary!K12)</f>
        <v>12.341007310612973</v>
      </c>
      <c r="Q223" s="520">
        <f>Q81/((Q84/12)*Summary!L12)</f>
        <v>11.604697282451225</v>
      </c>
      <c r="R223" s="520">
        <f>R81/((R84/12)*Summary!M12)</f>
        <v>11.105212717800026</v>
      </c>
      <c r="S223" s="520">
        <f>S81/((S84/12)*Summary!N12)</f>
        <v>10.867794911625925</v>
      </c>
      <c r="T223" s="520">
        <f>T81/((T84/12)*Summary!O12)</f>
        <v>10.719229486290304</v>
      </c>
      <c r="U223" s="520"/>
      <c r="V223" s="520">
        <f>V81/((V84/12)*Summary!Q12)</f>
        <v>13.479518575139348</v>
      </c>
      <c r="W223" s="520">
        <f>W81/((W84/12)*Summary!R12)</f>
        <v>10.911231464996801</v>
      </c>
      <c r="X223" s="520">
        <f>X81/((X84/12)*Summary!S12)</f>
        <v>11.278362727449142</v>
      </c>
      <c r="Y223" s="520">
        <f>Y81/((Y84/12)*Summary!T12)</f>
        <v>10.936221038202879</v>
      </c>
      <c r="Z223" s="520">
        <f>Z81/((Z84/12)*Summary!U12)</f>
        <v>10.972686049688162</v>
      </c>
      <c r="AA223" s="520">
        <f>AA81/((AA84/12)*Summary!V12)</f>
        <v>11.189103059173663</v>
      </c>
      <c r="AB223" s="520">
        <f>AB81/((AB84/12)*Summary!W12)</f>
        <v>10.995227122350771</v>
      </c>
      <c r="AC223" s="520">
        <f>AC81/((AC84/12)*Summary!X12)</f>
        <v>11.442049440788372</v>
      </c>
      <c r="AD223" s="520">
        <f>AD81/((AD84/12)*Summary!Y12)</f>
        <v>11.198327396108816</v>
      </c>
      <c r="AE223" s="520">
        <f>AE81/((AE84/12)*Summary!Z12)</f>
        <v>10.935310021318026</v>
      </c>
      <c r="AF223" s="520">
        <f>AF81/((AF84/12)*Summary!AA12)</f>
        <v>10.797998664737664</v>
      </c>
      <c r="AG223" s="520">
        <f>AG81/((AG84/12)*Summary!AB12)</f>
        <v>9.7792216924945166</v>
      </c>
    </row>
    <row r="224" spans="1:53">
      <c r="B224" s="7"/>
      <c r="C224" s="489"/>
      <c r="D224" s="489"/>
      <c r="E224" s="490"/>
      <c r="F224" s="490"/>
      <c r="G224" s="7"/>
      <c r="H224" s="7"/>
      <c r="I224" s="7"/>
      <c r="J224" s="7"/>
      <c r="K224" s="7"/>
      <c r="L224" s="7"/>
      <c r="M224" s="7"/>
      <c r="N224" s="7"/>
      <c r="O224" s="7"/>
      <c r="P224" s="7"/>
      <c r="Q224" s="7"/>
      <c r="R224" s="7"/>
      <c r="S224" s="7"/>
      <c r="T224" s="7"/>
      <c r="U224" s="7"/>
      <c r="AE224" s="7"/>
      <c r="AF224" s="7"/>
      <c r="AG224" s="7"/>
      <c r="AH224" s="7"/>
      <c r="AP224" s="7"/>
      <c r="AQ224" s="7"/>
      <c r="AR224" s="7"/>
      <c r="AS224" s="7"/>
      <c r="AT224" s="7"/>
      <c r="AU224" s="7"/>
      <c r="AV224" s="7"/>
      <c r="AW224" s="7"/>
      <c r="AX224" s="7"/>
      <c r="AY224" s="7"/>
      <c r="AZ224" s="7"/>
      <c r="BA224" s="7"/>
    </row>
    <row r="225" spans="2:53">
      <c r="B225" s="7"/>
      <c r="C225" s="489"/>
      <c r="D225" s="489"/>
      <c r="E225" s="490"/>
      <c r="F225" s="490"/>
      <c r="G225" s="7"/>
      <c r="H225" s="7"/>
      <c r="I225" s="7"/>
      <c r="J225" s="7"/>
      <c r="K225" s="7"/>
      <c r="L225" s="7"/>
      <c r="M225" s="7"/>
      <c r="N225" s="7"/>
      <c r="O225" s="7"/>
      <c r="P225" s="7"/>
      <c r="Q225" s="7"/>
      <c r="R225" s="7"/>
      <c r="S225" s="7"/>
      <c r="T225" s="7"/>
      <c r="U225" s="7"/>
      <c r="AE225" s="7"/>
      <c r="AF225" s="7"/>
      <c r="AG225" s="7"/>
      <c r="AH225" s="7"/>
      <c r="AP225" s="7"/>
      <c r="AQ225" s="7"/>
      <c r="AR225" s="7"/>
      <c r="AS225" s="7"/>
      <c r="AT225" s="7"/>
      <c r="AU225" s="7"/>
      <c r="AV225" s="7"/>
      <c r="AW225" s="7"/>
      <c r="AX225" s="7"/>
      <c r="AY225" s="7"/>
      <c r="AZ225" s="7"/>
      <c r="BA225" s="7"/>
    </row>
    <row r="226" spans="2:53">
      <c r="B226" s="7"/>
      <c r="C226" s="489"/>
      <c r="D226" s="489"/>
      <c r="E226" s="490"/>
      <c r="F226" s="490"/>
      <c r="G226" s="7"/>
      <c r="H226" s="7"/>
      <c r="I226" s="7"/>
      <c r="J226" s="7"/>
      <c r="K226" s="7"/>
      <c r="L226" s="7"/>
      <c r="M226" s="7"/>
      <c r="N226" s="7"/>
      <c r="O226" s="7"/>
      <c r="P226" s="7"/>
      <c r="Q226" s="7"/>
      <c r="R226" s="7"/>
      <c r="S226" s="7"/>
      <c r="T226" s="7"/>
      <c r="U226" s="7"/>
      <c r="AE226" s="7"/>
      <c r="AF226" s="7"/>
      <c r="AG226" s="7"/>
      <c r="AH226" s="7"/>
      <c r="AP226" s="7"/>
      <c r="AQ226" s="7"/>
      <c r="AR226" s="7"/>
      <c r="AS226" s="7"/>
      <c r="AT226" s="7"/>
      <c r="AU226" s="7"/>
      <c r="AV226" s="7"/>
      <c r="AW226" s="7"/>
      <c r="AX226" s="7"/>
      <c r="AY226" s="7"/>
      <c r="AZ226" s="7"/>
      <c r="BA226" s="7"/>
    </row>
    <row r="227" spans="2:53">
      <c r="B227" s="7"/>
      <c r="C227" s="489"/>
      <c r="D227" s="489"/>
      <c r="E227" s="490"/>
      <c r="F227" s="490"/>
      <c r="G227" s="7"/>
      <c r="H227" s="7"/>
      <c r="I227" s="7"/>
      <c r="J227" s="7"/>
      <c r="K227" s="7"/>
      <c r="L227" s="7"/>
      <c r="M227" s="7"/>
      <c r="N227" s="7"/>
      <c r="O227" s="7"/>
      <c r="P227" s="7"/>
      <c r="Q227" s="7"/>
      <c r="R227" s="7"/>
      <c r="S227" s="7"/>
      <c r="T227" s="7"/>
      <c r="U227" s="7"/>
      <c r="AE227" s="7"/>
      <c r="AF227" s="7"/>
      <c r="AG227" s="7"/>
      <c r="AH227" s="7"/>
      <c r="AP227" s="7"/>
      <c r="AQ227" s="7"/>
      <c r="AR227" s="7"/>
      <c r="AS227" s="7"/>
      <c r="AT227" s="7"/>
      <c r="AU227" s="7"/>
      <c r="AV227" s="7"/>
      <c r="AW227" s="7"/>
      <c r="AX227" s="7"/>
      <c r="AY227" s="7"/>
      <c r="AZ227" s="7"/>
      <c r="BA227" s="7"/>
    </row>
    <row r="228" spans="2:53">
      <c r="B228" s="7"/>
      <c r="C228" s="489"/>
      <c r="D228" s="489"/>
      <c r="E228" s="490"/>
      <c r="F228" s="490"/>
      <c r="G228" s="7"/>
      <c r="H228" s="7"/>
      <c r="I228" s="7"/>
      <c r="J228" s="7"/>
      <c r="K228" s="7"/>
      <c r="L228" s="7"/>
      <c r="M228" s="7"/>
      <c r="N228" s="7"/>
      <c r="O228" s="7"/>
      <c r="P228" s="7"/>
      <c r="Q228" s="7"/>
      <c r="R228" s="7"/>
      <c r="S228" s="7"/>
      <c r="T228" s="7"/>
      <c r="U228" s="7"/>
      <c r="AE228" s="7"/>
      <c r="AF228" s="7"/>
      <c r="AG228" s="7"/>
      <c r="AH228" s="7"/>
      <c r="AP228" s="7"/>
      <c r="AQ228" s="7"/>
      <c r="AR228" s="7"/>
      <c r="AS228" s="7"/>
      <c r="AT228" s="7"/>
      <c r="AU228" s="7"/>
      <c r="AV228" s="7"/>
      <c r="AW228" s="7"/>
      <c r="AX228" s="7"/>
      <c r="AY228" s="7"/>
      <c r="AZ228" s="7"/>
      <c r="BA228" s="7"/>
    </row>
    <row r="229" spans="2:53">
      <c r="B229" s="7"/>
      <c r="C229" s="489"/>
      <c r="D229" s="489"/>
      <c r="E229" s="490"/>
      <c r="F229" s="490"/>
      <c r="G229" s="7"/>
      <c r="H229" s="7"/>
      <c r="I229" s="7"/>
      <c r="J229" s="7"/>
      <c r="K229" s="7"/>
      <c r="L229" s="7"/>
      <c r="M229" s="7"/>
      <c r="N229" s="7"/>
      <c r="O229" s="7"/>
      <c r="P229" s="7"/>
      <c r="Q229" s="7"/>
      <c r="R229" s="7"/>
      <c r="S229" s="7"/>
      <c r="T229" s="7"/>
      <c r="U229" s="7"/>
      <c r="AE229" s="7"/>
      <c r="AF229" s="7"/>
      <c r="AG229" s="7"/>
      <c r="AH229" s="7"/>
      <c r="AP229" s="7"/>
      <c r="AQ229" s="7"/>
      <c r="AR229" s="7"/>
      <c r="AS229" s="7"/>
      <c r="AT229" s="7"/>
      <c r="AU229" s="7"/>
      <c r="AV229" s="7"/>
      <c r="AW229" s="7"/>
      <c r="AX229" s="7"/>
      <c r="AY229" s="7"/>
      <c r="AZ229" s="7"/>
      <c r="BA229" s="7"/>
    </row>
    <row r="230" spans="2:53">
      <c r="B230" s="7"/>
      <c r="C230" s="489"/>
      <c r="D230" s="489"/>
      <c r="E230" s="490"/>
      <c r="F230" s="490"/>
      <c r="G230" s="7"/>
      <c r="H230" s="7"/>
      <c r="I230" s="7"/>
      <c r="J230" s="7"/>
      <c r="K230" s="7"/>
      <c r="L230" s="7"/>
      <c r="M230" s="7"/>
      <c r="N230" s="7"/>
      <c r="O230" s="7"/>
      <c r="P230" s="7"/>
      <c r="Q230" s="7"/>
      <c r="R230" s="7"/>
      <c r="S230" s="7"/>
      <c r="T230" s="7"/>
      <c r="U230" s="7"/>
      <c r="AE230" s="7"/>
      <c r="AF230" s="7"/>
      <c r="AG230" s="7"/>
      <c r="AH230" s="7"/>
      <c r="AP230" s="7"/>
      <c r="AQ230" s="7"/>
      <c r="AR230" s="7"/>
      <c r="AS230" s="7"/>
      <c r="AT230" s="7"/>
      <c r="AU230" s="7"/>
      <c r="AV230" s="7"/>
      <c r="AW230" s="7"/>
      <c r="AX230" s="7"/>
      <c r="AY230" s="7"/>
      <c r="AZ230" s="7"/>
      <c r="BA230" s="7"/>
    </row>
    <row r="231" spans="2:53">
      <c r="B231" s="7"/>
      <c r="C231" s="489"/>
      <c r="D231" s="489"/>
      <c r="E231" s="490"/>
      <c r="F231" s="490"/>
      <c r="G231" s="7"/>
      <c r="H231" s="7"/>
      <c r="I231" s="7"/>
      <c r="J231" s="7"/>
      <c r="K231" s="7"/>
      <c r="L231" s="7"/>
      <c r="M231" s="7"/>
      <c r="N231" s="7"/>
      <c r="O231" s="7"/>
      <c r="P231" s="7"/>
      <c r="Q231" s="7"/>
      <c r="R231" s="7"/>
      <c r="S231" s="7"/>
      <c r="T231" s="7"/>
      <c r="U231" s="7"/>
      <c r="AE231" s="7"/>
      <c r="AF231" s="7"/>
      <c r="AG231" s="7"/>
      <c r="AH231" s="7"/>
      <c r="AP231" s="7"/>
      <c r="AQ231" s="7"/>
      <c r="AR231" s="7"/>
      <c r="AS231" s="7"/>
      <c r="AT231" s="7"/>
      <c r="AU231" s="7"/>
      <c r="AV231" s="7"/>
      <c r="AW231" s="7"/>
      <c r="AX231" s="7"/>
      <c r="AY231" s="7"/>
      <c r="AZ231" s="7"/>
      <c r="BA231" s="7"/>
    </row>
    <row r="232" spans="2:53">
      <c r="B232" s="7"/>
      <c r="C232" s="489"/>
      <c r="D232" s="489"/>
      <c r="E232" s="490"/>
      <c r="F232" s="490"/>
      <c r="G232" s="7"/>
      <c r="H232" s="7"/>
      <c r="I232" s="7"/>
      <c r="J232" s="7"/>
      <c r="K232" s="7"/>
      <c r="L232" s="7"/>
      <c r="M232" s="7"/>
      <c r="N232" s="7"/>
      <c r="O232" s="7"/>
      <c r="P232" s="7"/>
      <c r="Q232" s="7"/>
      <c r="R232" s="7"/>
      <c r="S232" s="7"/>
      <c r="T232" s="7"/>
      <c r="U232" s="7"/>
      <c r="AE232" s="7"/>
      <c r="AF232" s="7"/>
      <c r="AG232" s="7"/>
      <c r="AH232" s="7"/>
      <c r="AP232" s="7"/>
      <c r="AQ232" s="7"/>
      <c r="AR232" s="7"/>
      <c r="AS232" s="7"/>
      <c r="AT232" s="7"/>
      <c r="AU232" s="7"/>
      <c r="AV232" s="7"/>
      <c r="AW232" s="7"/>
      <c r="AX232" s="7"/>
      <c r="AY232" s="7"/>
      <c r="AZ232" s="7"/>
      <c r="BA232" s="7"/>
    </row>
    <row r="233" spans="2:53">
      <c r="B233" s="7"/>
      <c r="C233" s="489"/>
      <c r="D233" s="489"/>
      <c r="E233" s="490"/>
      <c r="F233" s="490"/>
      <c r="G233" s="7"/>
      <c r="H233" s="7"/>
      <c r="I233" s="7"/>
      <c r="J233" s="7"/>
      <c r="K233" s="7"/>
      <c r="L233" s="7"/>
      <c r="M233" s="7"/>
      <c r="N233" s="7"/>
      <c r="O233" s="7"/>
      <c r="P233" s="7"/>
      <c r="Q233" s="7"/>
      <c r="R233" s="7"/>
      <c r="S233" s="7"/>
      <c r="T233" s="7"/>
      <c r="U233" s="7"/>
      <c r="AE233" s="7"/>
      <c r="AF233" s="7"/>
      <c r="AG233" s="7"/>
      <c r="AH233" s="7"/>
      <c r="AP233" s="7"/>
      <c r="AQ233" s="7"/>
      <c r="AR233" s="7"/>
      <c r="AS233" s="7"/>
      <c r="AT233" s="7"/>
      <c r="AU233" s="7"/>
      <c r="AV233" s="7"/>
      <c r="AW233" s="7"/>
      <c r="AX233" s="7"/>
      <c r="AY233" s="7"/>
      <c r="AZ233" s="7"/>
      <c r="BA233" s="7"/>
    </row>
    <row r="234" spans="2:53">
      <c r="B234" s="7"/>
      <c r="C234" s="489"/>
      <c r="D234" s="489"/>
      <c r="E234" s="490"/>
      <c r="F234" s="490"/>
      <c r="G234" s="7"/>
      <c r="H234" s="7"/>
      <c r="I234" s="7"/>
      <c r="J234" s="7"/>
      <c r="K234" s="7"/>
      <c r="L234" s="7"/>
      <c r="M234" s="7"/>
      <c r="N234" s="7"/>
      <c r="O234" s="7"/>
      <c r="P234" s="7"/>
      <c r="Q234" s="7"/>
      <c r="R234" s="7"/>
      <c r="S234" s="7"/>
      <c r="T234" s="7"/>
      <c r="U234" s="7"/>
      <c r="AE234" s="7"/>
      <c r="AF234" s="7"/>
      <c r="AG234" s="7"/>
      <c r="AH234" s="7"/>
      <c r="AP234" s="7"/>
      <c r="AQ234" s="7"/>
      <c r="AR234" s="7"/>
      <c r="AS234" s="7"/>
      <c r="AT234" s="7"/>
      <c r="AU234" s="7"/>
      <c r="AV234" s="7"/>
      <c r="AW234" s="7"/>
      <c r="AX234" s="7"/>
      <c r="AY234" s="7"/>
      <c r="AZ234" s="7"/>
      <c r="BA234" s="7"/>
    </row>
    <row r="235" spans="2:53">
      <c r="B235" s="7"/>
      <c r="C235" s="489"/>
      <c r="D235" s="489"/>
      <c r="E235" s="490"/>
      <c r="F235" s="490"/>
      <c r="G235" s="7"/>
      <c r="H235" s="7"/>
      <c r="I235" s="7"/>
      <c r="J235" s="7"/>
      <c r="K235" s="7"/>
      <c r="L235" s="7"/>
      <c r="M235" s="7"/>
      <c r="N235" s="7"/>
      <c r="O235" s="7"/>
      <c r="P235" s="7"/>
      <c r="Q235" s="7"/>
      <c r="R235" s="7"/>
      <c r="S235" s="7"/>
      <c r="T235" s="7"/>
      <c r="U235" s="7"/>
      <c r="AE235" s="7"/>
      <c r="AF235" s="7"/>
      <c r="AG235" s="7"/>
      <c r="AH235" s="7"/>
      <c r="AP235" s="7"/>
      <c r="AQ235" s="7"/>
      <c r="AR235" s="7"/>
      <c r="AS235" s="7"/>
      <c r="AT235" s="7"/>
      <c r="AU235" s="7"/>
      <c r="AV235" s="7"/>
      <c r="AW235" s="7"/>
      <c r="AX235" s="7"/>
      <c r="AY235" s="7"/>
      <c r="AZ235" s="7"/>
      <c r="BA235" s="7"/>
    </row>
    <row r="236" spans="2:53">
      <c r="B236" s="7"/>
      <c r="C236" s="489"/>
      <c r="D236" s="489"/>
      <c r="E236" s="490"/>
      <c r="F236" s="490"/>
      <c r="G236" s="7"/>
      <c r="H236" s="7"/>
      <c r="I236" s="7"/>
      <c r="J236" s="7"/>
      <c r="K236" s="7"/>
      <c r="L236" s="7"/>
      <c r="M236" s="7"/>
      <c r="N236" s="7"/>
      <c r="O236" s="7"/>
      <c r="P236" s="7"/>
      <c r="Q236" s="7"/>
      <c r="R236" s="7"/>
      <c r="S236" s="7"/>
      <c r="T236" s="7"/>
      <c r="U236" s="7"/>
      <c r="AE236" s="7"/>
      <c r="AF236" s="7"/>
      <c r="AG236" s="7"/>
      <c r="AH236" s="7"/>
      <c r="AP236" s="7"/>
      <c r="AQ236" s="7"/>
      <c r="AR236" s="7"/>
      <c r="AS236" s="7"/>
      <c r="AT236" s="7"/>
      <c r="AU236" s="7"/>
      <c r="AV236" s="7"/>
      <c r="AW236" s="7"/>
      <c r="AX236" s="7"/>
      <c r="AY236" s="7"/>
      <c r="AZ236" s="7"/>
      <c r="BA236" s="7"/>
    </row>
    <row r="237" spans="2:53">
      <c r="B237" s="7"/>
      <c r="C237" s="489"/>
      <c r="D237" s="489"/>
      <c r="E237" s="490"/>
      <c r="F237" s="490"/>
      <c r="G237" s="7"/>
      <c r="H237" s="7"/>
      <c r="I237" s="7"/>
      <c r="J237" s="7"/>
      <c r="K237" s="7"/>
      <c r="L237" s="7"/>
      <c r="M237" s="7"/>
      <c r="N237" s="7"/>
      <c r="O237" s="7"/>
      <c r="P237" s="7"/>
      <c r="Q237" s="7"/>
      <c r="R237" s="7"/>
      <c r="S237" s="7"/>
      <c r="T237" s="7"/>
      <c r="U237" s="7"/>
      <c r="AE237" s="7"/>
      <c r="AF237" s="7"/>
      <c r="AG237" s="7"/>
      <c r="AH237" s="7"/>
      <c r="AP237" s="7"/>
      <c r="AQ237" s="7"/>
      <c r="AR237" s="7"/>
      <c r="AS237" s="7"/>
      <c r="AT237" s="7"/>
      <c r="AU237" s="7"/>
      <c r="AV237" s="7"/>
      <c r="AW237" s="7"/>
      <c r="AX237" s="7"/>
      <c r="AY237" s="7"/>
      <c r="AZ237" s="7"/>
      <c r="BA237" s="7"/>
    </row>
    <row r="238" spans="2:53">
      <c r="B238" s="7"/>
      <c r="C238" s="489"/>
      <c r="D238" s="489"/>
      <c r="E238" s="490"/>
      <c r="F238" s="490"/>
      <c r="G238" s="7"/>
      <c r="H238" s="7"/>
      <c r="I238" s="7"/>
      <c r="J238" s="7"/>
      <c r="K238" s="7"/>
      <c r="L238" s="7"/>
      <c r="M238" s="7"/>
      <c r="N238" s="7"/>
      <c r="O238" s="7"/>
      <c r="P238" s="7"/>
      <c r="Q238" s="7"/>
      <c r="R238" s="7"/>
      <c r="S238" s="7"/>
      <c r="T238" s="7"/>
      <c r="U238" s="7"/>
      <c r="AE238" s="7"/>
      <c r="AF238" s="7"/>
      <c r="AG238" s="7"/>
      <c r="AH238" s="7"/>
      <c r="AP238" s="7"/>
      <c r="AQ238" s="7"/>
      <c r="AR238" s="7"/>
      <c r="AS238" s="7"/>
      <c r="AT238" s="7"/>
      <c r="AU238" s="7"/>
      <c r="AV238" s="7"/>
      <c r="AW238" s="7"/>
      <c r="AX238" s="7"/>
      <c r="AY238" s="7"/>
      <c r="AZ238" s="7"/>
      <c r="BA238" s="7"/>
    </row>
    <row r="239" spans="2:53">
      <c r="B239" s="7"/>
      <c r="C239" s="489"/>
      <c r="D239" s="489"/>
      <c r="E239" s="490"/>
      <c r="F239" s="490"/>
      <c r="G239" s="7"/>
      <c r="H239" s="7"/>
      <c r="I239" s="7"/>
      <c r="J239" s="7"/>
      <c r="K239" s="7"/>
      <c r="L239" s="7"/>
      <c r="M239" s="7"/>
      <c r="N239" s="7"/>
      <c r="O239" s="7"/>
      <c r="P239" s="7"/>
      <c r="Q239" s="7"/>
      <c r="R239" s="7"/>
      <c r="S239" s="7"/>
      <c r="T239" s="7"/>
      <c r="U239" s="7"/>
      <c r="AE239" s="7"/>
      <c r="AF239" s="7"/>
      <c r="AG239" s="7"/>
      <c r="AH239" s="7"/>
      <c r="AP239" s="7"/>
      <c r="AQ239" s="7"/>
      <c r="AR239" s="7"/>
      <c r="AS239" s="7"/>
      <c r="AT239" s="7"/>
      <c r="AU239" s="7"/>
      <c r="AV239" s="7"/>
      <c r="AW239" s="7"/>
      <c r="AX239" s="7"/>
      <c r="AY239" s="7"/>
      <c r="AZ239" s="7"/>
      <c r="BA239" s="7"/>
    </row>
    <row r="240" spans="2:53">
      <c r="B240" s="7"/>
      <c r="C240" s="489"/>
      <c r="D240" s="489"/>
      <c r="E240" s="490"/>
      <c r="F240" s="490"/>
      <c r="G240" s="7"/>
      <c r="H240" s="7"/>
      <c r="I240" s="7"/>
      <c r="J240" s="7"/>
      <c r="K240" s="7"/>
      <c r="L240" s="7"/>
      <c r="M240" s="7"/>
      <c r="N240" s="7"/>
      <c r="O240" s="7"/>
      <c r="P240" s="7"/>
      <c r="Q240" s="7"/>
      <c r="R240" s="7"/>
      <c r="S240" s="7"/>
      <c r="T240" s="7"/>
      <c r="U240" s="7"/>
      <c r="AE240" s="7"/>
      <c r="AF240" s="7"/>
      <c r="AG240" s="7"/>
      <c r="AH240" s="7"/>
      <c r="AP240" s="7"/>
      <c r="AQ240" s="7"/>
      <c r="AR240" s="7"/>
      <c r="AS240" s="7"/>
      <c r="AT240" s="7"/>
      <c r="AU240" s="7"/>
      <c r="AV240" s="7"/>
      <c r="AW240" s="7"/>
      <c r="AX240" s="7"/>
      <c r="AY240" s="7"/>
      <c r="AZ240" s="7"/>
      <c r="BA240" s="7"/>
    </row>
    <row r="241" spans="2:53">
      <c r="B241" s="7"/>
      <c r="C241" s="489"/>
      <c r="D241" s="489"/>
      <c r="E241" s="490"/>
      <c r="F241" s="490"/>
      <c r="G241" s="7"/>
      <c r="H241" s="7"/>
      <c r="I241" s="7"/>
      <c r="J241" s="7"/>
      <c r="K241" s="7"/>
      <c r="L241" s="7"/>
      <c r="M241" s="7"/>
      <c r="N241" s="7"/>
      <c r="O241" s="7"/>
      <c r="P241" s="7"/>
      <c r="Q241" s="7"/>
      <c r="R241" s="7"/>
      <c r="S241" s="7"/>
      <c r="T241" s="7"/>
      <c r="U241" s="7"/>
      <c r="AE241" s="7"/>
      <c r="AF241" s="7"/>
      <c r="AG241" s="7"/>
      <c r="AH241" s="7"/>
      <c r="AP241" s="7"/>
      <c r="AQ241" s="7"/>
      <c r="AR241" s="7"/>
      <c r="AS241" s="7"/>
      <c r="AT241" s="7"/>
      <c r="AU241" s="7"/>
      <c r="AV241" s="7"/>
      <c r="AW241" s="7"/>
      <c r="AX241" s="7"/>
      <c r="AY241" s="7"/>
      <c r="AZ241" s="7"/>
      <c r="BA241" s="7"/>
    </row>
    <row r="242" spans="2:53">
      <c r="B242" s="7"/>
      <c r="C242" s="489"/>
      <c r="D242" s="489"/>
      <c r="E242" s="490"/>
      <c r="F242" s="490"/>
      <c r="G242" s="7"/>
      <c r="H242" s="7"/>
      <c r="I242" s="7"/>
      <c r="J242" s="7"/>
      <c r="K242" s="7"/>
      <c r="L242" s="7"/>
      <c r="M242" s="7"/>
      <c r="N242" s="7"/>
      <c r="O242" s="7"/>
      <c r="P242" s="7"/>
      <c r="Q242" s="7"/>
      <c r="R242" s="7"/>
      <c r="S242" s="7"/>
      <c r="T242" s="7"/>
      <c r="U242" s="7"/>
      <c r="AE242" s="7"/>
      <c r="AF242" s="7"/>
      <c r="AG242" s="7"/>
      <c r="AH242" s="7"/>
      <c r="AP242" s="7"/>
      <c r="AQ242" s="7"/>
      <c r="AR242" s="7"/>
      <c r="AS242" s="7"/>
      <c r="AT242" s="7"/>
      <c r="AU242" s="7"/>
      <c r="AV242" s="7"/>
      <c r="AW242" s="7"/>
      <c r="AX242" s="7"/>
      <c r="AY242" s="7"/>
      <c r="AZ242" s="7"/>
      <c r="BA242" s="7"/>
    </row>
    <row r="243" spans="2:53">
      <c r="B243" s="7"/>
      <c r="C243" s="489"/>
      <c r="D243" s="489"/>
      <c r="E243" s="490"/>
      <c r="F243" s="490"/>
      <c r="G243" s="7"/>
      <c r="H243" s="7"/>
      <c r="I243" s="7"/>
      <c r="J243" s="7"/>
      <c r="K243" s="7"/>
      <c r="L243" s="7"/>
      <c r="M243" s="7"/>
      <c r="N243" s="7"/>
      <c r="O243" s="7"/>
      <c r="P243" s="7"/>
      <c r="Q243" s="7"/>
      <c r="R243" s="7"/>
      <c r="S243" s="7"/>
      <c r="T243" s="7"/>
      <c r="U243" s="7"/>
      <c r="AE243" s="7"/>
      <c r="AF243" s="7"/>
      <c r="AG243" s="7"/>
      <c r="AH243" s="7"/>
      <c r="AP243" s="7"/>
      <c r="AQ243" s="7"/>
      <c r="AR243" s="7"/>
      <c r="AS243" s="7"/>
      <c r="AT243" s="7"/>
      <c r="AU243" s="7"/>
      <c r="AV243" s="7"/>
      <c r="AW243" s="7"/>
      <c r="AX243" s="7"/>
      <c r="AY243" s="7"/>
      <c r="AZ243" s="7"/>
      <c r="BA243" s="7"/>
    </row>
    <row r="244" spans="2:53">
      <c r="B244" s="7"/>
      <c r="C244" s="489"/>
      <c r="D244" s="489"/>
      <c r="E244" s="490"/>
      <c r="F244" s="490"/>
      <c r="G244" s="7"/>
      <c r="H244" s="7"/>
      <c r="I244" s="7"/>
      <c r="J244" s="7"/>
      <c r="K244" s="7"/>
      <c r="L244" s="7"/>
      <c r="M244" s="7"/>
      <c r="N244" s="7"/>
      <c r="O244" s="7"/>
      <c r="P244" s="7"/>
      <c r="Q244" s="7"/>
      <c r="R244" s="7"/>
      <c r="S244" s="7"/>
      <c r="T244" s="7"/>
      <c r="U244" s="7"/>
      <c r="AE244" s="7"/>
      <c r="AF244" s="7"/>
      <c r="AG244" s="7"/>
      <c r="AH244" s="7"/>
      <c r="AP244" s="7"/>
      <c r="AQ244" s="7"/>
      <c r="AR244" s="7"/>
      <c r="AS244" s="7"/>
      <c r="AT244" s="7"/>
      <c r="AU244" s="7"/>
      <c r="AV244" s="7"/>
      <c r="AW244" s="7"/>
      <c r="AX244" s="7"/>
      <c r="AY244" s="7"/>
      <c r="AZ244" s="7"/>
      <c r="BA244" s="7"/>
    </row>
    <row r="245" spans="2:53">
      <c r="B245" s="7"/>
      <c r="C245" s="489"/>
      <c r="D245" s="489"/>
      <c r="E245" s="490"/>
      <c r="F245" s="490"/>
      <c r="G245" s="7"/>
      <c r="H245" s="7"/>
      <c r="I245" s="7"/>
      <c r="J245" s="7"/>
      <c r="K245" s="7"/>
      <c r="L245" s="7"/>
      <c r="M245" s="7"/>
      <c r="N245" s="7"/>
      <c r="O245" s="7"/>
      <c r="P245" s="7"/>
      <c r="Q245" s="7"/>
      <c r="R245" s="7"/>
      <c r="S245" s="7"/>
      <c r="T245" s="7"/>
      <c r="U245" s="7"/>
      <c r="AE245" s="7"/>
      <c r="AF245" s="7"/>
      <c r="AG245" s="7"/>
      <c r="AH245" s="7"/>
      <c r="AP245" s="7"/>
      <c r="AQ245" s="7"/>
      <c r="AR245" s="7"/>
      <c r="AS245" s="7"/>
      <c r="AT245" s="7"/>
      <c r="AU245" s="7"/>
      <c r="AV245" s="7"/>
      <c r="AW245" s="7"/>
      <c r="AX245" s="7"/>
      <c r="AY245" s="7"/>
      <c r="AZ245" s="7"/>
      <c r="BA245" s="7"/>
    </row>
    <row r="246" spans="2:53">
      <c r="B246" s="7"/>
      <c r="C246" s="489"/>
      <c r="D246" s="489"/>
      <c r="E246" s="490"/>
      <c r="F246" s="490"/>
      <c r="G246" s="7"/>
      <c r="H246" s="7"/>
      <c r="I246" s="7"/>
      <c r="J246" s="7"/>
      <c r="K246" s="7"/>
      <c r="L246" s="7"/>
      <c r="M246" s="7"/>
      <c r="N246" s="7"/>
      <c r="O246" s="7"/>
      <c r="P246" s="7"/>
      <c r="Q246" s="7"/>
      <c r="R246" s="7"/>
      <c r="S246" s="7"/>
      <c r="T246" s="7"/>
      <c r="U246" s="7"/>
      <c r="AE246" s="7"/>
      <c r="AF246" s="7"/>
      <c r="AG246" s="7"/>
      <c r="AH246" s="7"/>
      <c r="AP246" s="7"/>
      <c r="AQ246" s="7"/>
      <c r="AR246" s="7"/>
      <c r="AS246" s="7"/>
      <c r="AT246" s="7"/>
      <c r="AU246" s="7"/>
      <c r="AV246" s="7"/>
      <c r="AW246" s="7"/>
      <c r="AX246" s="7"/>
      <c r="AY246" s="7"/>
      <c r="AZ246" s="7"/>
      <c r="BA246" s="7"/>
    </row>
    <row r="247" spans="2:53">
      <c r="B247" s="7"/>
      <c r="C247" s="489"/>
      <c r="D247" s="489"/>
      <c r="E247" s="490"/>
      <c r="F247" s="490"/>
      <c r="G247" s="7"/>
      <c r="H247" s="7"/>
      <c r="I247" s="7"/>
      <c r="J247" s="7"/>
      <c r="K247" s="7"/>
      <c r="L247" s="7"/>
      <c r="M247" s="7"/>
      <c r="N247" s="7"/>
      <c r="O247" s="7"/>
      <c r="P247" s="7"/>
      <c r="Q247" s="7"/>
      <c r="R247" s="7"/>
      <c r="S247" s="7"/>
      <c r="T247" s="7"/>
      <c r="U247" s="7"/>
      <c r="AE247" s="7"/>
      <c r="AF247" s="7"/>
      <c r="AG247" s="7"/>
      <c r="AH247" s="7"/>
      <c r="AP247" s="7"/>
      <c r="AQ247" s="7"/>
      <c r="AR247" s="7"/>
      <c r="AS247" s="7"/>
      <c r="AT247" s="7"/>
      <c r="AU247" s="7"/>
      <c r="AV247" s="7"/>
      <c r="AW247" s="7"/>
      <c r="AX247" s="7"/>
      <c r="AY247" s="7"/>
      <c r="AZ247" s="7"/>
      <c r="BA247" s="7"/>
    </row>
    <row r="248" spans="2:53">
      <c r="B248" s="7"/>
      <c r="C248" s="489"/>
      <c r="D248" s="489"/>
      <c r="E248" s="490"/>
      <c r="F248" s="490"/>
      <c r="G248" s="7"/>
      <c r="H248" s="7"/>
      <c r="I248" s="7"/>
      <c r="J248" s="7"/>
      <c r="K248" s="7"/>
      <c r="L248" s="7"/>
      <c r="M248" s="7"/>
      <c r="N248" s="7"/>
      <c r="O248" s="7"/>
      <c r="P248" s="7"/>
      <c r="Q248" s="7"/>
      <c r="R248" s="7"/>
      <c r="S248" s="7"/>
      <c r="T248" s="7"/>
      <c r="U248" s="7"/>
      <c r="AE248" s="7"/>
      <c r="AF248" s="7"/>
      <c r="AG248" s="7"/>
      <c r="AH248" s="7"/>
      <c r="AP248" s="7"/>
      <c r="AQ248" s="7"/>
      <c r="AR248" s="7"/>
      <c r="AS248" s="7"/>
      <c r="AT248" s="7"/>
      <c r="AU248" s="7"/>
      <c r="AV248" s="7"/>
      <c r="AW248" s="7"/>
      <c r="AX248" s="7"/>
      <c r="AY248" s="7"/>
      <c r="AZ248" s="7"/>
      <c r="BA248" s="7"/>
    </row>
    <row r="249" spans="2:53">
      <c r="B249" s="7"/>
      <c r="C249" s="489"/>
      <c r="D249" s="489"/>
      <c r="E249" s="490"/>
      <c r="F249" s="490"/>
      <c r="G249" s="7"/>
      <c r="H249" s="7"/>
      <c r="I249" s="7"/>
      <c r="J249" s="7"/>
      <c r="K249" s="7"/>
      <c r="L249" s="7"/>
      <c r="M249" s="7"/>
      <c r="N249" s="7"/>
      <c r="O249" s="7"/>
      <c r="P249" s="7"/>
      <c r="Q249" s="7"/>
      <c r="R249" s="7"/>
      <c r="S249" s="7"/>
      <c r="T249" s="7"/>
      <c r="U249" s="7"/>
      <c r="AE249" s="7"/>
      <c r="AF249" s="7"/>
      <c r="AG249" s="7"/>
      <c r="AH249" s="7"/>
      <c r="AP249" s="7"/>
      <c r="AQ249" s="7"/>
      <c r="AR249" s="7"/>
      <c r="AS249" s="7"/>
      <c r="AT249" s="7"/>
      <c r="AU249" s="7"/>
      <c r="AV249" s="7"/>
      <c r="AW249" s="7"/>
      <c r="AX249" s="7"/>
      <c r="AY249" s="7"/>
      <c r="AZ249" s="7"/>
      <c r="BA249" s="7"/>
    </row>
    <row r="250" spans="2:53">
      <c r="B250" s="7"/>
      <c r="C250" s="489"/>
      <c r="D250" s="489"/>
      <c r="E250" s="490"/>
      <c r="F250" s="490"/>
      <c r="G250" s="7"/>
      <c r="H250" s="7"/>
      <c r="I250" s="7"/>
      <c r="J250" s="7"/>
      <c r="K250" s="7"/>
      <c r="L250" s="7"/>
      <c r="M250" s="7"/>
      <c r="N250" s="7"/>
      <c r="O250" s="7"/>
      <c r="P250" s="7"/>
      <c r="Q250" s="7"/>
      <c r="R250" s="7"/>
      <c r="S250" s="7"/>
      <c r="T250" s="7"/>
      <c r="U250" s="7"/>
      <c r="AE250" s="7"/>
      <c r="AF250" s="7"/>
      <c r="AG250" s="7"/>
      <c r="AH250" s="7"/>
      <c r="AP250" s="7"/>
      <c r="AQ250" s="7"/>
      <c r="AR250" s="7"/>
      <c r="AS250" s="7"/>
      <c r="AT250" s="7"/>
      <c r="AU250" s="7"/>
      <c r="AV250" s="7"/>
      <c r="AW250" s="7"/>
      <c r="AX250" s="7"/>
      <c r="AY250" s="7"/>
      <c r="AZ250" s="7"/>
      <c r="BA250" s="7"/>
    </row>
    <row r="251" spans="2:53">
      <c r="B251" s="7"/>
      <c r="C251" s="489"/>
      <c r="D251" s="489"/>
      <c r="E251" s="490"/>
      <c r="F251" s="490"/>
      <c r="G251" s="7"/>
      <c r="H251" s="7"/>
      <c r="I251" s="7"/>
      <c r="J251" s="7"/>
      <c r="K251" s="7"/>
      <c r="L251" s="7"/>
      <c r="M251" s="7"/>
      <c r="N251" s="7"/>
      <c r="O251" s="7"/>
      <c r="P251" s="7"/>
      <c r="Q251" s="7"/>
      <c r="R251" s="7"/>
      <c r="S251" s="7"/>
      <c r="T251" s="7"/>
      <c r="U251" s="7"/>
      <c r="AE251" s="7"/>
      <c r="AF251" s="7"/>
      <c r="AG251" s="7"/>
      <c r="AH251" s="7"/>
      <c r="AP251" s="7"/>
      <c r="AQ251" s="7"/>
      <c r="AR251" s="7"/>
      <c r="AS251" s="7"/>
      <c r="AT251" s="7"/>
      <c r="AU251" s="7"/>
      <c r="AV251" s="7"/>
      <c r="AW251" s="7"/>
      <c r="AX251" s="7"/>
      <c r="AY251" s="7"/>
      <c r="AZ251" s="7"/>
      <c r="BA251" s="7"/>
    </row>
    <row r="252" spans="2:53">
      <c r="B252" s="7"/>
      <c r="C252" s="489"/>
      <c r="D252" s="489"/>
      <c r="E252" s="490"/>
      <c r="F252" s="490"/>
      <c r="G252" s="7"/>
      <c r="H252" s="7"/>
      <c r="I252" s="7"/>
      <c r="J252" s="7"/>
      <c r="K252" s="7"/>
      <c r="L252" s="7"/>
      <c r="M252" s="7"/>
      <c r="N252" s="7"/>
      <c r="O252" s="7"/>
      <c r="P252" s="7"/>
      <c r="Q252" s="7"/>
      <c r="R252" s="7"/>
      <c r="S252" s="7"/>
      <c r="T252" s="7"/>
      <c r="U252" s="7"/>
      <c r="AE252" s="7"/>
      <c r="AF252" s="7"/>
      <c r="AG252" s="7"/>
      <c r="AH252" s="7"/>
      <c r="AP252" s="7"/>
      <c r="AQ252" s="7"/>
      <c r="AR252" s="7"/>
      <c r="AS252" s="7"/>
      <c r="AT252" s="7"/>
      <c r="AU252" s="7"/>
      <c r="AV252" s="7"/>
      <c r="AW252" s="7"/>
      <c r="AX252" s="7"/>
      <c r="AY252" s="7"/>
      <c r="AZ252" s="7"/>
      <c r="BA252" s="7"/>
    </row>
    <row r="253" spans="2:53">
      <c r="B253" s="7"/>
      <c r="C253" s="489"/>
      <c r="D253" s="489"/>
      <c r="E253" s="490"/>
      <c r="F253" s="490"/>
      <c r="G253" s="7"/>
      <c r="H253" s="7"/>
      <c r="I253" s="7"/>
      <c r="J253" s="7"/>
      <c r="K253" s="7"/>
      <c r="L253" s="7"/>
      <c r="M253" s="7"/>
      <c r="N253" s="7"/>
      <c r="O253" s="7"/>
      <c r="P253" s="7"/>
      <c r="Q253" s="7"/>
      <c r="R253" s="7"/>
      <c r="S253" s="7"/>
      <c r="T253" s="7"/>
      <c r="U253" s="7"/>
      <c r="AE253" s="7"/>
      <c r="AF253" s="7"/>
      <c r="AG253" s="7"/>
      <c r="AH253" s="7"/>
      <c r="AP253" s="7"/>
      <c r="AQ253" s="7"/>
      <c r="AR253" s="7"/>
      <c r="AS253" s="7"/>
      <c r="AT253" s="7"/>
      <c r="AU253" s="7"/>
      <c r="AV253" s="7"/>
      <c r="AW253" s="7"/>
      <c r="AX253" s="7"/>
      <c r="AY253" s="7"/>
      <c r="AZ253" s="7"/>
      <c r="BA253" s="7"/>
    </row>
    <row r="254" spans="2:53">
      <c r="B254" s="7"/>
      <c r="C254" s="489"/>
      <c r="D254" s="489"/>
      <c r="E254" s="490"/>
      <c r="F254" s="490"/>
      <c r="G254" s="7"/>
      <c r="H254" s="7"/>
      <c r="I254" s="7"/>
      <c r="J254" s="7"/>
      <c r="K254" s="7"/>
      <c r="L254" s="7"/>
      <c r="M254" s="7"/>
      <c r="N254" s="7"/>
      <c r="O254" s="7"/>
      <c r="P254" s="7"/>
      <c r="Q254" s="7"/>
      <c r="R254" s="7"/>
      <c r="S254" s="7"/>
      <c r="T254" s="7"/>
      <c r="U254" s="7"/>
      <c r="AE254" s="7"/>
      <c r="AF254" s="7"/>
      <c r="AG254" s="7"/>
      <c r="AH254" s="7"/>
      <c r="AP254" s="7"/>
      <c r="AQ254" s="7"/>
      <c r="AR254" s="7"/>
      <c r="AS254" s="7"/>
      <c r="AT254" s="7"/>
      <c r="AU254" s="7"/>
      <c r="AV254" s="7"/>
      <c r="AW254" s="7"/>
      <c r="AX254" s="7"/>
      <c r="AY254" s="7"/>
      <c r="AZ254" s="7"/>
      <c r="BA254" s="7"/>
    </row>
    <row r="255" spans="2:53">
      <c r="B255" s="7"/>
      <c r="C255" s="489"/>
      <c r="D255" s="489"/>
      <c r="E255" s="490"/>
      <c r="F255" s="490"/>
      <c r="G255" s="7"/>
      <c r="H255" s="7"/>
      <c r="I255" s="7"/>
      <c r="J255" s="7"/>
      <c r="K255" s="7"/>
      <c r="L255" s="7"/>
      <c r="M255" s="7"/>
      <c r="N255" s="7"/>
      <c r="O255" s="7"/>
      <c r="P255" s="7"/>
      <c r="Q255" s="7"/>
      <c r="R255" s="7"/>
      <c r="S255" s="7"/>
      <c r="T255" s="7"/>
      <c r="U255" s="7"/>
      <c r="AE255" s="7"/>
      <c r="AF255" s="7"/>
      <c r="AG255" s="7"/>
      <c r="AH255" s="7"/>
      <c r="AP255" s="7"/>
      <c r="AQ255" s="7"/>
      <c r="AR255" s="7"/>
      <c r="AS255" s="7"/>
      <c r="AT255" s="7"/>
      <c r="AU255" s="7"/>
      <c r="AV255" s="7"/>
      <c r="AW255" s="7"/>
      <c r="AX255" s="7"/>
      <c r="AY255" s="7"/>
      <c r="AZ255" s="7"/>
      <c r="BA255" s="7"/>
    </row>
    <row r="256" spans="2:53">
      <c r="B256" s="7"/>
      <c r="C256" s="489"/>
      <c r="D256" s="489"/>
      <c r="E256" s="490"/>
      <c r="F256" s="490"/>
      <c r="G256" s="7"/>
      <c r="H256" s="7"/>
      <c r="I256" s="7"/>
      <c r="J256" s="7"/>
      <c r="K256" s="7"/>
      <c r="L256" s="7"/>
      <c r="M256" s="7"/>
      <c r="N256" s="7"/>
      <c r="O256" s="7"/>
      <c r="P256" s="7"/>
      <c r="Q256" s="7"/>
      <c r="R256" s="7"/>
      <c r="S256" s="7"/>
      <c r="T256" s="7"/>
      <c r="U256" s="7"/>
      <c r="AE256" s="7"/>
      <c r="AF256" s="7"/>
      <c r="AG256" s="7"/>
      <c r="AH256" s="7"/>
      <c r="AP256" s="7"/>
      <c r="AQ256" s="7"/>
      <c r="AR256" s="7"/>
      <c r="AS256" s="7"/>
      <c r="AT256" s="7"/>
      <c r="AU256" s="7"/>
      <c r="AV256" s="7"/>
      <c r="AW256" s="7"/>
      <c r="AX256" s="7"/>
      <c r="AY256" s="7"/>
      <c r="AZ256" s="7"/>
      <c r="BA256" s="7"/>
    </row>
    <row r="257" spans="2:53">
      <c r="B257" s="7"/>
      <c r="C257" s="489"/>
      <c r="D257" s="489"/>
      <c r="E257" s="490"/>
      <c r="F257" s="490"/>
      <c r="G257" s="7"/>
      <c r="H257" s="7"/>
      <c r="I257" s="7"/>
      <c r="J257" s="7"/>
      <c r="K257" s="7"/>
      <c r="L257" s="7"/>
      <c r="M257" s="7"/>
      <c r="N257" s="7"/>
      <c r="O257" s="7"/>
      <c r="P257" s="7"/>
      <c r="Q257" s="7"/>
      <c r="R257" s="7"/>
      <c r="S257" s="7"/>
      <c r="T257" s="7"/>
      <c r="U257" s="7"/>
      <c r="AE257" s="7"/>
      <c r="AF257" s="7"/>
      <c r="AG257" s="7"/>
      <c r="AH257" s="7"/>
      <c r="AP257" s="7"/>
      <c r="AQ257" s="7"/>
      <c r="AR257" s="7"/>
      <c r="AS257" s="7"/>
      <c r="AT257" s="7"/>
      <c r="AU257" s="7"/>
      <c r="AV257" s="7"/>
      <c r="AW257" s="7"/>
      <c r="AX257" s="7"/>
      <c r="AY257" s="7"/>
      <c r="AZ257" s="7"/>
      <c r="BA257" s="7"/>
    </row>
    <row r="258" spans="2:53">
      <c r="B258" s="7"/>
      <c r="C258" s="489"/>
      <c r="D258" s="489"/>
      <c r="E258" s="490"/>
      <c r="F258" s="490"/>
      <c r="G258" s="7"/>
      <c r="H258" s="7"/>
      <c r="I258" s="7"/>
      <c r="J258" s="7"/>
      <c r="K258" s="7"/>
      <c r="L258" s="7"/>
      <c r="M258" s="7"/>
      <c r="N258" s="7"/>
      <c r="O258" s="7"/>
      <c r="P258" s="7"/>
      <c r="Q258" s="7"/>
      <c r="R258" s="7"/>
      <c r="S258" s="7"/>
      <c r="T258" s="7"/>
      <c r="U258" s="7"/>
      <c r="AE258" s="7"/>
      <c r="AF258" s="7"/>
      <c r="AG258" s="7"/>
      <c r="AH258" s="7"/>
      <c r="AP258" s="7"/>
      <c r="AQ258" s="7"/>
      <c r="AR258" s="7"/>
      <c r="AS258" s="7"/>
      <c r="AT258" s="7"/>
      <c r="AU258" s="7"/>
      <c r="AV258" s="7"/>
      <c r="AW258" s="7"/>
      <c r="AX258" s="7"/>
      <c r="AY258" s="7"/>
      <c r="AZ258" s="7"/>
      <c r="BA258" s="7"/>
    </row>
    <row r="259" spans="2:53">
      <c r="B259" s="7"/>
      <c r="C259" s="489"/>
      <c r="D259" s="489"/>
      <c r="E259" s="490"/>
      <c r="F259" s="490"/>
      <c r="G259" s="7"/>
      <c r="H259" s="7"/>
      <c r="I259" s="7"/>
      <c r="J259" s="7"/>
      <c r="K259" s="7"/>
      <c r="L259" s="7"/>
      <c r="M259" s="7"/>
      <c r="N259" s="7"/>
      <c r="O259" s="7"/>
      <c r="P259" s="7"/>
      <c r="Q259" s="7"/>
      <c r="R259" s="7"/>
      <c r="S259" s="7"/>
      <c r="T259" s="7"/>
      <c r="U259" s="7"/>
      <c r="AE259" s="7"/>
      <c r="AF259" s="7"/>
      <c r="AG259" s="7"/>
      <c r="AH259" s="7"/>
      <c r="AP259" s="7"/>
      <c r="AQ259" s="7"/>
      <c r="AR259" s="7"/>
      <c r="AS259" s="7"/>
      <c r="AT259" s="7"/>
      <c r="AU259" s="7"/>
      <c r="AV259" s="7"/>
      <c r="AW259" s="7"/>
      <c r="AX259" s="7"/>
      <c r="AY259" s="7"/>
      <c r="AZ259" s="7"/>
      <c r="BA259" s="7"/>
    </row>
    <row r="260" spans="2:53">
      <c r="B260" s="7"/>
      <c r="C260" s="489"/>
      <c r="D260" s="489"/>
      <c r="E260" s="490"/>
      <c r="F260" s="490"/>
      <c r="G260" s="7"/>
      <c r="H260" s="7"/>
      <c r="I260" s="7"/>
      <c r="J260" s="7"/>
      <c r="K260" s="7"/>
      <c r="L260" s="7"/>
      <c r="M260" s="7"/>
      <c r="N260" s="7"/>
      <c r="O260" s="7"/>
      <c r="P260" s="7"/>
      <c r="Q260" s="7"/>
      <c r="R260" s="7"/>
      <c r="S260" s="7"/>
      <c r="T260" s="7"/>
      <c r="U260" s="7"/>
      <c r="AE260" s="7"/>
      <c r="AF260" s="7"/>
      <c r="AG260" s="7"/>
      <c r="AH260" s="7"/>
      <c r="AP260" s="7"/>
      <c r="AQ260" s="7"/>
      <c r="AR260" s="7"/>
      <c r="AS260" s="7"/>
      <c r="AT260" s="7"/>
      <c r="AU260" s="7"/>
      <c r="AV260" s="7"/>
      <c r="AW260" s="7"/>
      <c r="AX260" s="7"/>
      <c r="AY260" s="7"/>
      <c r="AZ260" s="7"/>
      <c r="BA260" s="7"/>
    </row>
    <row r="261" spans="2:53">
      <c r="B261" s="7"/>
      <c r="C261" s="489"/>
      <c r="D261" s="489"/>
      <c r="E261" s="490"/>
      <c r="F261" s="490"/>
      <c r="G261" s="7"/>
      <c r="H261" s="7"/>
      <c r="I261" s="7"/>
      <c r="J261" s="7"/>
      <c r="K261" s="7"/>
      <c r="L261" s="7"/>
      <c r="M261" s="7"/>
      <c r="N261" s="7"/>
      <c r="O261" s="7"/>
      <c r="P261" s="7"/>
      <c r="Q261" s="7"/>
      <c r="R261" s="7"/>
      <c r="S261" s="7"/>
      <c r="T261" s="7"/>
      <c r="U261" s="7"/>
      <c r="AE261" s="7"/>
      <c r="AF261" s="7"/>
      <c r="AG261" s="7"/>
      <c r="AH261" s="7"/>
      <c r="AP261" s="7"/>
      <c r="AQ261" s="7"/>
      <c r="AR261" s="7"/>
      <c r="AS261" s="7"/>
      <c r="AT261" s="7"/>
      <c r="AU261" s="7"/>
      <c r="AV261" s="7"/>
      <c r="AW261" s="7"/>
      <c r="AX261" s="7"/>
      <c r="AY261" s="7"/>
      <c r="AZ261" s="7"/>
      <c r="BA261" s="7"/>
    </row>
    <row r="262" spans="2:53">
      <c r="B262" s="7"/>
      <c r="C262" s="489"/>
      <c r="D262" s="489"/>
      <c r="E262" s="490"/>
      <c r="F262" s="490"/>
      <c r="G262" s="7"/>
      <c r="H262" s="7"/>
      <c r="I262" s="7"/>
      <c r="J262" s="7"/>
      <c r="K262" s="7"/>
      <c r="L262" s="7"/>
      <c r="M262" s="7"/>
      <c r="N262" s="7"/>
      <c r="O262" s="7"/>
      <c r="P262" s="7"/>
      <c r="Q262" s="7"/>
      <c r="R262" s="7"/>
      <c r="S262" s="7"/>
      <c r="T262" s="7"/>
      <c r="U262" s="7"/>
      <c r="AE262" s="7"/>
      <c r="AF262" s="7"/>
      <c r="AG262" s="7"/>
      <c r="AH262" s="7"/>
      <c r="AP262" s="7"/>
      <c r="AQ262" s="7"/>
      <c r="AR262" s="7"/>
      <c r="AS262" s="7"/>
      <c r="AT262" s="7"/>
      <c r="AU262" s="7"/>
      <c r="AV262" s="7"/>
      <c r="AW262" s="7"/>
      <c r="AX262" s="7"/>
      <c r="AY262" s="7"/>
      <c r="AZ262" s="7"/>
      <c r="BA262" s="7"/>
    </row>
    <row r="263" spans="2:53">
      <c r="B263" s="7"/>
      <c r="C263" s="489"/>
      <c r="D263" s="489"/>
      <c r="E263" s="490"/>
      <c r="F263" s="490"/>
      <c r="G263" s="7"/>
      <c r="H263" s="7"/>
      <c r="I263" s="7"/>
      <c r="J263" s="7"/>
      <c r="K263" s="7"/>
      <c r="L263" s="7"/>
      <c r="M263" s="7"/>
      <c r="N263" s="7"/>
      <c r="O263" s="7"/>
      <c r="P263" s="7"/>
      <c r="Q263" s="7"/>
      <c r="R263" s="7"/>
      <c r="S263" s="7"/>
      <c r="T263" s="7"/>
      <c r="U263" s="7"/>
      <c r="AE263" s="7"/>
      <c r="AF263" s="7"/>
      <c r="AG263" s="7"/>
      <c r="AH263" s="7"/>
      <c r="AP263" s="7"/>
      <c r="AQ263" s="7"/>
      <c r="AR263" s="7"/>
      <c r="AS263" s="7"/>
      <c r="AT263" s="7"/>
      <c r="AU263" s="7"/>
      <c r="AV263" s="7"/>
      <c r="AW263" s="7"/>
      <c r="AX263" s="7"/>
      <c r="AY263" s="7"/>
      <c r="AZ263" s="7"/>
      <c r="BA263" s="7"/>
    </row>
    <row r="264" spans="2:53">
      <c r="B264" s="7"/>
      <c r="C264" s="489"/>
      <c r="D264" s="489"/>
      <c r="E264" s="490"/>
      <c r="F264" s="490"/>
      <c r="G264" s="7"/>
      <c r="H264" s="7"/>
      <c r="I264" s="7"/>
      <c r="J264" s="7"/>
      <c r="K264" s="7"/>
      <c r="L264" s="7"/>
      <c r="M264" s="7"/>
      <c r="N264" s="7"/>
      <c r="O264" s="7"/>
      <c r="P264" s="7"/>
      <c r="Q264" s="7"/>
      <c r="R264" s="7"/>
      <c r="S264" s="7"/>
      <c r="T264" s="7"/>
      <c r="U264" s="7"/>
      <c r="AE264" s="7"/>
      <c r="AF264" s="7"/>
      <c r="AG264" s="7"/>
      <c r="AH264" s="7"/>
      <c r="AP264" s="7"/>
      <c r="AQ264" s="7"/>
      <c r="AR264" s="7"/>
      <c r="AS264" s="7"/>
      <c r="AT264" s="7"/>
      <c r="AU264" s="7"/>
      <c r="AV264" s="7"/>
      <c r="AW264" s="7"/>
      <c r="AX264" s="7"/>
      <c r="AY264" s="7"/>
      <c r="AZ264" s="7"/>
      <c r="BA264" s="7"/>
    </row>
    <row r="265" spans="2:53">
      <c r="B265" s="7"/>
      <c r="C265" s="489"/>
      <c r="D265" s="489"/>
      <c r="E265" s="490"/>
      <c r="F265" s="490"/>
      <c r="G265" s="7"/>
      <c r="H265" s="7"/>
      <c r="I265" s="7"/>
      <c r="J265" s="7"/>
      <c r="K265" s="7"/>
      <c r="L265" s="7"/>
      <c r="M265" s="7"/>
      <c r="N265" s="7"/>
      <c r="O265" s="7"/>
      <c r="P265" s="7"/>
      <c r="Q265" s="7"/>
      <c r="R265" s="7"/>
      <c r="S265" s="7"/>
      <c r="T265" s="7"/>
      <c r="U265" s="7"/>
      <c r="AE265" s="7"/>
      <c r="AF265" s="7"/>
      <c r="AG265" s="7"/>
      <c r="AH265" s="7"/>
      <c r="AP265" s="7"/>
      <c r="AQ265" s="7"/>
      <c r="AR265" s="7"/>
      <c r="AS265" s="7"/>
      <c r="AT265" s="7"/>
      <c r="AU265" s="7"/>
      <c r="AV265" s="7"/>
      <c r="AW265" s="7"/>
      <c r="AX265" s="7"/>
      <c r="AY265" s="7"/>
      <c r="AZ265" s="7"/>
      <c r="BA265" s="7"/>
    </row>
    <row r="266" spans="2:53">
      <c r="B266" s="7"/>
      <c r="C266" s="489"/>
      <c r="D266" s="489"/>
      <c r="E266" s="490"/>
      <c r="F266" s="490"/>
      <c r="G266" s="7"/>
      <c r="H266" s="7"/>
      <c r="I266" s="7"/>
      <c r="J266" s="7"/>
      <c r="K266" s="7"/>
      <c r="L266" s="7"/>
      <c r="M266" s="7"/>
      <c r="N266" s="7"/>
      <c r="O266" s="7"/>
      <c r="P266" s="7"/>
      <c r="Q266" s="7"/>
      <c r="R266" s="7"/>
      <c r="S266" s="7"/>
      <c r="T266" s="7"/>
      <c r="U266" s="7"/>
      <c r="AE266" s="7"/>
      <c r="AF266" s="7"/>
      <c r="AG266" s="7"/>
      <c r="AH266" s="7"/>
      <c r="AP266" s="7"/>
      <c r="AQ266" s="7"/>
      <c r="AR266" s="7"/>
      <c r="AS266" s="7"/>
      <c r="AT266" s="7"/>
      <c r="AU266" s="7"/>
      <c r="AV266" s="7"/>
      <c r="AW266" s="7"/>
      <c r="AX266" s="7"/>
      <c r="AY266" s="7"/>
      <c r="AZ266" s="7"/>
      <c r="BA266" s="7"/>
    </row>
    <row r="267" spans="2:53">
      <c r="B267" s="7"/>
      <c r="C267" s="489"/>
      <c r="D267" s="489"/>
      <c r="E267" s="490"/>
      <c r="F267" s="490"/>
      <c r="G267" s="7"/>
      <c r="H267" s="7"/>
      <c r="I267" s="7"/>
      <c r="J267" s="7"/>
      <c r="K267" s="7"/>
      <c r="L267" s="7"/>
      <c r="M267" s="7"/>
      <c r="N267" s="7"/>
      <c r="O267" s="7"/>
      <c r="P267" s="7"/>
      <c r="Q267" s="7"/>
      <c r="R267" s="7"/>
      <c r="S267" s="7"/>
      <c r="T267" s="7"/>
      <c r="U267" s="7"/>
      <c r="AE267" s="7"/>
      <c r="AF267" s="7"/>
      <c r="AG267" s="7"/>
      <c r="AH267" s="7"/>
      <c r="AP267" s="7"/>
      <c r="AQ267" s="7"/>
      <c r="AR267" s="7"/>
      <c r="AS267" s="7"/>
      <c r="AT267" s="7"/>
      <c r="AU267" s="7"/>
      <c r="AV267" s="7"/>
      <c r="AW267" s="7"/>
      <c r="AX267" s="7"/>
      <c r="AY267" s="7"/>
      <c r="AZ267" s="7"/>
      <c r="BA267" s="7"/>
    </row>
    <row r="268" spans="2:53">
      <c r="B268" s="7"/>
      <c r="C268" s="489"/>
      <c r="D268" s="489"/>
      <c r="E268" s="490"/>
      <c r="F268" s="490"/>
      <c r="G268" s="7"/>
      <c r="H268" s="7"/>
      <c r="I268" s="7"/>
      <c r="J268" s="7"/>
      <c r="K268" s="7"/>
      <c r="L268" s="7"/>
      <c r="M268" s="7"/>
      <c r="N268" s="7"/>
      <c r="O268" s="7"/>
      <c r="P268" s="7"/>
      <c r="Q268" s="7"/>
      <c r="R268" s="7"/>
      <c r="S268" s="7"/>
      <c r="T268" s="7"/>
      <c r="U268" s="7"/>
      <c r="AE268" s="7"/>
      <c r="AF268" s="7"/>
      <c r="AG268" s="7"/>
      <c r="AH268" s="7"/>
      <c r="AP268" s="7"/>
      <c r="AQ268" s="7"/>
      <c r="AR268" s="7"/>
      <c r="AS268" s="7"/>
      <c r="AT268" s="7"/>
      <c r="AU268" s="7"/>
      <c r="AV268" s="7"/>
      <c r="AW268" s="7"/>
      <c r="AX268" s="7"/>
      <c r="AY268" s="7"/>
      <c r="AZ268" s="7"/>
      <c r="BA268" s="7"/>
    </row>
    <row r="269" spans="2:53">
      <c r="B269" s="7"/>
      <c r="C269" s="489"/>
      <c r="D269" s="489"/>
      <c r="E269" s="490"/>
      <c r="F269" s="490"/>
      <c r="G269" s="7"/>
      <c r="H269" s="7"/>
      <c r="I269" s="7"/>
      <c r="J269" s="7"/>
      <c r="K269" s="7"/>
      <c r="L269" s="7"/>
      <c r="M269" s="7"/>
      <c r="N269" s="7"/>
      <c r="O269" s="7"/>
      <c r="P269" s="7"/>
      <c r="Q269" s="7"/>
      <c r="R269" s="7"/>
      <c r="S269" s="7"/>
      <c r="T269" s="7"/>
      <c r="U269" s="7"/>
      <c r="AE269" s="7"/>
      <c r="AF269" s="7"/>
      <c r="AG269" s="7"/>
      <c r="AH269" s="7"/>
      <c r="AP269" s="7"/>
      <c r="AQ269" s="7"/>
      <c r="AR269" s="7"/>
      <c r="AS269" s="7"/>
      <c r="AT269" s="7"/>
      <c r="AU269" s="7"/>
      <c r="AV269" s="7"/>
      <c r="AW269" s="7"/>
      <c r="AX269" s="7"/>
      <c r="AY269" s="7"/>
      <c r="AZ269" s="7"/>
      <c r="BA269" s="7"/>
    </row>
    <row r="270" spans="2:53">
      <c r="B270" s="7"/>
      <c r="C270" s="489"/>
      <c r="D270" s="489"/>
      <c r="E270" s="490"/>
      <c r="F270" s="490"/>
      <c r="G270" s="7"/>
      <c r="H270" s="7"/>
      <c r="I270" s="7"/>
      <c r="J270" s="7"/>
      <c r="K270" s="7"/>
      <c r="L270" s="7"/>
      <c r="M270" s="7"/>
      <c r="N270" s="7"/>
      <c r="O270" s="7"/>
      <c r="P270" s="7"/>
      <c r="Q270" s="7"/>
      <c r="R270" s="7"/>
      <c r="S270" s="7"/>
      <c r="T270" s="7"/>
      <c r="U270" s="7"/>
      <c r="AE270" s="7"/>
      <c r="AF270" s="7"/>
      <c r="AG270" s="7"/>
      <c r="AH270" s="7"/>
      <c r="AP270" s="7"/>
      <c r="AQ270" s="7"/>
      <c r="AR270" s="7"/>
      <c r="AS270" s="7"/>
      <c r="AT270" s="7"/>
      <c r="AU270" s="7"/>
      <c r="AV270" s="7"/>
      <c r="AW270" s="7"/>
      <c r="AX270" s="7"/>
      <c r="AY270" s="7"/>
      <c r="AZ270" s="7"/>
      <c r="BA270" s="7"/>
    </row>
    <row r="271" spans="2:53">
      <c r="B271" s="7"/>
      <c r="C271" s="489"/>
      <c r="D271" s="489"/>
      <c r="E271" s="490"/>
      <c r="F271" s="490"/>
      <c r="G271" s="7"/>
      <c r="H271" s="7"/>
      <c r="I271" s="7"/>
      <c r="J271" s="7"/>
      <c r="K271" s="7"/>
      <c r="L271" s="7"/>
      <c r="M271" s="7"/>
      <c r="N271" s="7"/>
      <c r="O271" s="7"/>
      <c r="P271" s="7"/>
      <c r="Q271" s="7"/>
      <c r="R271" s="7"/>
      <c r="S271" s="7"/>
      <c r="T271" s="7"/>
      <c r="U271" s="7"/>
      <c r="AE271" s="7"/>
      <c r="AF271" s="7"/>
      <c r="AG271" s="7"/>
      <c r="AH271" s="7"/>
      <c r="AP271" s="7"/>
      <c r="AQ271" s="7"/>
      <c r="AR271" s="7"/>
      <c r="AS271" s="7"/>
      <c r="AT271" s="7"/>
      <c r="AU271" s="7"/>
      <c r="AV271" s="7"/>
      <c r="AW271" s="7"/>
      <c r="AX271" s="7"/>
      <c r="AY271" s="7"/>
      <c r="AZ271" s="7"/>
      <c r="BA271" s="7"/>
    </row>
    <row r="272" spans="2:53">
      <c r="B272" s="7"/>
      <c r="C272" s="489"/>
      <c r="D272" s="489"/>
      <c r="E272" s="490"/>
      <c r="F272" s="490"/>
      <c r="G272" s="7"/>
      <c r="H272" s="7"/>
      <c r="I272" s="7"/>
      <c r="J272" s="7"/>
      <c r="K272" s="7"/>
      <c r="L272" s="7"/>
      <c r="M272" s="7"/>
      <c r="N272" s="7"/>
      <c r="O272" s="7"/>
      <c r="P272" s="7"/>
      <c r="Q272" s="7"/>
      <c r="R272" s="7"/>
      <c r="S272" s="7"/>
      <c r="T272" s="7"/>
      <c r="U272" s="7"/>
      <c r="AE272" s="7"/>
      <c r="AF272" s="7"/>
      <c r="AG272" s="7"/>
      <c r="AH272" s="7"/>
      <c r="AP272" s="7"/>
      <c r="AQ272" s="7"/>
      <c r="AR272" s="7"/>
      <c r="AS272" s="7"/>
      <c r="AT272" s="7"/>
      <c r="AU272" s="7"/>
      <c r="AV272" s="7"/>
      <c r="AW272" s="7"/>
      <c r="AX272" s="7"/>
      <c r="AY272" s="7"/>
      <c r="AZ272" s="7"/>
      <c r="BA272" s="7"/>
    </row>
    <row r="273" spans="2:53">
      <c r="B273" s="7"/>
      <c r="C273" s="489"/>
      <c r="D273" s="489"/>
      <c r="E273" s="490"/>
      <c r="F273" s="490"/>
      <c r="G273" s="7"/>
      <c r="H273" s="7"/>
      <c r="I273" s="7"/>
      <c r="J273" s="7"/>
      <c r="K273" s="7"/>
      <c r="L273" s="7"/>
      <c r="M273" s="7"/>
      <c r="N273" s="7"/>
      <c r="O273" s="7"/>
      <c r="P273" s="7"/>
      <c r="Q273" s="7"/>
      <c r="R273" s="7"/>
      <c r="S273" s="7"/>
      <c r="T273" s="7"/>
      <c r="U273" s="7"/>
      <c r="AE273" s="7"/>
      <c r="AF273" s="7"/>
      <c r="AG273" s="7"/>
      <c r="AH273" s="7"/>
      <c r="AP273" s="7"/>
      <c r="AQ273" s="7"/>
      <c r="AR273" s="7"/>
      <c r="AS273" s="7"/>
      <c r="AT273" s="7"/>
      <c r="AU273" s="7"/>
      <c r="AV273" s="7"/>
      <c r="AW273" s="7"/>
      <c r="AX273" s="7"/>
      <c r="AY273" s="7"/>
      <c r="AZ273" s="7"/>
      <c r="BA273" s="7"/>
    </row>
    <row r="274" spans="2:53">
      <c r="B274" s="7"/>
      <c r="C274" s="489"/>
      <c r="D274" s="489"/>
      <c r="E274" s="490"/>
      <c r="F274" s="490"/>
      <c r="G274" s="7"/>
      <c r="H274" s="7"/>
      <c r="I274" s="7"/>
      <c r="J274" s="7"/>
      <c r="K274" s="7"/>
      <c r="L274" s="7"/>
      <c r="M274" s="7"/>
      <c r="N274" s="7"/>
      <c r="O274" s="7"/>
      <c r="P274" s="7"/>
      <c r="Q274" s="7"/>
      <c r="R274" s="7"/>
      <c r="S274" s="7"/>
      <c r="T274" s="7"/>
      <c r="U274" s="7"/>
      <c r="AE274" s="7"/>
      <c r="AF274" s="7"/>
      <c r="AG274" s="7"/>
      <c r="AH274" s="7"/>
      <c r="AP274" s="7"/>
      <c r="AQ274" s="7"/>
      <c r="AR274" s="7"/>
      <c r="AS274" s="7"/>
      <c r="AT274" s="7"/>
      <c r="AU274" s="7"/>
      <c r="AV274" s="7"/>
      <c r="AW274" s="7"/>
      <c r="AX274" s="7"/>
      <c r="AY274" s="7"/>
      <c r="AZ274" s="7"/>
      <c r="BA274" s="7"/>
    </row>
    <row r="275" spans="2:53">
      <c r="B275" s="7"/>
      <c r="C275" s="489"/>
      <c r="D275" s="489"/>
      <c r="E275" s="490"/>
      <c r="F275" s="490"/>
      <c r="G275" s="7"/>
      <c r="H275" s="7"/>
      <c r="I275" s="7"/>
      <c r="J275" s="7"/>
      <c r="K275" s="7"/>
      <c r="L275" s="7"/>
      <c r="M275" s="7"/>
      <c r="N275" s="7"/>
      <c r="O275" s="7"/>
      <c r="P275" s="7"/>
      <c r="Q275" s="7"/>
      <c r="R275" s="7"/>
      <c r="S275" s="7"/>
      <c r="T275" s="7"/>
      <c r="U275" s="7"/>
      <c r="AE275" s="7"/>
      <c r="AF275" s="7"/>
      <c r="AG275" s="7"/>
      <c r="AH275" s="7"/>
      <c r="AP275" s="7"/>
      <c r="AQ275" s="7"/>
      <c r="AR275" s="7"/>
      <c r="AS275" s="7"/>
      <c r="AT275" s="7"/>
      <c r="AU275" s="7"/>
      <c r="AV275" s="7"/>
      <c r="AW275" s="7"/>
      <c r="AX275" s="7"/>
      <c r="AY275" s="7"/>
      <c r="AZ275" s="7"/>
      <c r="BA275" s="7"/>
    </row>
    <row r="276" spans="2:53">
      <c r="G276" s="7"/>
      <c r="H276" s="7"/>
      <c r="I276" s="329"/>
      <c r="J276" s="7"/>
      <c r="K276" s="7"/>
      <c r="L276" s="7"/>
      <c r="M276" s="7"/>
      <c r="N276" s="7"/>
      <c r="O276" s="7"/>
      <c r="P276" s="7"/>
      <c r="Q276" s="7"/>
      <c r="R276" s="7"/>
      <c r="S276" s="7"/>
      <c r="T276" s="7"/>
      <c r="U276" s="7"/>
      <c r="AE276" s="7"/>
      <c r="AF276" s="7"/>
      <c r="AG276" s="7"/>
      <c r="AH276" s="7"/>
      <c r="AP276" s="7"/>
      <c r="AQ276" s="7"/>
      <c r="AR276" s="7"/>
      <c r="AS276" s="7"/>
      <c r="AT276" s="7"/>
      <c r="AU276" s="7"/>
      <c r="AV276" s="7"/>
      <c r="AW276" s="7"/>
      <c r="AX276" s="7"/>
      <c r="AY276" s="7"/>
      <c r="AZ276" s="7"/>
      <c r="BA276" s="7"/>
    </row>
    <row r="277" spans="2:53">
      <c r="G277" s="7"/>
      <c r="H277" s="7"/>
      <c r="I277" s="329"/>
      <c r="J277" s="7"/>
      <c r="K277" s="7"/>
      <c r="L277" s="7"/>
      <c r="M277" s="7"/>
      <c r="N277" s="7"/>
      <c r="O277" s="7"/>
      <c r="P277" s="7"/>
      <c r="Q277" s="7"/>
      <c r="R277" s="7"/>
      <c r="S277" s="7"/>
      <c r="T277" s="7"/>
      <c r="U277" s="7"/>
      <c r="AE277" s="7"/>
      <c r="AF277" s="7"/>
      <c r="AG277" s="7"/>
      <c r="AH277" s="7"/>
      <c r="AP277" s="7"/>
      <c r="AQ277" s="7"/>
      <c r="AR277" s="7"/>
      <c r="AS277" s="7"/>
      <c r="AT277" s="7"/>
      <c r="AU277" s="7"/>
      <c r="AV277" s="7"/>
      <c r="AW277" s="7"/>
      <c r="AX277" s="7"/>
      <c r="AY277" s="7"/>
      <c r="AZ277" s="7"/>
      <c r="BA277" s="7"/>
    </row>
    <row r="278" spans="2:53">
      <c r="G278" s="7"/>
      <c r="H278" s="7"/>
      <c r="I278" s="329"/>
      <c r="J278" s="7"/>
      <c r="K278" s="7"/>
      <c r="L278" s="7"/>
      <c r="M278" s="7"/>
      <c r="N278" s="7"/>
      <c r="O278" s="7"/>
      <c r="P278" s="7"/>
      <c r="Q278" s="7"/>
      <c r="R278" s="7"/>
      <c r="S278" s="7"/>
      <c r="T278" s="7"/>
      <c r="U278" s="7"/>
      <c r="AE278" s="7"/>
      <c r="AF278" s="7"/>
      <c r="AG278" s="7"/>
      <c r="AH278" s="7"/>
      <c r="AP278" s="7"/>
      <c r="AQ278" s="7"/>
      <c r="AR278" s="7"/>
      <c r="AS278" s="7"/>
      <c r="AT278" s="7"/>
      <c r="AU278" s="7"/>
      <c r="AV278" s="7"/>
      <c r="AW278" s="7"/>
      <c r="AX278" s="7"/>
      <c r="AY278" s="7"/>
      <c r="AZ278" s="7"/>
      <c r="BA278" s="7"/>
    </row>
    <row r="279" spans="2:53">
      <c r="G279" s="7"/>
      <c r="H279" s="7"/>
      <c r="I279" s="329"/>
      <c r="J279" s="7"/>
      <c r="K279" s="7"/>
      <c r="L279" s="7"/>
      <c r="M279" s="7"/>
      <c r="N279" s="7"/>
      <c r="O279" s="7"/>
      <c r="P279" s="7"/>
      <c r="Q279" s="7"/>
      <c r="R279" s="7"/>
      <c r="S279" s="7"/>
      <c r="T279" s="7"/>
      <c r="U279" s="7"/>
      <c r="AE279" s="7"/>
      <c r="AF279" s="7"/>
      <c r="AG279" s="7"/>
      <c r="AH279" s="7"/>
      <c r="AP279" s="7"/>
      <c r="AQ279" s="7"/>
      <c r="AR279" s="7"/>
      <c r="AS279" s="7"/>
      <c r="AT279" s="7"/>
      <c r="AU279" s="7"/>
      <c r="AV279" s="7"/>
      <c r="AW279" s="7"/>
      <c r="AX279" s="7"/>
      <c r="AY279" s="7"/>
      <c r="AZ279" s="7"/>
      <c r="BA279" s="7"/>
    </row>
    <row r="280" spans="2:53">
      <c r="G280" s="7"/>
      <c r="H280" s="7"/>
      <c r="I280" s="329"/>
      <c r="J280" s="7"/>
      <c r="K280" s="7"/>
      <c r="L280" s="7"/>
      <c r="M280" s="7"/>
      <c r="N280" s="7"/>
      <c r="O280" s="7"/>
      <c r="P280" s="7"/>
      <c r="Q280" s="7"/>
      <c r="R280" s="7"/>
      <c r="S280" s="7"/>
      <c r="T280" s="7"/>
      <c r="U280" s="7"/>
      <c r="AE280" s="7"/>
      <c r="AF280" s="7"/>
      <c r="AG280" s="7"/>
      <c r="AH280" s="7"/>
      <c r="AP280" s="7"/>
      <c r="AQ280" s="7"/>
      <c r="AR280" s="7"/>
      <c r="AS280" s="7"/>
      <c r="AT280" s="7"/>
      <c r="AU280" s="7"/>
      <c r="AV280" s="7"/>
      <c r="AW280" s="7"/>
      <c r="AX280" s="7"/>
      <c r="AY280" s="7"/>
      <c r="AZ280" s="7"/>
      <c r="BA280" s="7"/>
    </row>
    <row r="281" spans="2:53">
      <c r="G281" s="7"/>
      <c r="H281" s="7"/>
      <c r="I281" s="329"/>
      <c r="J281" s="7"/>
      <c r="K281" s="7"/>
      <c r="L281" s="7"/>
      <c r="M281" s="7"/>
      <c r="N281" s="7"/>
      <c r="O281" s="7"/>
      <c r="P281" s="7"/>
      <c r="Q281" s="7"/>
      <c r="R281" s="7"/>
      <c r="S281" s="7"/>
      <c r="T281" s="7"/>
      <c r="U281" s="7"/>
      <c r="AE281" s="7"/>
      <c r="AF281" s="7"/>
      <c r="AG281" s="7"/>
      <c r="AH281" s="7"/>
      <c r="AP281" s="7"/>
      <c r="AQ281" s="7"/>
      <c r="AR281" s="7"/>
      <c r="AS281" s="7"/>
      <c r="AT281" s="7"/>
      <c r="AU281" s="7"/>
      <c r="AV281" s="7"/>
      <c r="AW281" s="7"/>
      <c r="AX281" s="7"/>
      <c r="AY281" s="7"/>
      <c r="AZ281" s="7"/>
      <c r="BA281" s="7"/>
    </row>
    <row r="282" spans="2:53">
      <c r="G282" s="7"/>
      <c r="H282" s="7"/>
      <c r="I282" s="329"/>
      <c r="J282" s="7"/>
      <c r="K282" s="7"/>
      <c r="L282" s="7"/>
      <c r="M282" s="7"/>
      <c r="N282" s="7"/>
      <c r="O282" s="7"/>
      <c r="P282" s="7"/>
      <c r="Q282" s="7"/>
      <c r="R282" s="7"/>
      <c r="S282" s="7"/>
      <c r="T282" s="7"/>
      <c r="U282" s="7"/>
      <c r="AE282" s="7"/>
      <c r="AF282" s="7"/>
      <c r="AG282" s="7"/>
      <c r="AH282" s="7"/>
      <c r="AP282" s="7"/>
      <c r="AQ282" s="7"/>
      <c r="AR282" s="7"/>
      <c r="AS282" s="7"/>
      <c r="AT282" s="7"/>
      <c r="AU282" s="7"/>
      <c r="AV282" s="7"/>
      <c r="AW282" s="7"/>
      <c r="AX282" s="7"/>
      <c r="AY282" s="7"/>
      <c r="AZ282" s="7"/>
      <c r="BA282" s="7"/>
    </row>
    <row r="283" spans="2:53">
      <c r="G283" s="7"/>
      <c r="H283" s="7"/>
      <c r="I283" s="329"/>
      <c r="J283" s="7"/>
      <c r="K283" s="7"/>
      <c r="L283" s="7"/>
      <c r="M283" s="7"/>
      <c r="N283" s="7"/>
      <c r="O283" s="7"/>
      <c r="P283" s="7"/>
      <c r="Q283" s="7"/>
      <c r="R283" s="7"/>
      <c r="S283" s="7"/>
      <c r="T283" s="7"/>
      <c r="U283" s="7"/>
      <c r="AE283" s="7"/>
      <c r="AF283" s="7"/>
      <c r="AG283" s="7"/>
      <c r="AH283" s="7"/>
      <c r="AP283" s="7"/>
      <c r="AQ283" s="7"/>
      <c r="AR283" s="7"/>
      <c r="AS283" s="7"/>
      <c r="AT283" s="7"/>
      <c r="AU283" s="7"/>
      <c r="AV283" s="7"/>
      <c r="AW283" s="7"/>
      <c r="AX283" s="7"/>
      <c r="AY283" s="7"/>
      <c r="AZ283" s="7"/>
      <c r="BA283" s="7"/>
    </row>
    <row r="284" spans="2:53">
      <c r="G284" s="7"/>
      <c r="H284" s="7"/>
      <c r="I284" s="329"/>
      <c r="J284" s="7"/>
      <c r="K284" s="7"/>
      <c r="L284" s="7"/>
      <c r="M284" s="7"/>
      <c r="N284" s="7"/>
      <c r="O284" s="7"/>
      <c r="P284" s="7"/>
      <c r="Q284" s="7"/>
      <c r="R284" s="7"/>
      <c r="S284" s="7"/>
      <c r="T284" s="7"/>
      <c r="U284" s="7"/>
      <c r="AE284" s="7"/>
      <c r="AF284" s="7"/>
      <c r="AG284" s="7"/>
      <c r="AH284" s="7"/>
      <c r="AP284" s="7"/>
      <c r="AQ284" s="7"/>
      <c r="AR284" s="7"/>
      <c r="AS284" s="7"/>
      <c r="AT284" s="7"/>
      <c r="AU284" s="7"/>
      <c r="AV284" s="7"/>
      <c r="AW284" s="7"/>
      <c r="AX284" s="7"/>
      <c r="AY284" s="7"/>
      <c r="AZ284" s="7"/>
      <c r="BA284" s="7"/>
    </row>
    <row r="285" spans="2:53">
      <c r="G285" s="7"/>
      <c r="H285" s="7"/>
      <c r="I285" s="329"/>
      <c r="J285" s="7"/>
      <c r="K285" s="7"/>
      <c r="L285" s="7"/>
      <c r="M285" s="7"/>
      <c r="N285" s="7"/>
      <c r="O285" s="7"/>
      <c r="P285" s="7"/>
      <c r="Q285" s="7"/>
      <c r="R285" s="7"/>
      <c r="S285" s="7"/>
      <c r="T285" s="7"/>
      <c r="U285" s="7"/>
      <c r="AE285" s="7"/>
      <c r="AF285" s="7"/>
      <c r="AG285" s="7"/>
      <c r="AH285" s="7"/>
      <c r="AP285" s="7"/>
      <c r="AQ285" s="7"/>
      <c r="AR285" s="7"/>
      <c r="AS285" s="7"/>
      <c r="AT285" s="7"/>
      <c r="AU285" s="7"/>
      <c r="AV285" s="7"/>
      <c r="AW285" s="7"/>
      <c r="AX285" s="7"/>
      <c r="AY285" s="7"/>
      <c r="AZ285" s="7"/>
      <c r="BA285" s="7"/>
    </row>
    <row r="286" spans="2:53">
      <c r="G286" s="7"/>
      <c r="H286" s="7"/>
      <c r="I286" s="329"/>
      <c r="J286" s="7"/>
      <c r="K286" s="7"/>
      <c r="L286" s="7"/>
      <c r="M286" s="7"/>
      <c r="N286" s="7"/>
      <c r="O286" s="7"/>
      <c r="P286" s="7"/>
      <c r="Q286" s="7"/>
      <c r="R286" s="7"/>
      <c r="S286" s="7"/>
      <c r="T286" s="7"/>
      <c r="U286" s="7"/>
      <c r="AE286" s="7"/>
      <c r="AF286" s="7"/>
      <c r="AG286" s="7"/>
      <c r="AH286" s="7"/>
      <c r="AP286" s="7"/>
      <c r="AQ286" s="7"/>
      <c r="AR286" s="7"/>
      <c r="AS286" s="7"/>
      <c r="AT286" s="7"/>
      <c r="AU286" s="7"/>
      <c r="AV286" s="7"/>
      <c r="AW286" s="7"/>
      <c r="AX286" s="7"/>
      <c r="AY286" s="7"/>
      <c r="AZ286" s="7"/>
      <c r="BA286" s="7"/>
    </row>
    <row r="287" spans="2:53">
      <c r="G287" s="7"/>
      <c r="H287" s="7"/>
      <c r="I287" s="329"/>
      <c r="J287" s="7"/>
      <c r="K287" s="7"/>
      <c r="L287" s="7"/>
      <c r="M287" s="7"/>
      <c r="N287" s="7"/>
      <c r="O287" s="7"/>
      <c r="P287" s="7"/>
      <c r="Q287" s="7"/>
      <c r="R287" s="7"/>
      <c r="S287" s="7"/>
      <c r="T287" s="7"/>
      <c r="U287" s="7"/>
      <c r="AE287" s="7"/>
      <c r="AF287" s="7"/>
      <c r="AG287" s="7"/>
      <c r="AH287" s="7"/>
      <c r="AP287" s="7"/>
      <c r="AQ287" s="7"/>
      <c r="AR287" s="7"/>
      <c r="AS287" s="7"/>
      <c r="AT287" s="7"/>
      <c r="AU287" s="7"/>
      <c r="AV287" s="7"/>
      <c r="AW287" s="7"/>
      <c r="AX287" s="7"/>
      <c r="AY287" s="7"/>
      <c r="AZ287" s="7"/>
      <c r="BA287" s="7"/>
    </row>
    <row r="288" spans="2:53">
      <c r="G288" s="7"/>
      <c r="H288" s="7"/>
      <c r="I288" s="329"/>
      <c r="J288" s="7"/>
      <c r="K288" s="7"/>
      <c r="L288" s="7"/>
      <c r="M288" s="7"/>
      <c r="N288" s="7"/>
      <c r="O288" s="7"/>
      <c r="P288" s="7"/>
      <c r="Q288" s="7"/>
      <c r="R288" s="7"/>
      <c r="S288" s="7"/>
      <c r="T288" s="7"/>
      <c r="U288" s="7"/>
      <c r="AE288" s="7"/>
      <c r="AF288" s="7"/>
      <c r="AG288" s="7"/>
      <c r="AH288" s="7"/>
      <c r="AP288" s="7"/>
      <c r="AQ288" s="7"/>
      <c r="AR288" s="7"/>
      <c r="AS288" s="7"/>
      <c r="AT288" s="7"/>
      <c r="AU288" s="7"/>
      <c r="AV288" s="7"/>
      <c r="AW288" s="7"/>
      <c r="AX288" s="7"/>
      <c r="AY288" s="7"/>
      <c r="AZ288" s="7"/>
      <c r="BA288" s="7"/>
    </row>
    <row r="289" spans="7:53">
      <c r="G289" s="7"/>
      <c r="H289" s="7"/>
      <c r="I289" s="329"/>
      <c r="J289" s="7"/>
      <c r="K289" s="7"/>
      <c r="L289" s="7"/>
      <c r="M289" s="7"/>
      <c r="N289" s="7"/>
      <c r="O289" s="7"/>
      <c r="P289" s="7"/>
      <c r="Q289" s="7"/>
      <c r="R289" s="7"/>
      <c r="S289" s="7"/>
      <c r="T289" s="7"/>
      <c r="U289" s="7"/>
      <c r="AE289" s="7"/>
      <c r="AF289" s="7"/>
      <c r="AG289" s="7"/>
      <c r="AH289" s="7"/>
      <c r="AP289" s="7"/>
      <c r="AQ289" s="7"/>
      <c r="AR289" s="7"/>
      <c r="AS289" s="7"/>
      <c r="AT289" s="7"/>
      <c r="AU289" s="7"/>
      <c r="AV289" s="7"/>
      <c r="AW289" s="7"/>
      <c r="AX289" s="7"/>
      <c r="AY289" s="7"/>
      <c r="AZ289" s="7"/>
      <c r="BA289" s="7"/>
    </row>
    <row r="290" spans="7:53">
      <c r="G290" s="7"/>
      <c r="H290" s="7"/>
      <c r="I290" s="329"/>
      <c r="J290" s="7"/>
      <c r="K290" s="7"/>
      <c r="L290" s="7"/>
      <c r="M290" s="7"/>
      <c r="N290" s="7"/>
      <c r="O290" s="7"/>
      <c r="P290" s="7"/>
      <c r="Q290" s="7"/>
      <c r="R290" s="7"/>
      <c r="S290" s="7"/>
      <c r="T290" s="7"/>
      <c r="U290" s="7"/>
      <c r="AE290" s="7"/>
      <c r="AF290" s="7"/>
      <c r="AG290" s="7"/>
      <c r="AH290" s="7"/>
      <c r="AP290" s="7"/>
      <c r="AQ290" s="7"/>
      <c r="AR290" s="7"/>
      <c r="AS290" s="7"/>
      <c r="AT290" s="7"/>
      <c r="AU290" s="7"/>
      <c r="AV290" s="7"/>
      <c r="AW290" s="7"/>
      <c r="AX290" s="7"/>
      <c r="AY290" s="7"/>
      <c r="AZ290" s="7"/>
      <c r="BA290" s="7"/>
    </row>
    <row r="291" spans="7:53">
      <c r="G291" s="7"/>
      <c r="H291" s="7"/>
      <c r="I291" s="329"/>
      <c r="J291" s="7"/>
      <c r="K291" s="7"/>
      <c r="L291" s="7"/>
      <c r="M291" s="7"/>
      <c r="N291" s="7"/>
      <c r="O291" s="7"/>
      <c r="P291" s="7"/>
      <c r="Q291" s="7"/>
      <c r="R291" s="7"/>
      <c r="S291" s="7"/>
      <c r="T291" s="7"/>
      <c r="U291" s="7"/>
      <c r="AE291" s="7"/>
      <c r="AF291" s="7"/>
      <c r="AG291" s="7"/>
      <c r="AH291" s="7"/>
      <c r="AP291" s="7"/>
      <c r="AQ291" s="7"/>
      <c r="AR291" s="7"/>
      <c r="AS291" s="7"/>
      <c r="AT291" s="7"/>
      <c r="AU291" s="7"/>
      <c r="AV291" s="7"/>
      <c r="AW291" s="7"/>
      <c r="AX291" s="7"/>
      <c r="AY291" s="7"/>
      <c r="AZ291" s="7"/>
      <c r="BA291" s="7"/>
    </row>
    <row r="292" spans="7:53">
      <c r="G292" s="7"/>
      <c r="H292" s="7"/>
      <c r="I292" s="329"/>
      <c r="J292" s="7"/>
      <c r="K292" s="7"/>
      <c r="L292" s="7"/>
      <c r="M292" s="7"/>
      <c r="N292" s="7"/>
      <c r="O292" s="7"/>
      <c r="P292" s="7"/>
      <c r="Q292" s="7"/>
      <c r="R292" s="7"/>
      <c r="S292" s="7"/>
      <c r="T292" s="7"/>
      <c r="U292" s="7"/>
      <c r="AE292" s="7"/>
      <c r="AF292" s="7"/>
      <c r="AG292" s="7"/>
      <c r="AH292" s="7"/>
      <c r="AP292" s="7"/>
      <c r="AQ292" s="7"/>
      <c r="AR292" s="7"/>
      <c r="AS292" s="7"/>
      <c r="AT292" s="7"/>
      <c r="AU292" s="7"/>
      <c r="AV292" s="7"/>
      <c r="AW292" s="7"/>
      <c r="AX292" s="7"/>
      <c r="AY292" s="7"/>
      <c r="AZ292" s="7"/>
      <c r="BA292" s="7"/>
    </row>
    <row r="293" spans="7:53">
      <c r="G293" s="7"/>
      <c r="H293" s="7"/>
      <c r="I293" s="329"/>
      <c r="J293" s="7"/>
      <c r="K293" s="7"/>
      <c r="L293" s="7"/>
      <c r="M293" s="7"/>
      <c r="N293" s="7"/>
      <c r="O293" s="7"/>
      <c r="P293" s="7"/>
      <c r="Q293" s="7"/>
      <c r="R293" s="7"/>
      <c r="S293" s="7"/>
      <c r="T293" s="7"/>
      <c r="U293" s="7"/>
      <c r="AE293" s="7"/>
      <c r="AF293" s="7"/>
      <c r="AG293" s="7"/>
      <c r="AH293" s="7"/>
      <c r="AP293" s="7"/>
      <c r="AQ293" s="7"/>
      <c r="AR293" s="7"/>
      <c r="AS293" s="7"/>
      <c r="AT293" s="7"/>
      <c r="AU293" s="7"/>
      <c r="AV293" s="7"/>
      <c r="AW293" s="7"/>
      <c r="AX293" s="7"/>
      <c r="AY293" s="7"/>
      <c r="AZ293" s="7"/>
      <c r="BA293" s="7"/>
    </row>
    <row r="294" spans="7:53">
      <c r="G294" s="7"/>
      <c r="H294" s="7"/>
      <c r="I294" s="329"/>
      <c r="J294" s="7"/>
      <c r="K294" s="7"/>
      <c r="L294" s="7"/>
      <c r="M294" s="7"/>
      <c r="N294" s="7"/>
      <c r="O294" s="7"/>
      <c r="P294" s="7"/>
      <c r="Q294" s="7"/>
      <c r="R294" s="7"/>
      <c r="S294" s="7"/>
      <c r="T294" s="7"/>
      <c r="U294" s="7"/>
      <c r="AE294" s="7"/>
      <c r="AF294" s="7"/>
      <c r="AG294" s="7"/>
      <c r="AH294" s="7"/>
      <c r="AP294" s="7"/>
      <c r="AQ294" s="7"/>
      <c r="AR294" s="7"/>
      <c r="AS294" s="7"/>
      <c r="AT294" s="7"/>
      <c r="AU294" s="7"/>
      <c r="AV294" s="7"/>
      <c r="AW294" s="7"/>
      <c r="AX294" s="7"/>
      <c r="AY294" s="7"/>
      <c r="AZ294" s="7"/>
      <c r="BA294" s="7"/>
    </row>
    <row r="295" spans="7:53">
      <c r="G295" s="7"/>
      <c r="H295" s="7"/>
      <c r="I295" s="329"/>
      <c r="J295" s="7"/>
      <c r="K295" s="7"/>
      <c r="L295" s="7"/>
      <c r="M295" s="7"/>
      <c r="N295" s="7"/>
      <c r="O295" s="7"/>
      <c r="P295" s="7"/>
      <c r="Q295" s="7"/>
      <c r="R295" s="7"/>
      <c r="S295" s="7"/>
      <c r="T295" s="7"/>
      <c r="U295" s="7"/>
      <c r="AE295" s="7"/>
      <c r="AF295" s="7"/>
      <c r="AG295" s="7"/>
      <c r="AH295" s="7"/>
      <c r="AP295" s="7"/>
      <c r="AQ295" s="7"/>
      <c r="AR295" s="7"/>
      <c r="AS295" s="7"/>
      <c r="AT295" s="7"/>
      <c r="AU295" s="7"/>
      <c r="AV295" s="7"/>
      <c r="AW295" s="7"/>
      <c r="AX295" s="7"/>
      <c r="AY295" s="7"/>
      <c r="AZ295" s="7"/>
      <c r="BA295" s="7"/>
    </row>
    <row r="296" spans="7:53">
      <c r="G296" s="7"/>
      <c r="H296" s="7"/>
      <c r="I296" s="329"/>
      <c r="J296" s="7"/>
      <c r="K296" s="7"/>
      <c r="L296" s="7"/>
      <c r="M296" s="7"/>
      <c r="N296" s="7"/>
      <c r="O296" s="7"/>
      <c r="P296" s="7"/>
      <c r="Q296" s="7"/>
      <c r="R296" s="7"/>
      <c r="S296" s="7"/>
      <c r="T296" s="7"/>
      <c r="U296" s="7"/>
      <c r="AE296" s="7"/>
      <c r="AF296" s="7"/>
      <c r="AG296" s="7"/>
      <c r="AH296" s="7"/>
      <c r="AP296" s="7"/>
      <c r="AQ296" s="7"/>
      <c r="AR296" s="7"/>
      <c r="AS296" s="7"/>
      <c r="AT296" s="7"/>
      <c r="AU296" s="7"/>
      <c r="AV296" s="7"/>
      <c r="AW296" s="7"/>
      <c r="AX296" s="7"/>
      <c r="AY296" s="7"/>
      <c r="AZ296" s="7"/>
      <c r="BA296" s="7"/>
    </row>
    <row r="297" spans="7:53">
      <c r="G297" s="7"/>
      <c r="H297" s="7"/>
      <c r="I297" s="329"/>
      <c r="J297" s="7"/>
      <c r="K297" s="7"/>
      <c r="L297" s="7"/>
      <c r="M297" s="7"/>
      <c r="N297" s="7"/>
      <c r="O297" s="7"/>
      <c r="P297" s="7"/>
      <c r="Q297" s="7"/>
      <c r="R297" s="7"/>
      <c r="S297" s="7"/>
      <c r="T297" s="7"/>
      <c r="U297" s="7"/>
      <c r="AE297" s="7"/>
      <c r="AF297" s="7"/>
      <c r="AG297" s="7"/>
      <c r="AH297" s="7"/>
      <c r="AP297" s="7"/>
      <c r="AQ297" s="7"/>
      <c r="AR297" s="7"/>
      <c r="AS297" s="7"/>
      <c r="AT297" s="7"/>
      <c r="AU297" s="7"/>
      <c r="AV297" s="7"/>
      <c r="AW297" s="7"/>
      <c r="AX297" s="7"/>
      <c r="AY297" s="7"/>
      <c r="AZ297" s="7"/>
      <c r="BA297" s="7"/>
    </row>
    <row r="298" spans="7:53">
      <c r="G298" s="7"/>
      <c r="H298" s="7"/>
      <c r="I298" s="329"/>
      <c r="J298" s="7"/>
      <c r="K298" s="7"/>
      <c r="L298" s="7"/>
      <c r="M298" s="7"/>
      <c r="N298" s="7"/>
      <c r="O298" s="7"/>
      <c r="P298" s="7"/>
      <c r="Q298" s="7"/>
      <c r="R298" s="7"/>
      <c r="S298" s="7"/>
      <c r="T298" s="7"/>
      <c r="U298" s="7"/>
      <c r="AE298" s="7"/>
      <c r="AF298" s="7"/>
      <c r="AG298" s="7"/>
      <c r="AH298" s="7"/>
      <c r="AP298" s="7"/>
      <c r="AQ298" s="7"/>
      <c r="AR298" s="7"/>
      <c r="AS298" s="7"/>
      <c r="AT298" s="7"/>
      <c r="AU298" s="7"/>
      <c r="AV298" s="7"/>
      <c r="AW298" s="7"/>
      <c r="AX298" s="7"/>
      <c r="AY298" s="7"/>
      <c r="AZ298" s="7"/>
      <c r="BA298" s="7"/>
    </row>
    <row r="299" spans="7:53">
      <c r="G299" s="7"/>
      <c r="H299" s="7"/>
      <c r="I299" s="329"/>
      <c r="J299" s="7"/>
      <c r="K299" s="7"/>
      <c r="L299" s="7"/>
      <c r="M299" s="7"/>
      <c r="N299" s="7"/>
      <c r="O299" s="7"/>
      <c r="P299" s="7"/>
      <c r="Q299" s="7"/>
      <c r="R299" s="7"/>
      <c r="S299" s="7"/>
      <c r="T299" s="7"/>
      <c r="U299" s="7"/>
      <c r="AE299" s="7"/>
      <c r="AF299" s="7"/>
      <c r="AG299" s="7"/>
      <c r="AH299" s="7"/>
      <c r="AP299" s="7"/>
      <c r="AQ299" s="7"/>
      <c r="AR299" s="7"/>
      <c r="AS299" s="7"/>
      <c r="AT299" s="7"/>
      <c r="AU299" s="7"/>
      <c r="AV299" s="7"/>
      <c r="AW299" s="7"/>
      <c r="AX299" s="7"/>
      <c r="AY299" s="7"/>
      <c r="AZ299" s="7"/>
      <c r="BA299" s="7"/>
    </row>
    <row r="300" spans="7:53">
      <c r="G300" s="7"/>
      <c r="H300" s="7"/>
      <c r="I300" s="329"/>
      <c r="J300" s="7"/>
      <c r="K300" s="7"/>
      <c r="L300" s="7"/>
      <c r="M300" s="7"/>
      <c r="N300" s="7"/>
      <c r="O300" s="7"/>
      <c r="P300" s="7"/>
      <c r="Q300" s="7"/>
      <c r="R300" s="7"/>
      <c r="S300" s="7"/>
      <c r="T300" s="7"/>
      <c r="U300" s="7"/>
      <c r="AE300" s="7"/>
      <c r="AF300" s="7"/>
      <c r="AG300" s="7"/>
      <c r="AH300" s="7"/>
      <c r="AP300" s="7"/>
      <c r="AQ300" s="7"/>
      <c r="AR300" s="7"/>
      <c r="AS300" s="7"/>
      <c r="AT300" s="7"/>
      <c r="AU300" s="7"/>
      <c r="AV300" s="7"/>
      <c r="AW300" s="7"/>
      <c r="AX300" s="7"/>
      <c r="AY300" s="7"/>
      <c r="AZ300" s="7"/>
      <c r="BA300" s="7"/>
    </row>
    <row r="301" spans="7:53">
      <c r="G301" s="7"/>
      <c r="H301" s="7"/>
      <c r="I301" s="329"/>
      <c r="J301" s="7"/>
      <c r="K301" s="7"/>
      <c r="L301" s="7"/>
      <c r="M301" s="7"/>
      <c r="N301" s="7"/>
      <c r="O301" s="7"/>
      <c r="P301" s="7"/>
      <c r="Q301" s="7"/>
      <c r="R301" s="7"/>
      <c r="S301" s="7"/>
      <c r="T301" s="7"/>
      <c r="U301" s="7"/>
      <c r="AE301" s="7"/>
      <c r="AF301" s="7"/>
      <c r="AG301" s="7"/>
      <c r="AH301" s="7"/>
      <c r="AP301" s="7"/>
      <c r="AQ301" s="7"/>
      <c r="AR301" s="7"/>
      <c r="AS301" s="7"/>
      <c r="AT301" s="7"/>
      <c r="AU301" s="7"/>
      <c r="AV301" s="7"/>
      <c r="AW301" s="7"/>
      <c r="AX301" s="7"/>
      <c r="AY301" s="7"/>
      <c r="AZ301" s="7"/>
      <c r="BA301" s="7"/>
    </row>
    <row r="302" spans="7:53">
      <c r="G302" s="7"/>
      <c r="H302" s="7"/>
      <c r="I302" s="329"/>
      <c r="J302" s="7"/>
      <c r="K302" s="7"/>
      <c r="L302" s="7"/>
      <c r="M302" s="7"/>
      <c r="N302" s="7"/>
      <c r="O302" s="7"/>
      <c r="P302" s="7"/>
      <c r="Q302" s="7"/>
      <c r="R302" s="7"/>
      <c r="S302" s="7"/>
      <c r="T302" s="7"/>
      <c r="U302" s="7"/>
      <c r="AE302" s="7"/>
      <c r="AF302" s="7"/>
      <c r="AG302" s="7"/>
      <c r="AH302" s="7"/>
      <c r="AP302" s="7"/>
      <c r="AQ302" s="7"/>
      <c r="AR302" s="7"/>
      <c r="AS302" s="7"/>
      <c r="AT302" s="7"/>
      <c r="AU302" s="7"/>
      <c r="AV302" s="7"/>
      <c r="AW302" s="7"/>
      <c r="AX302" s="7"/>
      <c r="AY302" s="7"/>
      <c r="AZ302" s="7"/>
      <c r="BA302" s="7"/>
    </row>
    <row r="303" spans="7:53">
      <c r="G303" s="7"/>
      <c r="H303" s="7"/>
      <c r="I303" s="329"/>
      <c r="J303" s="7"/>
      <c r="K303" s="7"/>
      <c r="L303" s="7"/>
      <c r="M303" s="7"/>
      <c r="N303" s="7"/>
      <c r="O303" s="7"/>
      <c r="P303" s="7"/>
      <c r="Q303" s="7"/>
      <c r="R303" s="7"/>
      <c r="S303" s="7"/>
      <c r="T303" s="7"/>
      <c r="U303" s="7"/>
      <c r="AE303" s="7"/>
      <c r="AF303" s="7"/>
      <c r="AG303" s="7"/>
      <c r="AH303" s="7"/>
      <c r="AP303" s="7"/>
      <c r="AQ303" s="7"/>
      <c r="AR303" s="7"/>
      <c r="AS303" s="7"/>
      <c r="AT303" s="7"/>
      <c r="AU303" s="7"/>
      <c r="AV303" s="7"/>
      <c r="AW303" s="7"/>
      <c r="AX303" s="7"/>
      <c r="AY303" s="7"/>
      <c r="AZ303" s="7"/>
      <c r="BA303" s="7"/>
    </row>
    <row r="304" spans="7:53">
      <c r="G304" s="7"/>
      <c r="H304" s="7"/>
      <c r="I304" s="329"/>
      <c r="J304" s="7"/>
      <c r="K304" s="7"/>
      <c r="L304" s="7"/>
      <c r="M304" s="7"/>
      <c r="N304" s="7"/>
      <c r="O304" s="7"/>
      <c r="P304" s="7"/>
      <c r="Q304" s="7"/>
      <c r="R304" s="7"/>
      <c r="S304" s="7"/>
      <c r="T304" s="7"/>
      <c r="U304" s="7"/>
      <c r="AE304" s="7"/>
      <c r="AF304" s="7"/>
      <c r="AG304" s="7"/>
      <c r="AH304" s="7"/>
      <c r="AP304" s="7"/>
      <c r="AQ304" s="7"/>
      <c r="AR304" s="7"/>
      <c r="AS304" s="7"/>
      <c r="AT304" s="7"/>
      <c r="AU304" s="7"/>
      <c r="AV304" s="7"/>
      <c r="AW304" s="7"/>
      <c r="AX304" s="7"/>
      <c r="AY304" s="7"/>
      <c r="AZ304" s="7"/>
      <c r="BA304" s="7"/>
    </row>
    <row r="305" spans="7:53">
      <c r="G305" s="7"/>
      <c r="H305" s="7"/>
      <c r="I305" s="329"/>
      <c r="J305" s="7"/>
      <c r="K305" s="7"/>
      <c r="L305" s="7"/>
      <c r="M305" s="7"/>
      <c r="N305" s="7"/>
      <c r="O305" s="7"/>
      <c r="P305" s="7"/>
      <c r="Q305" s="7"/>
      <c r="R305" s="7"/>
      <c r="S305" s="7"/>
      <c r="T305" s="7"/>
      <c r="U305" s="7"/>
      <c r="AE305" s="7"/>
      <c r="AF305" s="7"/>
      <c r="AG305" s="7"/>
      <c r="AH305" s="7"/>
      <c r="AP305" s="7"/>
      <c r="AQ305" s="7"/>
      <c r="AR305" s="7"/>
      <c r="AS305" s="7"/>
      <c r="AT305" s="7"/>
      <c r="AU305" s="7"/>
      <c r="AV305" s="7"/>
      <c r="AW305" s="7"/>
      <c r="AX305" s="7"/>
      <c r="AY305" s="7"/>
      <c r="AZ305" s="7"/>
      <c r="BA305" s="7"/>
    </row>
    <row r="306" spans="7:53">
      <c r="G306" s="7"/>
      <c r="H306" s="7"/>
      <c r="I306" s="329"/>
      <c r="J306" s="7"/>
      <c r="K306" s="7"/>
      <c r="L306" s="7"/>
      <c r="M306" s="7"/>
      <c r="N306" s="7"/>
      <c r="O306" s="7"/>
      <c r="P306" s="7"/>
      <c r="Q306" s="7"/>
      <c r="R306" s="7"/>
      <c r="S306" s="7"/>
      <c r="T306" s="7"/>
      <c r="U306" s="7"/>
      <c r="AE306" s="7"/>
      <c r="AF306" s="7"/>
      <c r="AG306" s="7"/>
      <c r="AH306" s="7"/>
      <c r="AP306" s="7"/>
      <c r="AQ306" s="7"/>
      <c r="AR306" s="7"/>
      <c r="AS306" s="7"/>
      <c r="AT306" s="7"/>
      <c r="AU306" s="7"/>
      <c r="AV306" s="7"/>
      <c r="AW306" s="7"/>
      <c r="AX306" s="7"/>
      <c r="AY306" s="7"/>
      <c r="AZ306" s="7"/>
      <c r="BA306" s="7"/>
    </row>
    <row r="307" spans="7:53">
      <c r="G307" s="7"/>
      <c r="H307" s="7"/>
      <c r="I307" s="329"/>
      <c r="J307" s="7"/>
      <c r="K307" s="7"/>
      <c r="L307" s="7"/>
      <c r="M307" s="7"/>
      <c r="N307" s="7"/>
      <c r="O307" s="7"/>
      <c r="P307" s="7"/>
      <c r="Q307" s="7"/>
      <c r="R307" s="7"/>
      <c r="S307" s="7"/>
      <c r="T307" s="7"/>
      <c r="U307" s="7"/>
      <c r="AE307" s="7"/>
      <c r="AF307" s="7"/>
      <c r="AG307" s="7"/>
      <c r="AH307" s="7"/>
      <c r="AP307" s="7"/>
      <c r="AQ307" s="7"/>
      <c r="AR307" s="7"/>
      <c r="AS307" s="7"/>
      <c r="AT307" s="7"/>
      <c r="AU307" s="7"/>
      <c r="AV307" s="7"/>
      <c r="AW307" s="7"/>
      <c r="AX307" s="7"/>
      <c r="AY307" s="7"/>
      <c r="AZ307" s="7"/>
      <c r="BA307" s="7"/>
    </row>
    <row r="308" spans="7:53">
      <c r="G308" s="7"/>
      <c r="H308" s="7"/>
      <c r="I308" s="329"/>
      <c r="J308" s="7"/>
      <c r="K308" s="7"/>
      <c r="L308" s="7"/>
      <c r="M308" s="7"/>
      <c r="N308" s="7"/>
      <c r="O308" s="7"/>
      <c r="P308" s="7"/>
      <c r="Q308" s="7"/>
      <c r="R308" s="7"/>
      <c r="S308" s="7"/>
      <c r="T308" s="7"/>
      <c r="U308" s="7"/>
      <c r="AE308" s="7"/>
      <c r="AF308" s="7"/>
      <c r="AG308" s="7"/>
      <c r="AH308" s="7"/>
      <c r="AP308" s="7"/>
      <c r="AQ308" s="7"/>
      <c r="AR308" s="7"/>
      <c r="AS308" s="7"/>
      <c r="AT308" s="7"/>
      <c r="AU308" s="7"/>
      <c r="AV308" s="7"/>
      <c r="AW308" s="7"/>
      <c r="AX308" s="7"/>
      <c r="AY308" s="7"/>
      <c r="AZ308" s="7"/>
      <c r="BA308" s="7"/>
    </row>
    <row r="309" spans="7:53">
      <c r="G309" s="7"/>
      <c r="H309" s="7"/>
      <c r="I309" s="329"/>
      <c r="J309" s="7"/>
      <c r="K309" s="7"/>
      <c r="L309" s="7"/>
      <c r="M309" s="7"/>
      <c r="N309" s="7"/>
      <c r="O309" s="7"/>
      <c r="P309" s="7"/>
      <c r="Q309" s="7"/>
      <c r="R309" s="7"/>
      <c r="S309" s="7"/>
      <c r="T309" s="7"/>
      <c r="U309" s="7"/>
      <c r="AE309" s="7"/>
      <c r="AF309" s="7"/>
      <c r="AG309" s="7"/>
      <c r="AH309" s="7"/>
      <c r="AP309" s="7"/>
      <c r="AQ309" s="7"/>
      <c r="AR309" s="7"/>
      <c r="AS309" s="7"/>
      <c r="AT309" s="7"/>
      <c r="AU309" s="7"/>
      <c r="AV309" s="7"/>
      <c r="AW309" s="7"/>
      <c r="AX309" s="7"/>
      <c r="AY309" s="7"/>
      <c r="AZ309" s="7"/>
      <c r="BA309" s="7"/>
    </row>
    <row r="310" spans="7:53">
      <c r="G310" s="7"/>
      <c r="H310" s="7"/>
      <c r="I310" s="329"/>
      <c r="J310" s="7"/>
      <c r="K310" s="7"/>
      <c r="L310" s="7"/>
      <c r="M310" s="7"/>
      <c r="N310" s="7"/>
      <c r="O310" s="7"/>
      <c r="P310" s="7"/>
      <c r="Q310" s="7"/>
      <c r="R310" s="7"/>
      <c r="S310" s="7"/>
      <c r="T310" s="7"/>
      <c r="U310" s="7"/>
      <c r="AE310" s="7"/>
      <c r="AF310" s="7"/>
      <c r="AG310" s="7"/>
      <c r="AH310" s="7"/>
      <c r="AP310" s="7"/>
      <c r="AQ310" s="7"/>
      <c r="AR310" s="7"/>
      <c r="AS310" s="7"/>
      <c r="AT310" s="7"/>
      <c r="AU310" s="7"/>
      <c r="AV310" s="7"/>
      <c r="AW310" s="7"/>
      <c r="AX310" s="7"/>
      <c r="AY310" s="7"/>
      <c r="AZ310" s="7"/>
      <c r="BA310" s="7"/>
    </row>
    <row r="311" spans="7:53">
      <c r="G311" s="7"/>
      <c r="H311" s="7"/>
      <c r="I311" s="329"/>
      <c r="J311" s="7"/>
      <c r="K311" s="7"/>
      <c r="L311" s="7"/>
      <c r="M311" s="7"/>
      <c r="N311" s="7"/>
      <c r="O311" s="7"/>
      <c r="P311" s="7"/>
      <c r="Q311" s="7"/>
      <c r="R311" s="7"/>
      <c r="S311" s="7"/>
      <c r="T311" s="7"/>
      <c r="U311" s="7"/>
      <c r="AE311" s="7"/>
      <c r="AF311" s="7"/>
      <c r="AG311" s="7"/>
      <c r="AH311" s="7"/>
      <c r="AP311" s="7"/>
      <c r="AQ311" s="7"/>
      <c r="AR311" s="7"/>
      <c r="AS311" s="7"/>
      <c r="AT311" s="7"/>
      <c r="AU311" s="7"/>
      <c r="AV311" s="7"/>
      <c r="AW311" s="7"/>
      <c r="AX311" s="7"/>
      <c r="AY311" s="7"/>
      <c r="AZ311" s="7"/>
      <c r="BA311" s="7"/>
    </row>
    <row r="312" spans="7:53">
      <c r="G312" s="7"/>
      <c r="H312" s="7"/>
      <c r="I312" s="329"/>
      <c r="J312" s="7"/>
      <c r="K312" s="7"/>
      <c r="L312" s="7"/>
      <c r="M312" s="7"/>
      <c r="N312" s="7"/>
      <c r="O312" s="7"/>
      <c r="P312" s="7"/>
      <c r="Q312" s="7"/>
      <c r="R312" s="7"/>
      <c r="S312" s="7"/>
      <c r="T312" s="7"/>
      <c r="U312" s="7"/>
      <c r="AE312" s="7"/>
      <c r="AF312" s="7"/>
      <c r="AG312" s="7"/>
      <c r="AH312" s="7"/>
      <c r="AP312" s="7"/>
      <c r="AQ312" s="7"/>
      <c r="AR312" s="7"/>
      <c r="AS312" s="7"/>
      <c r="AT312" s="7"/>
      <c r="AU312" s="7"/>
      <c r="AV312" s="7"/>
      <c r="AW312" s="7"/>
      <c r="AX312" s="7"/>
      <c r="AY312" s="7"/>
      <c r="AZ312" s="7"/>
      <c r="BA312" s="7"/>
    </row>
    <row r="313" spans="7:53">
      <c r="G313" s="7"/>
      <c r="H313" s="7"/>
      <c r="I313" s="329"/>
      <c r="J313" s="7"/>
      <c r="K313" s="7"/>
      <c r="L313" s="7"/>
      <c r="M313" s="7"/>
      <c r="N313" s="7"/>
      <c r="O313" s="7"/>
      <c r="P313" s="7"/>
      <c r="Q313" s="7"/>
      <c r="R313" s="7"/>
      <c r="S313" s="7"/>
      <c r="T313" s="7"/>
      <c r="U313" s="7"/>
      <c r="AE313" s="7"/>
      <c r="AF313" s="7"/>
      <c r="AG313" s="7"/>
      <c r="AH313" s="7"/>
      <c r="AP313" s="7"/>
      <c r="AQ313" s="7"/>
      <c r="AR313" s="7"/>
      <c r="AS313" s="7"/>
      <c r="AT313" s="7"/>
      <c r="AU313" s="7"/>
      <c r="AV313" s="7"/>
      <c r="AW313" s="7"/>
      <c r="AX313" s="7"/>
      <c r="AY313" s="7"/>
      <c r="AZ313" s="7"/>
      <c r="BA313" s="7"/>
    </row>
    <row r="314" spans="7:53">
      <c r="G314" s="7"/>
      <c r="H314" s="7"/>
      <c r="I314" s="329"/>
      <c r="J314" s="7"/>
      <c r="K314" s="7"/>
      <c r="L314" s="7"/>
      <c r="M314" s="7"/>
      <c r="N314" s="7"/>
      <c r="O314" s="7"/>
      <c r="P314" s="7"/>
      <c r="Q314" s="7"/>
      <c r="R314" s="7"/>
      <c r="S314" s="7"/>
      <c r="T314" s="7"/>
      <c r="U314" s="7"/>
      <c r="AE314" s="7"/>
      <c r="AF314" s="7"/>
      <c r="AG314" s="7"/>
      <c r="AH314" s="7"/>
      <c r="AP314" s="7"/>
      <c r="AQ314" s="7"/>
      <c r="AR314" s="7"/>
      <c r="AS314" s="7"/>
      <c r="AT314" s="7"/>
      <c r="AU314" s="7"/>
      <c r="AV314" s="7"/>
      <c r="AW314" s="7"/>
      <c r="AX314" s="7"/>
      <c r="AY314" s="7"/>
      <c r="AZ314" s="7"/>
      <c r="BA314" s="7"/>
    </row>
    <row r="315" spans="7:53">
      <c r="G315" s="7"/>
      <c r="H315" s="7"/>
      <c r="I315" s="329"/>
      <c r="J315" s="7"/>
      <c r="K315" s="7"/>
      <c r="L315" s="7"/>
      <c r="M315" s="7"/>
      <c r="N315" s="7"/>
      <c r="O315" s="7"/>
      <c r="P315" s="7"/>
      <c r="Q315" s="7"/>
      <c r="R315" s="7"/>
      <c r="S315" s="7"/>
      <c r="T315" s="7"/>
      <c r="U315" s="7"/>
      <c r="AE315" s="7"/>
      <c r="AF315" s="7"/>
      <c r="AG315" s="7"/>
      <c r="AH315" s="7"/>
      <c r="AP315" s="7"/>
      <c r="AQ315" s="7"/>
      <c r="AR315" s="7"/>
      <c r="AS315" s="7"/>
      <c r="AT315" s="7"/>
      <c r="AU315" s="7"/>
      <c r="AV315" s="7"/>
      <c r="AW315" s="7"/>
      <c r="AX315" s="7"/>
      <c r="AY315" s="7"/>
      <c r="AZ315" s="7"/>
      <c r="BA315" s="7"/>
    </row>
    <row r="316" spans="7:53">
      <c r="G316" s="7"/>
      <c r="H316" s="7"/>
      <c r="I316" s="329"/>
      <c r="J316" s="7"/>
      <c r="K316" s="7"/>
      <c r="L316" s="7"/>
      <c r="M316" s="7"/>
      <c r="N316" s="7"/>
      <c r="O316" s="7"/>
      <c r="P316" s="7"/>
      <c r="Q316" s="7"/>
      <c r="R316" s="7"/>
      <c r="S316" s="7"/>
      <c r="T316" s="7"/>
      <c r="U316" s="7"/>
      <c r="AE316" s="7"/>
      <c r="AF316" s="7"/>
      <c r="AG316" s="7"/>
      <c r="AH316" s="7"/>
      <c r="AP316" s="7"/>
      <c r="AQ316" s="7"/>
      <c r="AR316" s="7"/>
      <c r="AS316" s="7"/>
      <c r="AT316" s="7"/>
      <c r="AU316" s="7"/>
      <c r="AV316" s="7"/>
      <c r="AW316" s="7"/>
      <c r="AX316" s="7"/>
      <c r="AY316" s="7"/>
      <c r="AZ316" s="7"/>
      <c r="BA316" s="7"/>
    </row>
  </sheetData>
  <mergeCells count="39">
    <mergeCell ref="C48:D48"/>
    <mergeCell ref="C74:D74"/>
    <mergeCell ref="C80:D80"/>
    <mergeCell ref="C49:D49"/>
    <mergeCell ref="C51:D51"/>
    <mergeCell ref="C52:D52"/>
    <mergeCell ref="C53:D53"/>
    <mergeCell ref="C54:D54"/>
    <mergeCell ref="C75:D75"/>
    <mergeCell ref="C76:D76"/>
    <mergeCell ref="C77:D77"/>
    <mergeCell ref="C78:D78"/>
    <mergeCell ref="C79:D79"/>
    <mergeCell ref="B2:F3"/>
    <mergeCell ref="I96:K96"/>
    <mergeCell ref="L96:N96"/>
    <mergeCell ref="O96:Q96"/>
    <mergeCell ref="R96:T96"/>
    <mergeCell ref="C6:D6"/>
    <mergeCell ref="C7:D7"/>
    <mergeCell ref="C8:D8"/>
    <mergeCell ref="C9:D9"/>
    <mergeCell ref="C11:D11"/>
    <mergeCell ref="C12:D12"/>
    <mergeCell ref="C13:D13"/>
    <mergeCell ref="C20:D20"/>
    <mergeCell ref="C22:D22"/>
    <mergeCell ref="C23:D23"/>
    <mergeCell ref="C26:D26"/>
    <mergeCell ref="C81:D81"/>
    <mergeCell ref="V96:X96"/>
    <mergeCell ref="Y96:AA96"/>
    <mergeCell ref="AB96:AD96"/>
    <mergeCell ref="AE96:AG96"/>
    <mergeCell ref="H125:K125"/>
    <mergeCell ref="H126:L126"/>
    <mergeCell ref="V125:AH125"/>
    <mergeCell ref="AC126:AH126"/>
    <mergeCell ref="C82:D82"/>
  </mergeCells>
  <phoneticPr fontId="3" type="noConversion"/>
  <hyperlinks>
    <hyperlink ref="H125" r:id="rId1" display="Template created by Christoph Janz"/>
    <hyperlink ref="H126" r:id="rId2"/>
    <hyperlink ref="I126" r:id="rId3" display="http://www.theangelvc.net/2016/03/saas-financial-plan-20.html"/>
    <hyperlink ref="J126" r:id="rId4" display="http://www.theangelvc.net/2016/03/saas-financial-plan-20.html"/>
    <hyperlink ref="K126" r:id="rId5" display="http://www.theangelvc.net/2016/03/saas-financial-plan-20.html"/>
    <hyperlink ref="L126" r:id="rId6" display="http://www.theangelvc.net/2016/03/saas-financial-plan-20.html"/>
  </hyperlinks>
  <printOptions gridLines="1"/>
  <pageMargins left="0.39000000000000007" right="0.39000000000000007" top="0.51" bottom="0.98" header="0.51" footer="0.51"/>
  <pageSetup paperSize="9" scale="44" fitToHeight="2" orientation="landscape" horizontalDpi="4294967292" verticalDpi="4294967292"/>
  <headerFooter alignWithMargins="0"/>
  <drawing r:id="rId7"/>
  <legacyDrawing r:id="rId8"/>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pageSetUpPr fitToPage="1"/>
  </sheetPr>
  <dimension ref="A1:AZ296"/>
  <sheetViews>
    <sheetView zoomScale="125" zoomScaleNormal="125" zoomScalePageLayoutView="125" workbookViewId="0">
      <selection activeCell="AH127" sqref="AH127"/>
    </sheetView>
  </sheetViews>
  <sheetFormatPr baseColWidth="10" defaultColWidth="9.1640625" defaultRowHeight="12" x14ac:dyDescent="0"/>
  <cols>
    <col min="1" max="1" width="1.6640625" style="7" customWidth="1"/>
    <col min="2" max="2" width="1.5" style="5" customWidth="1"/>
    <col min="3" max="3" width="19.6640625" style="97" customWidth="1"/>
    <col min="4" max="4" width="13" style="97" customWidth="1"/>
    <col min="5" max="5" width="11.83203125" style="98" customWidth="1"/>
    <col min="6" max="6" width="1.5" style="98" customWidth="1"/>
    <col min="7" max="7" width="1.83203125" style="5" customWidth="1"/>
    <col min="8" max="8" width="36.1640625" style="99" customWidth="1"/>
    <col min="9" max="9" width="12" style="5" customWidth="1"/>
    <col min="10" max="10" width="13.5" style="100" customWidth="1"/>
    <col min="11" max="22" width="13.5" style="5" customWidth="1"/>
    <col min="23" max="31" width="13.5" style="7" customWidth="1"/>
    <col min="32" max="35" width="13.5" style="5" customWidth="1"/>
    <col min="36" max="52" width="9.1640625" style="7"/>
    <col min="53" max="16384" width="9.1640625" style="5"/>
  </cols>
  <sheetData>
    <row r="1" spans="1:52" s="1" customFormat="1" ht="13" thickBot="1">
      <c r="A1" s="4"/>
      <c r="C1" s="2"/>
      <c r="D1" s="2"/>
      <c r="E1" s="3"/>
      <c r="F1" s="3"/>
      <c r="W1" s="4"/>
      <c r="X1" s="4"/>
      <c r="Y1" s="4"/>
      <c r="Z1" s="4"/>
      <c r="AA1" s="4"/>
      <c r="AB1" s="4"/>
      <c r="AC1" s="4"/>
      <c r="AD1" s="4"/>
      <c r="AE1" s="4"/>
      <c r="AJ1" s="4"/>
      <c r="AK1" s="4"/>
      <c r="AL1" s="4"/>
      <c r="AM1" s="4"/>
      <c r="AN1" s="4"/>
      <c r="AO1" s="4"/>
      <c r="AP1" s="4"/>
      <c r="AQ1" s="4"/>
      <c r="AR1" s="4"/>
      <c r="AS1" s="4"/>
      <c r="AT1" s="4"/>
      <c r="AU1" s="4"/>
      <c r="AV1" s="4"/>
      <c r="AW1" s="4"/>
      <c r="AX1" s="4"/>
      <c r="AY1" s="4"/>
      <c r="AZ1" s="4"/>
    </row>
    <row r="2" spans="1:52" ht="13" thickBot="1">
      <c r="B2" s="549" t="s">
        <v>0</v>
      </c>
      <c r="C2" s="550"/>
      <c r="D2" s="550"/>
      <c r="E2" s="550"/>
      <c r="F2" s="551"/>
      <c r="G2" s="6"/>
      <c r="H2" s="7"/>
      <c r="I2" s="7"/>
      <c r="J2" s="8">
        <v>42370</v>
      </c>
      <c r="K2" s="9">
        <v>42401</v>
      </c>
      <c r="L2" s="9">
        <v>42430</v>
      </c>
      <c r="M2" s="9">
        <v>42461</v>
      </c>
      <c r="N2" s="9">
        <v>42491</v>
      </c>
      <c r="O2" s="9">
        <v>42522</v>
      </c>
      <c r="P2" s="9">
        <v>42552</v>
      </c>
      <c r="Q2" s="9">
        <v>42583</v>
      </c>
      <c r="R2" s="9">
        <v>42614</v>
      </c>
      <c r="S2" s="9">
        <v>42644</v>
      </c>
      <c r="T2" s="9">
        <v>42675</v>
      </c>
      <c r="U2" s="10">
        <v>42705</v>
      </c>
      <c r="V2" s="192" t="s">
        <v>1</v>
      </c>
      <c r="W2" s="8">
        <v>42736</v>
      </c>
      <c r="X2" s="9">
        <v>42767</v>
      </c>
      <c r="Y2" s="9">
        <v>42795</v>
      </c>
      <c r="Z2" s="9">
        <v>42826</v>
      </c>
      <c r="AA2" s="9">
        <v>42856</v>
      </c>
      <c r="AB2" s="9">
        <v>42887</v>
      </c>
      <c r="AC2" s="9">
        <v>42917</v>
      </c>
      <c r="AD2" s="9">
        <v>42948</v>
      </c>
      <c r="AE2" s="9">
        <v>42979</v>
      </c>
      <c r="AF2" s="9">
        <v>43009</v>
      </c>
      <c r="AG2" s="9">
        <v>43040</v>
      </c>
      <c r="AH2" s="10">
        <v>43070</v>
      </c>
      <c r="AI2" s="192" t="s">
        <v>2</v>
      </c>
    </row>
    <row r="3" spans="1:52" s="7" customFormat="1">
      <c r="A3" s="95"/>
      <c r="B3" s="552"/>
      <c r="C3" s="553"/>
      <c r="D3" s="553"/>
      <c r="E3" s="553"/>
      <c r="F3" s="554"/>
      <c r="G3" s="68"/>
      <c r="H3" s="101"/>
      <c r="I3" s="101"/>
      <c r="J3" s="47"/>
      <c r="K3" s="47"/>
      <c r="L3" s="47"/>
      <c r="M3" s="47"/>
      <c r="N3" s="47"/>
      <c r="O3" s="47"/>
      <c r="P3" s="47"/>
      <c r="Q3" s="47"/>
      <c r="R3" s="47"/>
      <c r="S3" s="47"/>
      <c r="T3" s="47"/>
      <c r="U3" s="47"/>
      <c r="W3" s="47"/>
      <c r="X3" s="47"/>
      <c r="Y3" s="47"/>
      <c r="Z3" s="47"/>
      <c r="AA3" s="47"/>
      <c r="AB3" s="47"/>
      <c r="AC3" s="47"/>
      <c r="AD3" s="47"/>
      <c r="AE3" s="47"/>
      <c r="AF3" s="47"/>
      <c r="AG3" s="47"/>
      <c r="AH3" s="47"/>
    </row>
    <row r="4" spans="1:52" s="7" customFormat="1">
      <c r="A4" s="95"/>
      <c r="B4" s="67"/>
      <c r="C4" s="64" t="s">
        <v>47</v>
      </c>
      <c r="D4" s="64"/>
      <c r="E4" s="140">
        <v>0.2</v>
      </c>
      <c r="F4" s="24"/>
      <c r="G4" s="68"/>
      <c r="H4" s="255" t="s">
        <v>259</v>
      </c>
      <c r="I4" s="262" t="s">
        <v>120</v>
      </c>
      <c r="J4" s="108"/>
      <c r="K4" s="108"/>
      <c r="L4" s="108"/>
      <c r="M4" s="108"/>
      <c r="N4" s="108"/>
      <c r="O4" s="108"/>
      <c r="P4" s="108"/>
      <c r="Q4" s="108"/>
      <c r="R4" s="108"/>
      <c r="S4" s="108"/>
      <c r="T4" s="108"/>
      <c r="U4" s="109"/>
      <c r="V4" s="109"/>
      <c r="W4" s="108"/>
      <c r="X4" s="108"/>
      <c r="Y4" s="108"/>
      <c r="Z4" s="108"/>
      <c r="AA4" s="108"/>
      <c r="AB4" s="108"/>
      <c r="AC4" s="108"/>
      <c r="AD4" s="108"/>
      <c r="AE4" s="108"/>
      <c r="AF4" s="108"/>
      <c r="AG4" s="108"/>
      <c r="AH4" s="108"/>
      <c r="AI4" s="134"/>
    </row>
    <row r="5" spans="1:52" s="7" customFormat="1">
      <c r="A5" s="95"/>
      <c r="B5" s="67"/>
      <c r="C5" s="64"/>
      <c r="D5" s="64"/>
      <c r="E5" s="88"/>
      <c r="F5" s="24"/>
      <c r="G5" s="68"/>
      <c r="H5" s="256"/>
      <c r="I5" s="258"/>
      <c r="J5" s="110"/>
      <c r="K5" s="110"/>
      <c r="L5" s="110"/>
      <c r="M5" s="110"/>
      <c r="N5" s="110"/>
      <c r="O5" s="110"/>
      <c r="P5" s="110"/>
      <c r="Q5" s="110"/>
      <c r="R5" s="110"/>
      <c r="S5" s="110"/>
      <c r="T5" s="110"/>
      <c r="U5" s="126"/>
      <c r="V5" s="141"/>
      <c r="W5" s="110"/>
      <c r="X5" s="110"/>
      <c r="Y5" s="110"/>
      <c r="Z5" s="110"/>
      <c r="AA5" s="110"/>
      <c r="AB5" s="110"/>
      <c r="AC5" s="110"/>
      <c r="AD5" s="110"/>
      <c r="AE5" s="110"/>
      <c r="AF5" s="110"/>
      <c r="AG5" s="110"/>
      <c r="AH5" s="126"/>
      <c r="AI5" s="130"/>
    </row>
    <row r="6" spans="1:52" s="7" customFormat="1">
      <c r="A6" s="95"/>
      <c r="B6" s="67"/>
      <c r="C6" s="22" t="s">
        <v>289</v>
      </c>
      <c r="D6" s="139" t="s">
        <v>239</v>
      </c>
      <c r="E6" s="139" t="s">
        <v>46</v>
      </c>
      <c r="F6" s="24"/>
      <c r="G6" s="68"/>
      <c r="H6" s="257" t="s">
        <v>41</v>
      </c>
      <c r="I6" s="267"/>
      <c r="J6" s="112"/>
      <c r="K6" s="112"/>
      <c r="L6" s="112"/>
      <c r="M6" s="112"/>
      <c r="N6" s="112"/>
      <c r="O6" s="112"/>
      <c r="P6" s="112"/>
      <c r="Q6" s="112"/>
      <c r="R6" s="112"/>
      <c r="S6" s="112"/>
      <c r="T6" s="112"/>
      <c r="U6" s="127"/>
      <c r="V6" s="131"/>
      <c r="W6" s="112"/>
      <c r="X6" s="112"/>
      <c r="Y6" s="112"/>
      <c r="Z6" s="112"/>
      <c r="AA6" s="112"/>
      <c r="AB6" s="112"/>
      <c r="AC6" s="112"/>
      <c r="AD6" s="112"/>
      <c r="AE6" s="112"/>
      <c r="AF6" s="112"/>
      <c r="AG6" s="112"/>
      <c r="AH6" s="127"/>
      <c r="AI6" s="131"/>
    </row>
    <row r="7" spans="1:52" s="7" customFormat="1">
      <c r="A7" s="95"/>
      <c r="B7" s="67"/>
      <c r="C7" s="250">
        <v>42370</v>
      </c>
      <c r="D7" s="421">
        <v>100000</v>
      </c>
      <c r="E7" s="140">
        <v>0.2</v>
      </c>
      <c r="F7" s="24"/>
      <c r="G7" s="68"/>
      <c r="H7" s="118" t="s">
        <v>45</v>
      </c>
      <c r="I7" s="261"/>
      <c r="J7" s="52">
        <f t="shared" ref="J7:J14" si="0">IF(J$2&gt;=$C7,(($D7*(1+$E7))*(1+$E$4))/12,0)</f>
        <v>12000</v>
      </c>
      <c r="K7" s="52">
        <f t="shared" ref="K7:U14" si="1">IF(K$2&gt;=$C7,(($D7*(1+$E7))*(1+$E$4))/12,0)</f>
        <v>12000</v>
      </c>
      <c r="L7" s="52">
        <f t="shared" si="1"/>
        <v>12000</v>
      </c>
      <c r="M7" s="52">
        <f t="shared" si="1"/>
        <v>12000</v>
      </c>
      <c r="N7" s="52">
        <f t="shared" si="1"/>
        <v>12000</v>
      </c>
      <c r="O7" s="52">
        <f t="shared" si="1"/>
        <v>12000</v>
      </c>
      <c r="P7" s="52">
        <f t="shared" si="1"/>
        <v>12000</v>
      </c>
      <c r="Q7" s="52">
        <f t="shared" si="1"/>
        <v>12000</v>
      </c>
      <c r="R7" s="52">
        <f t="shared" si="1"/>
        <v>12000</v>
      </c>
      <c r="S7" s="52">
        <f t="shared" si="1"/>
        <v>12000</v>
      </c>
      <c r="T7" s="52">
        <f t="shared" si="1"/>
        <v>12000</v>
      </c>
      <c r="U7" s="52">
        <f t="shared" si="1"/>
        <v>12000</v>
      </c>
      <c r="V7" s="104">
        <f t="shared" ref="V7:V17" si="2">SUM(J7:U7)</f>
        <v>144000</v>
      </c>
      <c r="W7" s="52">
        <f t="shared" ref="W7:W14" si="3">IF(W$2&gt;=$C7,(($D7*(1+$E7))*(1+$E$4))/12,0)</f>
        <v>12000</v>
      </c>
      <c r="X7" s="52">
        <f t="shared" ref="X7:AH14" si="4">IF(X$2&gt;=$C7,(($D7*(1+$E7))*(1+$E$4))/12,0)</f>
        <v>12000</v>
      </c>
      <c r="Y7" s="52">
        <f t="shared" si="4"/>
        <v>12000</v>
      </c>
      <c r="Z7" s="52">
        <f t="shared" si="4"/>
        <v>12000</v>
      </c>
      <c r="AA7" s="52">
        <f t="shared" si="4"/>
        <v>12000</v>
      </c>
      <c r="AB7" s="52">
        <f t="shared" si="4"/>
        <v>12000</v>
      </c>
      <c r="AC7" s="52">
        <f t="shared" si="4"/>
        <v>12000</v>
      </c>
      <c r="AD7" s="52">
        <f t="shared" si="4"/>
        <v>12000</v>
      </c>
      <c r="AE7" s="52">
        <f t="shared" si="4"/>
        <v>12000</v>
      </c>
      <c r="AF7" s="52">
        <f t="shared" si="4"/>
        <v>12000</v>
      </c>
      <c r="AG7" s="52">
        <f t="shared" si="4"/>
        <v>12000</v>
      </c>
      <c r="AH7" s="52">
        <f t="shared" si="4"/>
        <v>12000</v>
      </c>
      <c r="AI7" s="104">
        <f t="shared" ref="AI7:AI17" si="5">SUM(W7:AH7)</f>
        <v>144000</v>
      </c>
    </row>
    <row r="8" spans="1:52" s="7" customFormat="1">
      <c r="A8" s="95"/>
      <c r="B8" s="67"/>
      <c r="C8" s="250">
        <v>42552</v>
      </c>
      <c r="D8" s="421">
        <v>150000</v>
      </c>
      <c r="E8" s="140">
        <v>0.2</v>
      </c>
      <c r="F8" s="24"/>
      <c r="G8" s="68"/>
      <c r="H8" s="118" t="s">
        <v>42</v>
      </c>
      <c r="I8" s="261"/>
      <c r="J8" s="52">
        <f t="shared" si="0"/>
        <v>0</v>
      </c>
      <c r="K8" s="52">
        <f t="shared" si="1"/>
        <v>0</v>
      </c>
      <c r="L8" s="52">
        <f t="shared" si="1"/>
        <v>0</v>
      </c>
      <c r="M8" s="52">
        <f t="shared" si="1"/>
        <v>0</v>
      </c>
      <c r="N8" s="52">
        <f t="shared" si="1"/>
        <v>0</v>
      </c>
      <c r="O8" s="52">
        <f t="shared" si="1"/>
        <v>0</v>
      </c>
      <c r="P8" s="52">
        <f t="shared" si="1"/>
        <v>18000</v>
      </c>
      <c r="Q8" s="52">
        <f t="shared" si="1"/>
        <v>18000</v>
      </c>
      <c r="R8" s="52">
        <f t="shared" si="1"/>
        <v>18000</v>
      </c>
      <c r="S8" s="52">
        <f t="shared" si="1"/>
        <v>18000</v>
      </c>
      <c r="T8" s="52">
        <f t="shared" si="1"/>
        <v>18000</v>
      </c>
      <c r="U8" s="52">
        <f t="shared" si="1"/>
        <v>18000</v>
      </c>
      <c r="V8" s="104">
        <f t="shared" si="2"/>
        <v>108000</v>
      </c>
      <c r="W8" s="52">
        <f t="shared" si="3"/>
        <v>18000</v>
      </c>
      <c r="X8" s="52">
        <f t="shared" si="4"/>
        <v>18000</v>
      </c>
      <c r="Y8" s="52">
        <f t="shared" si="4"/>
        <v>18000</v>
      </c>
      <c r="Z8" s="52">
        <f t="shared" si="4"/>
        <v>18000</v>
      </c>
      <c r="AA8" s="52">
        <f t="shared" si="4"/>
        <v>18000</v>
      </c>
      <c r="AB8" s="52">
        <f t="shared" si="4"/>
        <v>18000</v>
      </c>
      <c r="AC8" s="52">
        <f t="shared" si="4"/>
        <v>18000</v>
      </c>
      <c r="AD8" s="52">
        <f t="shared" si="4"/>
        <v>18000</v>
      </c>
      <c r="AE8" s="52">
        <f t="shared" si="4"/>
        <v>18000</v>
      </c>
      <c r="AF8" s="52">
        <f t="shared" si="4"/>
        <v>18000</v>
      </c>
      <c r="AG8" s="52">
        <f t="shared" si="4"/>
        <v>18000</v>
      </c>
      <c r="AH8" s="52">
        <f t="shared" si="4"/>
        <v>18000</v>
      </c>
      <c r="AI8" s="104">
        <f t="shared" si="5"/>
        <v>216000</v>
      </c>
    </row>
    <row r="9" spans="1:52" s="7" customFormat="1">
      <c r="A9" s="95"/>
      <c r="B9" s="67"/>
      <c r="C9" s="250">
        <v>42856</v>
      </c>
      <c r="D9" s="421">
        <v>70000</v>
      </c>
      <c r="E9" s="140">
        <v>0.2</v>
      </c>
      <c r="F9" s="24"/>
      <c r="G9" s="68"/>
      <c r="H9" s="118" t="s">
        <v>189</v>
      </c>
      <c r="I9" s="260"/>
      <c r="J9" s="52">
        <f t="shared" si="0"/>
        <v>0</v>
      </c>
      <c r="K9" s="52">
        <f t="shared" si="1"/>
        <v>0</v>
      </c>
      <c r="L9" s="52">
        <f t="shared" si="1"/>
        <v>0</v>
      </c>
      <c r="M9" s="52">
        <f t="shared" si="1"/>
        <v>0</v>
      </c>
      <c r="N9" s="52">
        <f t="shared" si="1"/>
        <v>0</v>
      </c>
      <c r="O9" s="52">
        <f t="shared" si="1"/>
        <v>0</v>
      </c>
      <c r="P9" s="52">
        <f t="shared" si="1"/>
        <v>0</v>
      </c>
      <c r="Q9" s="52">
        <f t="shared" si="1"/>
        <v>0</v>
      </c>
      <c r="R9" s="52">
        <f t="shared" si="1"/>
        <v>0</v>
      </c>
      <c r="S9" s="52">
        <f t="shared" si="1"/>
        <v>0</v>
      </c>
      <c r="T9" s="52">
        <f t="shared" si="1"/>
        <v>0</v>
      </c>
      <c r="U9" s="52">
        <f t="shared" si="1"/>
        <v>0</v>
      </c>
      <c r="V9" s="104">
        <f t="shared" si="2"/>
        <v>0</v>
      </c>
      <c r="W9" s="52">
        <f t="shared" si="3"/>
        <v>0</v>
      </c>
      <c r="X9" s="52">
        <f t="shared" si="4"/>
        <v>0</v>
      </c>
      <c r="Y9" s="52">
        <f t="shared" si="4"/>
        <v>0</v>
      </c>
      <c r="Z9" s="52">
        <f t="shared" si="4"/>
        <v>0</v>
      </c>
      <c r="AA9" s="52">
        <f t="shared" si="4"/>
        <v>8400</v>
      </c>
      <c r="AB9" s="52">
        <f t="shared" si="4"/>
        <v>8400</v>
      </c>
      <c r="AC9" s="52">
        <f t="shared" si="4"/>
        <v>8400</v>
      </c>
      <c r="AD9" s="52">
        <f t="shared" si="4"/>
        <v>8400</v>
      </c>
      <c r="AE9" s="52">
        <f t="shared" si="4"/>
        <v>8400</v>
      </c>
      <c r="AF9" s="52">
        <f t="shared" si="4"/>
        <v>8400</v>
      </c>
      <c r="AG9" s="52">
        <f t="shared" si="4"/>
        <v>8400</v>
      </c>
      <c r="AH9" s="52">
        <f t="shared" si="4"/>
        <v>8400</v>
      </c>
      <c r="AI9" s="104">
        <f t="shared" si="5"/>
        <v>67200</v>
      </c>
    </row>
    <row r="10" spans="1:52" s="7" customFormat="1">
      <c r="A10" s="95"/>
      <c r="B10" s="67"/>
      <c r="C10" s="250">
        <v>42675</v>
      </c>
      <c r="D10" s="421">
        <v>55000</v>
      </c>
      <c r="E10" s="140">
        <v>0.2</v>
      </c>
      <c r="F10" s="24"/>
      <c r="G10" s="68"/>
      <c r="H10" s="118" t="s">
        <v>191</v>
      </c>
      <c r="I10" s="261"/>
      <c r="J10" s="52">
        <f t="shared" si="0"/>
        <v>0</v>
      </c>
      <c r="K10" s="52">
        <f t="shared" si="1"/>
        <v>0</v>
      </c>
      <c r="L10" s="52">
        <f t="shared" si="1"/>
        <v>0</v>
      </c>
      <c r="M10" s="52">
        <f t="shared" si="1"/>
        <v>0</v>
      </c>
      <c r="N10" s="52">
        <f t="shared" si="1"/>
        <v>0</v>
      </c>
      <c r="O10" s="52">
        <f t="shared" si="1"/>
        <v>0</v>
      </c>
      <c r="P10" s="52">
        <f t="shared" si="1"/>
        <v>0</v>
      </c>
      <c r="Q10" s="52">
        <f t="shared" si="1"/>
        <v>0</v>
      </c>
      <c r="R10" s="52">
        <f t="shared" si="1"/>
        <v>0</v>
      </c>
      <c r="S10" s="52">
        <f t="shared" si="1"/>
        <v>0</v>
      </c>
      <c r="T10" s="52">
        <f t="shared" si="1"/>
        <v>6600</v>
      </c>
      <c r="U10" s="52">
        <f t="shared" si="1"/>
        <v>6600</v>
      </c>
      <c r="V10" s="104">
        <f t="shared" si="2"/>
        <v>13200</v>
      </c>
      <c r="W10" s="52">
        <f t="shared" si="3"/>
        <v>6600</v>
      </c>
      <c r="X10" s="52">
        <f t="shared" si="4"/>
        <v>6600</v>
      </c>
      <c r="Y10" s="52">
        <f t="shared" si="4"/>
        <v>6600</v>
      </c>
      <c r="Z10" s="52">
        <f t="shared" si="4"/>
        <v>6600</v>
      </c>
      <c r="AA10" s="52">
        <f t="shared" si="4"/>
        <v>6600</v>
      </c>
      <c r="AB10" s="52">
        <f t="shared" si="4"/>
        <v>6600</v>
      </c>
      <c r="AC10" s="52">
        <f t="shared" si="4"/>
        <v>6600</v>
      </c>
      <c r="AD10" s="52">
        <f t="shared" si="4"/>
        <v>6600</v>
      </c>
      <c r="AE10" s="52">
        <f t="shared" si="4"/>
        <v>6600</v>
      </c>
      <c r="AF10" s="52">
        <f t="shared" si="4"/>
        <v>6600</v>
      </c>
      <c r="AG10" s="52">
        <f t="shared" si="4"/>
        <v>6600</v>
      </c>
      <c r="AH10" s="52">
        <f t="shared" si="4"/>
        <v>6600</v>
      </c>
      <c r="AI10" s="104">
        <f t="shared" si="5"/>
        <v>79200</v>
      </c>
    </row>
    <row r="11" spans="1:52" s="7" customFormat="1">
      <c r="A11" s="95"/>
      <c r="B11" s="67"/>
      <c r="C11" s="250">
        <v>42370</v>
      </c>
      <c r="D11" s="421">
        <v>40000</v>
      </c>
      <c r="E11" s="140">
        <v>0.2</v>
      </c>
      <c r="F11" s="24"/>
      <c r="G11" s="68"/>
      <c r="H11" s="118" t="s">
        <v>43</v>
      </c>
      <c r="I11" s="261"/>
      <c r="J11" s="52">
        <f t="shared" si="0"/>
        <v>4800</v>
      </c>
      <c r="K11" s="52">
        <f t="shared" si="1"/>
        <v>4800</v>
      </c>
      <c r="L11" s="52">
        <f t="shared" si="1"/>
        <v>4800</v>
      </c>
      <c r="M11" s="52">
        <f t="shared" si="1"/>
        <v>4800</v>
      </c>
      <c r="N11" s="52">
        <f t="shared" si="1"/>
        <v>4800</v>
      </c>
      <c r="O11" s="52">
        <f t="shared" si="1"/>
        <v>4800</v>
      </c>
      <c r="P11" s="52">
        <f t="shared" si="1"/>
        <v>4800</v>
      </c>
      <c r="Q11" s="52">
        <f t="shared" si="1"/>
        <v>4800</v>
      </c>
      <c r="R11" s="52">
        <f t="shared" si="1"/>
        <v>4800</v>
      </c>
      <c r="S11" s="52">
        <f t="shared" si="1"/>
        <v>4800</v>
      </c>
      <c r="T11" s="52">
        <f t="shared" si="1"/>
        <v>4800</v>
      </c>
      <c r="U11" s="52">
        <f t="shared" si="1"/>
        <v>4800</v>
      </c>
      <c r="V11" s="104">
        <f t="shared" si="2"/>
        <v>57600</v>
      </c>
      <c r="W11" s="52">
        <f t="shared" si="3"/>
        <v>4800</v>
      </c>
      <c r="X11" s="52">
        <f t="shared" si="4"/>
        <v>4800</v>
      </c>
      <c r="Y11" s="52">
        <f t="shared" si="4"/>
        <v>4800</v>
      </c>
      <c r="Z11" s="52">
        <f t="shared" si="4"/>
        <v>4800</v>
      </c>
      <c r="AA11" s="52">
        <f t="shared" si="4"/>
        <v>4800</v>
      </c>
      <c r="AB11" s="52">
        <f t="shared" si="4"/>
        <v>4800</v>
      </c>
      <c r="AC11" s="52">
        <f t="shared" si="4"/>
        <v>4800</v>
      </c>
      <c r="AD11" s="52">
        <f t="shared" si="4"/>
        <v>4800</v>
      </c>
      <c r="AE11" s="52">
        <f t="shared" si="4"/>
        <v>4800</v>
      </c>
      <c r="AF11" s="52">
        <f t="shared" si="4"/>
        <v>4800</v>
      </c>
      <c r="AG11" s="52">
        <f t="shared" si="4"/>
        <v>4800</v>
      </c>
      <c r="AH11" s="52">
        <f t="shared" si="4"/>
        <v>4800</v>
      </c>
      <c r="AI11" s="104">
        <f t="shared" si="5"/>
        <v>57600</v>
      </c>
    </row>
    <row r="12" spans="1:52" s="7" customFormat="1">
      <c r="A12" s="95"/>
      <c r="B12" s="67"/>
      <c r="C12" s="250">
        <v>43040</v>
      </c>
      <c r="D12" s="421">
        <v>40000</v>
      </c>
      <c r="E12" s="140">
        <v>0.2</v>
      </c>
      <c r="F12" s="24"/>
      <c r="G12" s="68"/>
      <c r="H12" s="118" t="s">
        <v>190</v>
      </c>
      <c r="I12" s="261"/>
      <c r="J12" s="52">
        <f t="shared" si="0"/>
        <v>0</v>
      </c>
      <c r="K12" s="52">
        <f t="shared" si="1"/>
        <v>0</v>
      </c>
      <c r="L12" s="52">
        <f t="shared" si="1"/>
        <v>0</v>
      </c>
      <c r="M12" s="52">
        <f t="shared" si="1"/>
        <v>0</v>
      </c>
      <c r="N12" s="52">
        <f t="shared" si="1"/>
        <v>0</v>
      </c>
      <c r="O12" s="52">
        <f t="shared" si="1"/>
        <v>0</v>
      </c>
      <c r="P12" s="52">
        <f t="shared" si="1"/>
        <v>0</v>
      </c>
      <c r="Q12" s="52">
        <f t="shared" si="1"/>
        <v>0</v>
      </c>
      <c r="R12" s="52">
        <f t="shared" si="1"/>
        <v>0</v>
      </c>
      <c r="S12" s="52">
        <f t="shared" si="1"/>
        <v>0</v>
      </c>
      <c r="T12" s="52">
        <f t="shared" si="1"/>
        <v>0</v>
      </c>
      <c r="U12" s="52">
        <f t="shared" si="1"/>
        <v>0</v>
      </c>
      <c r="V12" s="104">
        <f t="shared" si="2"/>
        <v>0</v>
      </c>
      <c r="W12" s="52">
        <f t="shared" si="3"/>
        <v>0</v>
      </c>
      <c r="X12" s="52">
        <f t="shared" si="4"/>
        <v>0</v>
      </c>
      <c r="Y12" s="52">
        <f t="shared" si="4"/>
        <v>0</v>
      </c>
      <c r="Z12" s="52">
        <f t="shared" si="4"/>
        <v>0</v>
      </c>
      <c r="AA12" s="52">
        <f t="shared" si="4"/>
        <v>0</v>
      </c>
      <c r="AB12" s="52">
        <f t="shared" si="4"/>
        <v>0</v>
      </c>
      <c r="AC12" s="52">
        <f t="shared" si="4"/>
        <v>0</v>
      </c>
      <c r="AD12" s="52">
        <f t="shared" si="4"/>
        <v>0</v>
      </c>
      <c r="AE12" s="52">
        <f t="shared" si="4"/>
        <v>0</v>
      </c>
      <c r="AF12" s="52">
        <f t="shared" si="4"/>
        <v>0</v>
      </c>
      <c r="AG12" s="52">
        <f t="shared" si="4"/>
        <v>4800</v>
      </c>
      <c r="AH12" s="52">
        <f t="shared" si="4"/>
        <v>4800</v>
      </c>
      <c r="AI12" s="104">
        <f t="shared" si="5"/>
        <v>9600</v>
      </c>
    </row>
    <row r="13" spans="1:52" s="7" customFormat="1">
      <c r="A13" s="95"/>
      <c r="B13" s="67"/>
      <c r="C13" s="250">
        <v>42644</v>
      </c>
      <c r="D13" s="421">
        <v>110000</v>
      </c>
      <c r="E13" s="140">
        <v>0.2</v>
      </c>
      <c r="F13" s="24"/>
      <c r="G13" s="68"/>
      <c r="H13" s="118" t="s">
        <v>44</v>
      </c>
      <c r="I13" s="260"/>
      <c r="J13" s="52">
        <f t="shared" si="0"/>
        <v>0</v>
      </c>
      <c r="K13" s="52">
        <f t="shared" si="1"/>
        <v>0</v>
      </c>
      <c r="L13" s="52">
        <f t="shared" si="1"/>
        <v>0</v>
      </c>
      <c r="M13" s="52">
        <f t="shared" si="1"/>
        <v>0</v>
      </c>
      <c r="N13" s="52">
        <f t="shared" si="1"/>
        <v>0</v>
      </c>
      <c r="O13" s="52">
        <f t="shared" si="1"/>
        <v>0</v>
      </c>
      <c r="P13" s="52">
        <f t="shared" si="1"/>
        <v>0</v>
      </c>
      <c r="Q13" s="52">
        <f t="shared" si="1"/>
        <v>0</v>
      </c>
      <c r="R13" s="52">
        <f t="shared" si="1"/>
        <v>0</v>
      </c>
      <c r="S13" s="52">
        <f t="shared" si="1"/>
        <v>13200</v>
      </c>
      <c r="T13" s="52">
        <f t="shared" si="1"/>
        <v>13200</v>
      </c>
      <c r="U13" s="52">
        <f t="shared" si="1"/>
        <v>13200</v>
      </c>
      <c r="V13" s="104">
        <f t="shared" si="2"/>
        <v>39600</v>
      </c>
      <c r="W13" s="52">
        <f t="shared" si="3"/>
        <v>13200</v>
      </c>
      <c r="X13" s="52">
        <f t="shared" si="4"/>
        <v>13200</v>
      </c>
      <c r="Y13" s="52">
        <f t="shared" si="4"/>
        <v>13200</v>
      </c>
      <c r="Z13" s="52">
        <f t="shared" si="4"/>
        <v>13200</v>
      </c>
      <c r="AA13" s="52">
        <f t="shared" si="4"/>
        <v>13200</v>
      </c>
      <c r="AB13" s="52">
        <f t="shared" si="4"/>
        <v>13200</v>
      </c>
      <c r="AC13" s="52">
        <f t="shared" si="4"/>
        <v>13200</v>
      </c>
      <c r="AD13" s="52">
        <f t="shared" si="4"/>
        <v>13200</v>
      </c>
      <c r="AE13" s="52">
        <f t="shared" si="4"/>
        <v>13200</v>
      </c>
      <c r="AF13" s="52">
        <f t="shared" si="4"/>
        <v>13200</v>
      </c>
      <c r="AG13" s="52">
        <f t="shared" si="4"/>
        <v>13200</v>
      </c>
      <c r="AH13" s="52">
        <f t="shared" si="4"/>
        <v>13200</v>
      </c>
      <c r="AI13" s="104">
        <f t="shared" si="5"/>
        <v>158400</v>
      </c>
    </row>
    <row r="14" spans="1:52" s="7" customFormat="1">
      <c r="A14" s="95"/>
      <c r="B14" s="67"/>
      <c r="C14" s="250">
        <v>42370</v>
      </c>
      <c r="D14" s="421">
        <v>60000</v>
      </c>
      <c r="E14" s="140">
        <v>0.2</v>
      </c>
      <c r="F14" s="24"/>
      <c r="G14" s="68"/>
      <c r="H14" s="118" t="s">
        <v>48</v>
      </c>
      <c r="I14" s="260"/>
      <c r="J14" s="52">
        <f t="shared" si="0"/>
        <v>7200</v>
      </c>
      <c r="K14" s="52">
        <f t="shared" si="1"/>
        <v>7200</v>
      </c>
      <c r="L14" s="52">
        <f t="shared" si="1"/>
        <v>7200</v>
      </c>
      <c r="M14" s="52">
        <f t="shared" si="1"/>
        <v>7200</v>
      </c>
      <c r="N14" s="52">
        <f t="shared" si="1"/>
        <v>7200</v>
      </c>
      <c r="O14" s="52">
        <f t="shared" si="1"/>
        <v>7200</v>
      </c>
      <c r="P14" s="52">
        <f t="shared" si="1"/>
        <v>7200</v>
      </c>
      <c r="Q14" s="52">
        <f t="shared" si="1"/>
        <v>7200</v>
      </c>
      <c r="R14" s="52">
        <f t="shared" si="1"/>
        <v>7200</v>
      </c>
      <c r="S14" s="52">
        <f t="shared" si="1"/>
        <v>7200</v>
      </c>
      <c r="T14" s="52">
        <f t="shared" si="1"/>
        <v>7200</v>
      </c>
      <c r="U14" s="52">
        <f t="shared" si="1"/>
        <v>7200</v>
      </c>
      <c r="V14" s="104">
        <f t="shared" si="2"/>
        <v>86400</v>
      </c>
      <c r="W14" s="52">
        <f t="shared" si="3"/>
        <v>7200</v>
      </c>
      <c r="X14" s="52">
        <f t="shared" si="4"/>
        <v>7200</v>
      </c>
      <c r="Y14" s="52">
        <f t="shared" si="4"/>
        <v>7200</v>
      </c>
      <c r="Z14" s="52">
        <f t="shared" si="4"/>
        <v>7200</v>
      </c>
      <c r="AA14" s="52">
        <f t="shared" si="4"/>
        <v>7200</v>
      </c>
      <c r="AB14" s="52">
        <f t="shared" si="4"/>
        <v>7200</v>
      </c>
      <c r="AC14" s="52">
        <f t="shared" si="4"/>
        <v>7200</v>
      </c>
      <c r="AD14" s="52">
        <f t="shared" si="4"/>
        <v>7200</v>
      </c>
      <c r="AE14" s="52">
        <f t="shared" si="4"/>
        <v>7200</v>
      </c>
      <c r="AF14" s="52">
        <f t="shared" si="4"/>
        <v>7200</v>
      </c>
      <c r="AG14" s="52">
        <f t="shared" si="4"/>
        <v>7200</v>
      </c>
      <c r="AH14" s="52">
        <f t="shared" si="4"/>
        <v>7200</v>
      </c>
      <c r="AI14" s="104">
        <f t="shared" si="5"/>
        <v>86400</v>
      </c>
    </row>
    <row r="15" spans="1:52" s="7" customFormat="1">
      <c r="A15" s="95"/>
      <c r="B15" s="67"/>
      <c r="C15" s="250">
        <v>42552</v>
      </c>
      <c r="D15" s="421">
        <v>60000</v>
      </c>
      <c r="E15" s="140">
        <v>0.2</v>
      </c>
      <c r="F15" s="24"/>
      <c r="G15" s="68"/>
      <c r="H15" s="118" t="s">
        <v>48</v>
      </c>
      <c r="I15" s="260"/>
      <c r="J15" s="52">
        <f t="shared" ref="J15:U15" si="6">IF(J$2&gt;=$C15,(($D15*(1+$E15))*(1+$E$4))/12,0)</f>
        <v>0</v>
      </c>
      <c r="K15" s="52">
        <f t="shared" si="6"/>
        <v>0</v>
      </c>
      <c r="L15" s="52">
        <f t="shared" si="6"/>
        <v>0</v>
      </c>
      <c r="M15" s="52">
        <f t="shared" si="6"/>
        <v>0</v>
      </c>
      <c r="N15" s="52">
        <f t="shared" si="6"/>
        <v>0</v>
      </c>
      <c r="O15" s="52">
        <f t="shared" si="6"/>
        <v>0</v>
      </c>
      <c r="P15" s="52">
        <f t="shared" si="6"/>
        <v>7200</v>
      </c>
      <c r="Q15" s="52">
        <f t="shared" si="6"/>
        <v>7200</v>
      </c>
      <c r="R15" s="52">
        <f t="shared" si="6"/>
        <v>7200</v>
      </c>
      <c r="S15" s="52">
        <f t="shared" si="6"/>
        <v>7200</v>
      </c>
      <c r="T15" s="52">
        <f t="shared" si="6"/>
        <v>7200</v>
      </c>
      <c r="U15" s="52">
        <f t="shared" si="6"/>
        <v>7200</v>
      </c>
      <c r="V15" s="104">
        <f>SUM(J15:U15)</f>
        <v>43200</v>
      </c>
      <c r="W15" s="52">
        <f t="shared" ref="W15:AH15" si="7">IF(W$2&gt;=$C15,(($D15*(1+$E15))*(1+$E$4))/12,0)</f>
        <v>7200</v>
      </c>
      <c r="X15" s="52">
        <f t="shared" si="7"/>
        <v>7200</v>
      </c>
      <c r="Y15" s="52">
        <f t="shared" si="7"/>
        <v>7200</v>
      </c>
      <c r="Z15" s="52">
        <f t="shared" si="7"/>
        <v>7200</v>
      </c>
      <c r="AA15" s="52">
        <f t="shared" si="7"/>
        <v>7200</v>
      </c>
      <c r="AB15" s="52">
        <f t="shared" si="7"/>
        <v>7200</v>
      </c>
      <c r="AC15" s="52">
        <f t="shared" si="7"/>
        <v>7200</v>
      </c>
      <c r="AD15" s="52">
        <f t="shared" si="7"/>
        <v>7200</v>
      </c>
      <c r="AE15" s="52">
        <f t="shared" si="7"/>
        <v>7200</v>
      </c>
      <c r="AF15" s="52">
        <f t="shared" si="7"/>
        <v>7200</v>
      </c>
      <c r="AG15" s="52">
        <f t="shared" si="7"/>
        <v>7200</v>
      </c>
      <c r="AH15" s="52">
        <f t="shared" si="7"/>
        <v>7200</v>
      </c>
      <c r="AI15" s="104">
        <f>SUM(W15:AH15)</f>
        <v>86400</v>
      </c>
    </row>
    <row r="16" spans="1:52" s="7" customFormat="1">
      <c r="A16" s="95"/>
      <c r="B16" s="67"/>
      <c r="C16" s="64"/>
      <c r="D16" s="422"/>
      <c r="E16" s="88"/>
      <c r="F16" s="24"/>
      <c r="G16" s="68"/>
      <c r="H16" s="121" t="s">
        <v>148</v>
      </c>
      <c r="I16" s="268" t="s">
        <v>41</v>
      </c>
      <c r="J16" s="70">
        <f t="shared" ref="J16:U16" si="8">SUM(J7:J15)</f>
        <v>24000</v>
      </c>
      <c r="K16" s="70">
        <f t="shared" si="8"/>
        <v>24000</v>
      </c>
      <c r="L16" s="70">
        <f t="shared" si="8"/>
        <v>24000</v>
      </c>
      <c r="M16" s="70">
        <f t="shared" si="8"/>
        <v>24000</v>
      </c>
      <c r="N16" s="70">
        <f t="shared" si="8"/>
        <v>24000</v>
      </c>
      <c r="O16" s="70">
        <f t="shared" si="8"/>
        <v>24000</v>
      </c>
      <c r="P16" s="70">
        <f t="shared" si="8"/>
        <v>49200</v>
      </c>
      <c r="Q16" s="70">
        <f t="shared" si="8"/>
        <v>49200</v>
      </c>
      <c r="R16" s="70">
        <f t="shared" si="8"/>
        <v>49200</v>
      </c>
      <c r="S16" s="70">
        <f t="shared" si="8"/>
        <v>62400</v>
      </c>
      <c r="T16" s="70">
        <f t="shared" si="8"/>
        <v>69000</v>
      </c>
      <c r="U16" s="70">
        <f t="shared" si="8"/>
        <v>69000</v>
      </c>
      <c r="V16" s="315">
        <f t="shared" si="2"/>
        <v>492000</v>
      </c>
      <c r="W16" s="70">
        <f t="shared" ref="W16:AH16" si="9">SUM(W7:W15)</f>
        <v>69000</v>
      </c>
      <c r="X16" s="70">
        <f t="shared" si="9"/>
        <v>69000</v>
      </c>
      <c r="Y16" s="70">
        <f t="shared" si="9"/>
        <v>69000</v>
      </c>
      <c r="Z16" s="70">
        <f t="shared" si="9"/>
        <v>69000</v>
      </c>
      <c r="AA16" s="70">
        <f t="shared" si="9"/>
        <v>77400</v>
      </c>
      <c r="AB16" s="70">
        <f t="shared" si="9"/>
        <v>77400</v>
      </c>
      <c r="AC16" s="70">
        <f t="shared" si="9"/>
        <v>77400</v>
      </c>
      <c r="AD16" s="70">
        <f t="shared" si="9"/>
        <v>77400</v>
      </c>
      <c r="AE16" s="70">
        <f t="shared" si="9"/>
        <v>77400</v>
      </c>
      <c r="AF16" s="70">
        <f t="shared" si="9"/>
        <v>77400</v>
      </c>
      <c r="AG16" s="70">
        <f t="shared" si="9"/>
        <v>82200</v>
      </c>
      <c r="AH16" s="70">
        <f t="shared" si="9"/>
        <v>82200</v>
      </c>
      <c r="AI16" s="315">
        <f t="shared" si="5"/>
        <v>904800</v>
      </c>
    </row>
    <row r="17" spans="1:35" s="286" customFormat="1">
      <c r="B17" s="295"/>
      <c r="C17" s="288"/>
      <c r="D17" s="423"/>
      <c r="E17" s="289"/>
      <c r="F17" s="296"/>
      <c r="G17" s="297"/>
      <c r="H17" s="292" t="s">
        <v>285</v>
      </c>
      <c r="I17" s="293"/>
      <c r="J17" s="426">
        <f t="array" ref="J17">SUM(J7:J15*(($E7:$E15/(1+$E7:$E15))))</f>
        <v>4000.0000000000009</v>
      </c>
      <c r="K17" s="426">
        <f t="array" ref="K17">SUM(K7:K15*(($E7:$E15/(1+$E7:$E15))))</f>
        <v>4000.0000000000009</v>
      </c>
      <c r="L17" s="426">
        <f t="array" ref="L17">SUM(L7:L15*(($E7:$E15/(1+$E7:$E15))))</f>
        <v>4000.0000000000009</v>
      </c>
      <c r="M17" s="426">
        <f t="array" ref="M17">SUM(M7:M15*(($E7:$E15/(1+$E7:$E15))))</f>
        <v>4000.0000000000009</v>
      </c>
      <c r="N17" s="426">
        <f t="array" ref="N17">SUM(N7:N15*(($E7:$E15/(1+$E7:$E15))))</f>
        <v>4000.0000000000009</v>
      </c>
      <c r="O17" s="426">
        <f t="array" ref="O17">SUM(O7:O15*(($E7:$E15/(1+$E7:$E15))))</f>
        <v>4000.0000000000009</v>
      </c>
      <c r="P17" s="426">
        <f t="array" ref="P17">SUM(P7:P15*(($E7:$E15/(1+$E7:$E15))))</f>
        <v>8200.0000000000018</v>
      </c>
      <c r="Q17" s="426">
        <f t="array" ref="Q17">SUM(Q7:Q15*(($E7:$E15/(1+$E7:$E15))))</f>
        <v>8200.0000000000018</v>
      </c>
      <c r="R17" s="426">
        <f t="array" ref="R17">SUM(R7:R15*(($E7:$E15/(1+$E7:$E15))))</f>
        <v>8200.0000000000018</v>
      </c>
      <c r="S17" s="426">
        <f t="array" ref="S17">SUM(S7:S15*(($E7:$E15/(1+$E7:$E15))))</f>
        <v>10400.000000000002</v>
      </c>
      <c r="T17" s="426">
        <f t="array" ref="T17">SUM(T7:T15*(($E7:$E15/(1+$E7:$E15))))</f>
        <v>11500.000000000002</v>
      </c>
      <c r="U17" s="426">
        <f t="array" ref="U17">SUM(U7:U15*(($E7:$E15/(1+$E7:$E15))))</f>
        <v>11500.000000000002</v>
      </c>
      <c r="V17" s="427">
        <f t="shared" si="2"/>
        <v>82000.000000000015</v>
      </c>
      <c r="W17" s="426">
        <f t="array" ref="W17">SUM(W7:W15*(($E7:$E15/(1+$E7:$E15))))</f>
        <v>11500.000000000002</v>
      </c>
      <c r="X17" s="426">
        <f t="array" ref="X17">SUM(X7:X15*(($E7:$E15/(1+$E7:$E15))))</f>
        <v>11500.000000000002</v>
      </c>
      <c r="Y17" s="426">
        <f t="array" ref="Y17">SUM(Y7:Y15*(($E7:$E15/(1+$E7:$E15))))</f>
        <v>11500.000000000002</v>
      </c>
      <c r="Z17" s="426">
        <f t="array" ref="Z17">SUM(Z7:Z15*(($E7:$E15/(1+$E7:$E15))))</f>
        <v>11500.000000000002</v>
      </c>
      <c r="AA17" s="426">
        <f t="array" ref="AA17">SUM(AA7:AA15*(($E7:$E15/(1+$E7:$E15))))</f>
        <v>12900.000000000002</v>
      </c>
      <c r="AB17" s="426">
        <f t="array" ref="AB17">SUM(AB7:AB15*(($E7:$E15/(1+$E7:$E15))))</f>
        <v>12900.000000000002</v>
      </c>
      <c r="AC17" s="426">
        <f t="array" ref="AC17">SUM(AC7:AC15*(($E7:$E15/(1+$E7:$E15))))</f>
        <v>12900.000000000002</v>
      </c>
      <c r="AD17" s="426">
        <f t="array" ref="AD17">SUM(AD7:AD15*(($E7:$E15/(1+$E7:$E15))))</f>
        <v>12900.000000000002</v>
      </c>
      <c r="AE17" s="426">
        <f t="array" ref="AE17">SUM(AE7:AE15*(($E7:$E15/(1+$E7:$E15))))</f>
        <v>12900.000000000002</v>
      </c>
      <c r="AF17" s="426">
        <f t="array" ref="AF17">SUM(AF7:AF15*(($E7:$E15/(1+$E7:$E15))))</f>
        <v>12900.000000000002</v>
      </c>
      <c r="AG17" s="426">
        <f t="array" ref="AG17">SUM(AG7:AG15*(($E7:$E15/(1+$E7:$E15))))</f>
        <v>13700.000000000002</v>
      </c>
      <c r="AH17" s="426">
        <f t="array" ref="AH17">SUM(AH7:AH15*(($E7:$E15/(1+$E7:$E15))))</f>
        <v>13700.000000000002</v>
      </c>
      <c r="AI17" s="427">
        <f t="shared" si="5"/>
        <v>150800.00000000003</v>
      </c>
    </row>
    <row r="18" spans="1:35" s="286" customFormat="1">
      <c r="B18" s="287"/>
      <c r="C18" s="288"/>
      <c r="D18" s="423"/>
      <c r="E18" s="289"/>
      <c r="F18" s="290"/>
      <c r="G18" s="291"/>
      <c r="H18" s="292" t="s">
        <v>161</v>
      </c>
      <c r="I18" s="293"/>
      <c r="J18" s="426">
        <f t="shared" ref="J18:U18" si="10">COUNTIF(J7:J15,"&gt;0")</f>
        <v>3</v>
      </c>
      <c r="K18" s="426">
        <f t="shared" si="10"/>
        <v>3</v>
      </c>
      <c r="L18" s="426">
        <f t="shared" si="10"/>
        <v>3</v>
      </c>
      <c r="M18" s="426">
        <f t="shared" si="10"/>
        <v>3</v>
      </c>
      <c r="N18" s="426">
        <f t="shared" si="10"/>
        <v>3</v>
      </c>
      <c r="O18" s="426">
        <f t="shared" si="10"/>
        <v>3</v>
      </c>
      <c r="P18" s="426">
        <f t="shared" si="10"/>
        <v>5</v>
      </c>
      <c r="Q18" s="426">
        <f t="shared" si="10"/>
        <v>5</v>
      </c>
      <c r="R18" s="426">
        <f t="shared" si="10"/>
        <v>5</v>
      </c>
      <c r="S18" s="426">
        <f t="shared" si="10"/>
        <v>6</v>
      </c>
      <c r="T18" s="426">
        <f t="shared" si="10"/>
        <v>7</v>
      </c>
      <c r="U18" s="426">
        <f t="shared" si="10"/>
        <v>7</v>
      </c>
      <c r="V18" s="427"/>
      <c r="W18" s="426">
        <f t="shared" ref="W18:AH18" si="11">COUNTIF(W7:W15,"&gt;0")</f>
        <v>7</v>
      </c>
      <c r="X18" s="426">
        <f t="shared" si="11"/>
        <v>7</v>
      </c>
      <c r="Y18" s="426">
        <f t="shared" si="11"/>
        <v>7</v>
      </c>
      <c r="Z18" s="426">
        <f t="shared" si="11"/>
        <v>7</v>
      </c>
      <c r="AA18" s="426">
        <f t="shared" si="11"/>
        <v>8</v>
      </c>
      <c r="AB18" s="426">
        <f t="shared" si="11"/>
        <v>8</v>
      </c>
      <c r="AC18" s="426">
        <f t="shared" si="11"/>
        <v>8</v>
      </c>
      <c r="AD18" s="426">
        <f t="shared" si="11"/>
        <v>8</v>
      </c>
      <c r="AE18" s="426">
        <f t="shared" si="11"/>
        <v>8</v>
      </c>
      <c r="AF18" s="426">
        <f t="shared" si="11"/>
        <v>8</v>
      </c>
      <c r="AG18" s="426">
        <f t="shared" si="11"/>
        <v>9</v>
      </c>
      <c r="AH18" s="426">
        <f t="shared" si="11"/>
        <v>9</v>
      </c>
      <c r="AI18" s="427"/>
    </row>
    <row r="19" spans="1:35" s="7" customFormat="1">
      <c r="A19" s="95"/>
      <c r="B19" s="67"/>
      <c r="C19" s="64"/>
      <c r="D19" s="422"/>
      <c r="E19" s="88"/>
      <c r="F19" s="24"/>
      <c r="G19" s="68"/>
      <c r="H19" s="118"/>
      <c r="I19" s="260"/>
      <c r="J19" s="52"/>
      <c r="K19" s="52"/>
      <c r="L19" s="52"/>
      <c r="M19" s="52"/>
      <c r="N19" s="52"/>
      <c r="O19" s="52"/>
      <c r="P19" s="52"/>
      <c r="Q19" s="52"/>
      <c r="R19" s="52"/>
      <c r="S19" s="52"/>
      <c r="T19" s="52"/>
      <c r="U19" s="52"/>
      <c r="V19" s="104"/>
      <c r="W19" s="52"/>
      <c r="X19" s="52"/>
      <c r="Y19" s="52"/>
      <c r="Z19" s="52"/>
      <c r="AA19" s="52"/>
      <c r="AB19" s="52"/>
      <c r="AC19" s="52"/>
      <c r="AD19" s="52"/>
      <c r="AE19" s="52"/>
      <c r="AF19" s="52"/>
      <c r="AG19" s="52"/>
      <c r="AH19" s="52"/>
      <c r="AI19" s="104"/>
    </row>
    <row r="20" spans="1:35" s="7" customFormat="1">
      <c r="A20" s="95"/>
      <c r="B20" s="67"/>
      <c r="C20" s="22"/>
      <c r="D20" s="424"/>
      <c r="E20" s="139"/>
      <c r="F20" s="24"/>
      <c r="G20" s="68"/>
      <c r="H20" s="257" t="s">
        <v>49</v>
      </c>
      <c r="I20" s="267"/>
      <c r="J20" s="428"/>
      <c r="K20" s="428"/>
      <c r="L20" s="428"/>
      <c r="M20" s="428"/>
      <c r="N20" s="428"/>
      <c r="O20" s="428"/>
      <c r="P20" s="428"/>
      <c r="Q20" s="428"/>
      <c r="R20" s="428"/>
      <c r="S20" s="428"/>
      <c r="T20" s="428"/>
      <c r="U20" s="429"/>
      <c r="V20" s="430"/>
      <c r="W20" s="428"/>
      <c r="X20" s="428"/>
      <c r="Y20" s="428"/>
      <c r="Z20" s="428"/>
      <c r="AA20" s="428"/>
      <c r="AB20" s="428"/>
      <c r="AC20" s="428"/>
      <c r="AD20" s="428"/>
      <c r="AE20" s="428"/>
      <c r="AF20" s="428"/>
      <c r="AG20" s="428"/>
      <c r="AH20" s="429"/>
      <c r="AI20" s="430"/>
    </row>
    <row r="21" spans="1:35" s="7" customFormat="1">
      <c r="A21" s="95"/>
      <c r="B21" s="67"/>
      <c r="C21" s="250">
        <v>42370</v>
      </c>
      <c r="D21" s="421">
        <v>100000</v>
      </c>
      <c r="E21" s="140">
        <v>0.2</v>
      </c>
      <c r="F21" s="24"/>
      <c r="G21" s="68"/>
      <c r="H21" s="118" t="s">
        <v>50</v>
      </c>
      <c r="I21" s="260"/>
      <c r="J21" s="52">
        <f t="shared" ref="J21:J44" si="12">IF(J$2&gt;=$C21,(($D21*(1+$E21))*(1+$E$4))/12,0)</f>
        <v>12000</v>
      </c>
      <c r="K21" s="52">
        <f t="shared" ref="K21:U44" si="13">IF(K$2&gt;=$C21,(($D21*(1+$E21))*(1+$E$4))/12,0)</f>
        <v>12000</v>
      </c>
      <c r="L21" s="52">
        <f t="shared" si="13"/>
        <v>12000</v>
      </c>
      <c r="M21" s="52">
        <f t="shared" si="13"/>
        <v>12000</v>
      </c>
      <c r="N21" s="52">
        <f t="shared" si="13"/>
        <v>12000</v>
      </c>
      <c r="O21" s="52">
        <f t="shared" si="13"/>
        <v>12000</v>
      </c>
      <c r="P21" s="52">
        <f t="shared" si="13"/>
        <v>12000</v>
      </c>
      <c r="Q21" s="52">
        <f t="shared" si="13"/>
        <v>12000</v>
      </c>
      <c r="R21" s="52">
        <f t="shared" si="13"/>
        <v>12000</v>
      </c>
      <c r="S21" s="52">
        <f t="shared" si="13"/>
        <v>12000</v>
      </c>
      <c r="T21" s="52">
        <f t="shared" si="13"/>
        <v>12000</v>
      </c>
      <c r="U21" s="52">
        <f t="shared" si="13"/>
        <v>12000</v>
      </c>
      <c r="V21" s="104">
        <f t="shared" ref="V21:V50" si="14">SUM(J21:U21)</f>
        <v>144000</v>
      </c>
      <c r="W21" s="52">
        <f>IF(W$2&gt;=$C21,(($D21*(1+$E21))*(1+$E$4))/12,0)</f>
        <v>12000</v>
      </c>
      <c r="X21" s="52">
        <f t="shared" ref="X21:AH44" si="15">IF(X$2&gt;=$C21,(($D21*(1+$E21))*(1+$E$4))/12,0)</f>
        <v>12000</v>
      </c>
      <c r="Y21" s="52">
        <f t="shared" si="15"/>
        <v>12000</v>
      </c>
      <c r="Z21" s="52">
        <f t="shared" si="15"/>
        <v>12000</v>
      </c>
      <c r="AA21" s="52">
        <f t="shared" si="15"/>
        <v>12000</v>
      </c>
      <c r="AB21" s="52">
        <f t="shared" si="15"/>
        <v>12000</v>
      </c>
      <c r="AC21" s="52">
        <f t="shared" si="15"/>
        <v>12000</v>
      </c>
      <c r="AD21" s="52">
        <f t="shared" si="15"/>
        <v>12000</v>
      </c>
      <c r="AE21" s="52">
        <f t="shared" si="15"/>
        <v>12000</v>
      </c>
      <c r="AF21" s="52">
        <f t="shared" si="15"/>
        <v>12000</v>
      </c>
      <c r="AG21" s="52">
        <f t="shared" si="15"/>
        <v>12000</v>
      </c>
      <c r="AH21" s="52">
        <f t="shared" si="15"/>
        <v>12000</v>
      </c>
      <c r="AI21" s="104">
        <f t="shared" ref="AI21:AI50" si="16">SUM(W21:AH21)</f>
        <v>144000</v>
      </c>
    </row>
    <row r="22" spans="1:35" s="7" customFormat="1">
      <c r="A22" s="95"/>
      <c r="B22" s="67"/>
      <c r="C22" s="250">
        <v>42552</v>
      </c>
      <c r="D22" s="421">
        <v>150000</v>
      </c>
      <c r="E22" s="140">
        <v>0.2</v>
      </c>
      <c r="F22" s="24"/>
      <c r="G22" s="68"/>
      <c r="H22" s="118" t="s">
        <v>51</v>
      </c>
      <c r="I22" s="260"/>
      <c r="J22" s="52">
        <f t="shared" si="12"/>
        <v>0</v>
      </c>
      <c r="K22" s="52">
        <f t="shared" si="13"/>
        <v>0</v>
      </c>
      <c r="L22" s="52">
        <f t="shared" si="13"/>
        <v>0</v>
      </c>
      <c r="M22" s="52">
        <f t="shared" si="13"/>
        <v>0</v>
      </c>
      <c r="N22" s="52">
        <f t="shared" si="13"/>
        <v>0</v>
      </c>
      <c r="O22" s="52">
        <f t="shared" si="13"/>
        <v>0</v>
      </c>
      <c r="P22" s="52">
        <f t="shared" si="13"/>
        <v>18000</v>
      </c>
      <c r="Q22" s="52">
        <f t="shared" si="13"/>
        <v>18000</v>
      </c>
      <c r="R22" s="52">
        <f t="shared" si="13"/>
        <v>18000</v>
      </c>
      <c r="S22" s="52">
        <f t="shared" si="13"/>
        <v>18000</v>
      </c>
      <c r="T22" s="52">
        <f t="shared" si="13"/>
        <v>18000</v>
      </c>
      <c r="U22" s="52">
        <f t="shared" si="13"/>
        <v>18000</v>
      </c>
      <c r="V22" s="104">
        <f t="shared" si="14"/>
        <v>108000</v>
      </c>
      <c r="W22" s="52">
        <f t="shared" ref="K22:Y48" si="17">IF(W$2&gt;=$C22,(($D22*(1+$E22))*(1+$E$4))/12,0)</f>
        <v>18000</v>
      </c>
      <c r="X22" s="52">
        <f t="shared" si="15"/>
        <v>18000</v>
      </c>
      <c r="Y22" s="52">
        <f t="shared" si="15"/>
        <v>18000</v>
      </c>
      <c r="Z22" s="52">
        <f t="shared" si="15"/>
        <v>18000</v>
      </c>
      <c r="AA22" s="52">
        <f t="shared" si="15"/>
        <v>18000</v>
      </c>
      <c r="AB22" s="52">
        <f t="shared" si="15"/>
        <v>18000</v>
      </c>
      <c r="AC22" s="52">
        <f t="shared" si="15"/>
        <v>18000</v>
      </c>
      <c r="AD22" s="52">
        <f t="shared" si="15"/>
        <v>18000</v>
      </c>
      <c r="AE22" s="52">
        <f t="shared" si="15"/>
        <v>18000</v>
      </c>
      <c r="AF22" s="52">
        <f t="shared" si="15"/>
        <v>18000</v>
      </c>
      <c r="AG22" s="52">
        <f t="shared" si="15"/>
        <v>18000</v>
      </c>
      <c r="AH22" s="52">
        <f t="shared" si="15"/>
        <v>18000</v>
      </c>
      <c r="AI22" s="104">
        <f t="shared" si="16"/>
        <v>216000</v>
      </c>
    </row>
    <row r="23" spans="1:35" s="7" customFormat="1">
      <c r="A23" s="95"/>
      <c r="B23" s="67"/>
      <c r="C23" s="250">
        <v>42736</v>
      </c>
      <c r="D23" s="421">
        <v>150000</v>
      </c>
      <c r="E23" s="140">
        <v>0.2</v>
      </c>
      <c r="F23" s="24"/>
      <c r="G23" s="68"/>
      <c r="H23" s="118" t="s">
        <v>52</v>
      </c>
      <c r="I23" s="260"/>
      <c r="J23" s="52">
        <f t="shared" si="12"/>
        <v>0</v>
      </c>
      <c r="K23" s="52">
        <f t="shared" si="13"/>
        <v>0</v>
      </c>
      <c r="L23" s="52">
        <f t="shared" si="13"/>
        <v>0</v>
      </c>
      <c r="M23" s="52">
        <f t="shared" si="13"/>
        <v>0</v>
      </c>
      <c r="N23" s="52">
        <f t="shared" si="13"/>
        <v>0</v>
      </c>
      <c r="O23" s="52">
        <f t="shared" si="13"/>
        <v>0</v>
      </c>
      <c r="P23" s="52">
        <f t="shared" si="13"/>
        <v>0</v>
      </c>
      <c r="Q23" s="52">
        <f t="shared" si="13"/>
        <v>0</v>
      </c>
      <c r="R23" s="52">
        <f t="shared" si="13"/>
        <v>0</v>
      </c>
      <c r="S23" s="52">
        <f t="shared" si="13"/>
        <v>0</v>
      </c>
      <c r="T23" s="52">
        <f t="shared" si="13"/>
        <v>0</v>
      </c>
      <c r="U23" s="52">
        <f t="shared" si="13"/>
        <v>0</v>
      </c>
      <c r="V23" s="104">
        <f t="shared" si="14"/>
        <v>0</v>
      </c>
      <c r="W23" s="52">
        <f t="shared" si="17"/>
        <v>18000</v>
      </c>
      <c r="X23" s="52">
        <f t="shared" si="15"/>
        <v>18000</v>
      </c>
      <c r="Y23" s="52">
        <f t="shared" si="15"/>
        <v>18000</v>
      </c>
      <c r="Z23" s="52">
        <f t="shared" si="15"/>
        <v>18000</v>
      </c>
      <c r="AA23" s="52">
        <f t="shared" si="15"/>
        <v>18000</v>
      </c>
      <c r="AB23" s="52">
        <f t="shared" si="15"/>
        <v>18000</v>
      </c>
      <c r="AC23" s="52">
        <f t="shared" si="15"/>
        <v>18000</v>
      </c>
      <c r="AD23" s="52">
        <f t="shared" si="15"/>
        <v>18000</v>
      </c>
      <c r="AE23" s="52">
        <f t="shared" si="15"/>
        <v>18000</v>
      </c>
      <c r="AF23" s="52">
        <f t="shared" si="15"/>
        <v>18000</v>
      </c>
      <c r="AG23" s="52">
        <f t="shared" si="15"/>
        <v>18000</v>
      </c>
      <c r="AH23" s="52">
        <f t="shared" si="15"/>
        <v>18000</v>
      </c>
      <c r="AI23" s="104">
        <f t="shared" si="16"/>
        <v>216000</v>
      </c>
    </row>
    <row r="24" spans="1:35" s="7" customFormat="1">
      <c r="A24" s="95"/>
      <c r="B24" s="67"/>
      <c r="C24" s="250">
        <v>42370</v>
      </c>
      <c r="D24" s="421">
        <v>80000</v>
      </c>
      <c r="E24" s="140">
        <v>0.2</v>
      </c>
      <c r="F24" s="24"/>
      <c r="G24" s="68"/>
      <c r="H24" s="118" t="s">
        <v>53</v>
      </c>
      <c r="I24" s="260"/>
      <c r="J24" s="52">
        <f t="shared" si="12"/>
        <v>9600</v>
      </c>
      <c r="K24" s="52">
        <f t="shared" si="13"/>
        <v>9600</v>
      </c>
      <c r="L24" s="52">
        <f t="shared" si="13"/>
        <v>9600</v>
      </c>
      <c r="M24" s="52">
        <f t="shared" si="13"/>
        <v>9600</v>
      </c>
      <c r="N24" s="52">
        <f t="shared" si="13"/>
        <v>9600</v>
      </c>
      <c r="O24" s="52">
        <f t="shared" si="13"/>
        <v>9600</v>
      </c>
      <c r="P24" s="52">
        <f t="shared" si="13"/>
        <v>9600</v>
      </c>
      <c r="Q24" s="52">
        <f t="shared" si="13"/>
        <v>9600</v>
      </c>
      <c r="R24" s="52">
        <f t="shared" si="13"/>
        <v>9600</v>
      </c>
      <c r="S24" s="52">
        <f t="shared" si="13"/>
        <v>9600</v>
      </c>
      <c r="T24" s="52">
        <f t="shared" si="13"/>
        <v>9600</v>
      </c>
      <c r="U24" s="52">
        <f t="shared" si="13"/>
        <v>9600</v>
      </c>
      <c r="V24" s="104">
        <f t="shared" si="14"/>
        <v>115200</v>
      </c>
      <c r="W24" s="52">
        <f t="shared" si="17"/>
        <v>9600</v>
      </c>
      <c r="X24" s="52">
        <f t="shared" si="15"/>
        <v>9600</v>
      </c>
      <c r="Y24" s="52">
        <f t="shared" si="15"/>
        <v>9600</v>
      </c>
      <c r="Z24" s="52">
        <f t="shared" si="15"/>
        <v>9600</v>
      </c>
      <c r="AA24" s="52">
        <f t="shared" si="15"/>
        <v>9600</v>
      </c>
      <c r="AB24" s="52">
        <f t="shared" si="15"/>
        <v>9600</v>
      </c>
      <c r="AC24" s="52">
        <f t="shared" si="15"/>
        <v>9600</v>
      </c>
      <c r="AD24" s="52">
        <f t="shared" si="15"/>
        <v>9600</v>
      </c>
      <c r="AE24" s="52">
        <f t="shared" si="15"/>
        <v>9600</v>
      </c>
      <c r="AF24" s="52">
        <f t="shared" si="15"/>
        <v>9600</v>
      </c>
      <c r="AG24" s="52">
        <f t="shared" si="15"/>
        <v>9600</v>
      </c>
      <c r="AH24" s="52">
        <f t="shared" si="15"/>
        <v>9600</v>
      </c>
      <c r="AI24" s="104">
        <f t="shared" si="16"/>
        <v>115200</v>
      </c>
    </row>
    <row r="25" spans="1:35" s="7" customFormat="1">
      <c r="A25" s="95"/>
      <c r="B25" s="67"/>
      <c r="C25" s="250">
        <v>42552</v>
      </c>
      <c r="D25" s="421">
        <v>80000</v>
      </c>
      <c r="E25" s="140">
        <v>0.2</v>
      </c>
      <c r="F25" s="24"/>
      <c r="G25" s="68"/>
      <c r="H25" s="118" t="s">
        <v>53</v>
      </c>
      <c r="I25" s="260"/>
      <c r="J25" s="52">
        <f t="shared" si="12"/>
        <v>0</v>
      </c>
      <c r="K25" s="52">
        <f t="shared" si="13"/>
        <v>0</v>
      </c>
      <c r="L25" s="52">
        <f t="shared" si="13"/>
        <v>0</v>
      </c>
      <c r="M25" s="52">
        <f t="shared" si="13"/>
        <v>0</v>
      </c>
      <c r="N25" s="52">
        <f t="shared" si="13"/>
        <v>0</v>
      </c>
      <c r="O25" s="52">
        <f t="shared" si="13"/>
        <v>0</v>
      </c>
      <c r="P25" s="52">
        <f t="shared" si="13"/>
        <v>9600</v>
      </c>
      <c r="Q25" s="52">
        <f t="shared" si="13"/>
        <v>9600</v>
      </c>
      <c r="R25" s="52">
        <f t="shared" si="13"/>
        <v>9600</v>
      </c>
      <c r="S25" s="52">
        <f t="shared" si="13"/>
        <v>9600</v>
      </c>
      <c r="T25" s="52">
        <f t="shared" si="13"/>
        <v>9600</v>
      </c>
      <c r="U25" s="52">
        <f t="shared" si="13"/>
        <v>9600</v>
      </c>
      <c r="V25" s="104">
        <f t="shared" si="14"/>
        <v>57600</v>
      </c>
      <c r="W25" s="52">
        <f t="shared" si="17"/>
        <v>9600</v>
      </c>
      <c r="X25" s="52">
        <f t="shared" si="15"/>
        <v>9600</v>
      </c>
      <c r="Y25" s="52">
        <f t="shared" si="15"/>
        <v>9600</v>
      </c>
      <c r="Z25" s="52">
        <f t="shared" si="15"/>
        <v>9600</v>
      </c>
      <c r="AA25" s="52">
        <f t="shared" si="15"/>
        <v>9600</v>
      </c>
      <c r="AB25" s="52">
        <f t="shared" si="15"/>
        <v>9600</v>
      </c>
      <c r="AC25" s="52">
        <f t="shared" si="15"/>
        <v>9600</v>
      </c>
      <c r="AD25" s="52">
        <f t="shared" si="15"/>
        <v>9600</v>
      </c>
      <c r="AE25" s="52">
        <f t="shared" si="15"/>
        <v>9600</v>
      </c>
      <c r="AF25" s="52">
        <f t="shared" si="15"/>
        <v>9600</v>
      </c>
      <c r="AG25" s="52">
        <f t="shared" si="15"/>
        <v>9600</v>
      </c>
      <c r="AH25" s="52">
        <f t="shared" si="15"/>
        <v>9600</v>
      </c>
      <c r="AI25" s="104">
        <f t="shared" si="16"/>
        <v>115200</v>
      </c>
    </row>
    <row r="26" spans="1:35" s="7" customFormat="1">
      <c r="A26" s="95"/>
      <c r="B26" s="67"/>
      <c r="C26" s="250">
        <v>42917</v>
      </c>
      <c r="D26" s="421">
        <v>80000</v>
      </c>
      <c r="E26" s="140">
        <v>0.2</v>
      </c>
      <c r="F26" s="24"/>
      <c r="G26" s="68"/>
      <c r="H26" s="118" t="s">
        <v>53</v>
      </c>
      <c r="I26" s="260"/>
      <c r="J26" s="52">
        <f t="shared" si="12"/>
        <v>0</v>
      </c>
      <c r="K26" s="52">
        <f t="shared" si="13"/>
        <v>0</v>
      </c>
      <c r="L26" s="52">
        <f t="shared" si="13"/>
        <v>0</v>
      </c>
      <c r="M26" s="52">
        <f t="shared" si="13"/>
        <v>0</v>
      </c>
      <c r="N26" s="52">
        <f t="shared" si="13"/>
        <v>0</v>
      </c>
      <c r="O26" s="52">
        <f t="shared" si="13"/>
        <v>0</v>
      </c>
      <c r="P26" s="52">
        <f t="shared" si="13"/>
        <v>0</v>
      </c>
      <c r="Q26" s="52">
        <f t="shared" si="13"/>
        <v>0</v>
      </c>
      <c r="R26" s="52">
        <f t="shared" si="13"/>
        <v>0</v>
      </c>
      <c r="S26" s="52">
        <f t="shared" si="13"/>
        <v>0</v>
      </c>
      <c r="T26" s="52">
        <f t="shared" si="13"/>
        <v>0</v>
      </c>
      <c r="U26" s="52">
        <f t="shared" si="13"/>
        <v>0</v>
      </c>
      <c r="V26" s="104">
        <f t="shared" si="14"/>
        <v>0</v>
      </c>
      <c r="W26" s="52">
        <f>IF(W$2&gt;=$C26,(($D26*(1+$E26))*(1+$E$4))/12,0)</f>
        <v>0</v>
      </c>
      <c r="X26" s="52">
        <f t="shared" si="15"/>
        <v>0</v>
      </c>
      <c r="Y26" s="52">
        <f t="shared" si="15"/>
        <v>0</v>
      </c>
      <c r="Z26" s="52">
        <f t="shared" si="15"/>
        <v>0</v>
      </c>
      <c r="AA26" s="52">
        <f t="shared" si="15"/>
        <v>0</v>
      </c>
      <c r="AB26" s="52">
        <f t="shared" si="15"/>
        <v>0</v>
      </c>
      <c r="AC26" s="52">
        <f t="shared" si="15"/>
        <v>9600</v>
      </c>
      <c r="AD26" s="52">
        <f t="shared" si="15"/>
        <v>9600</v>
      </c>
      <c r="AE26" s="52">
        <f t="shared" si="15"/>
        <v>9600</v>
      </c>
      <c r="AF26" s="52">
        <f t="shared" si="15"/>
        <v>9600</v>
      </c>
      <c r="AG26" s="52">
        <f t="shared" si="15"/>
        <v>9600</v>
      </c>
      <c r="AH26" s="52">
        <f t="shared" si="15"/>
        <v>9600</v>
      </c>
      <c r="AI26" s="104">
        <f t="shared" si="16"/>
        <v>57600</v>
      </c>
    </row>
    <row r="27" spans="1:35" s="7" customFormat="1">
      <c r="A27" s="95"/>
      <c r="B27" s="67"/>
      <c r="C27" s="250">
        <v>42370</v>
      </c>
      <c r="D27" s="421">
        <v>60000</v>
      </c>
      <c r="E27" s="140">
        <v>0.2</v>
      </c>
      <c r="F27" s="24"/>
      <c r="G27" s="68"/>
      <c r="H27" s="118" t="s">
        <v>54</v>
      </c>
      <c r="I27" s="260"/>
      <c r="J27" s="52">
        <f t="shared" si="12"/>
        <v>7200</v>
      </c>
      <c r="K27" s="52">
        <f t="shared" si="13"/>
        <v>7200</v>
      </c>
      <c r="L27" s="52">
        <f t="shared" si="13"/>
        <v>7200</v>
      </c>
      <c r="M27" s="52">
        <f t="shared" si="13"/>
        <v>7200</v>
      </c>
      <c r="N27" s="52">
        <f t="shared" si="13"/>
        <v>7200</v>
      </c>
      <c r="O27" s="52">
        <f t="shared" si="13"/>
        <v>7200</v>
      </c>
      <c r="P27" s="52">
        <f t="shared" si="13"/>
        <v>7200</v>
      </c>
      <c r="Q27" s="52">
        <f t="shared" si="13"/>
        <v>7200</v>
      </c>
      <c r="R27" s="52">
        <f t="shared" si="13"/>
        <v>7200</v>
      </c>
      <c r="S27" s="52">
        <f t="shared" si="13"/>
        <v>7200</v>
      </c>
      <c r="T27" s="52">
        <f t="shared" si="13"/>
        <v>7200</v>
      </c>
      <c r="U27" s="52">
        <f t="shared" si="13"/>
        <v>7200</v>
      </c>
      <c r="V27" s="104">
        <f t="shared" si="14"/>
        <v>86400</v>
      </c>
      <c r="W27" s="52">
        <f t="shared" si="17"/>
        <v>7200</v>
      </c>
      <c r="X27" s="52">
        <f t="shared" si="15"/>
        <v>7200</v>
      </c>
      <c r="Y27" s="52">
        <f t="shared" si="15"/>
        <v>7200</v>
      </c>
      <c r="Z27" s="52">
        <f t="shared" si="15"/>
        <v>7200</v>
      </c>
      <c r="AA27" s="52">
        <f t="shared" si="15"/>
        <v>7200</v>
      </c>
      <c r="AB27" s="52">
        <f t="shared" si="15"/>
        <v>7200</v>
      </c>
      <c r="AC27" s="52">
        <f t="shared" si="15"/>
        <v>7200</v>
      </c>
      <c r="AD27" s="52">
        <f t="shared" si="15"/>
        <v>7200</v>
      </c>
      <c r="AE27" s="52">
        <f t="shared" si="15"/>
        <v>7200</v>
      </c>
      <c r="AF27" s="52">
        <f t="shared" si="15"/>
        <v>7200</v>
      </c>
      <c r="AG27" s="52">
        <f t="shared" si="15"/>
        <v>7200</v>
      </c>
      <c r="AH27" s="52">
        <f t="shared" si="15"/>
        <v>7200</v>
      </c>
      <c r="AI27" s="104">
        <f t="shared" si="16"/>
        <v>86400</v>
      </c>
    </row>
    <row r="28" spans="1:35" s="7" customFormat="1">
      <c r="A28" s="95"/>
      <c r="B28" s="67"/>
      <c r="C28" s="250">
        <v>42736</v>
      </c>
      <c r="D28" s="421">
        <v>60000</v>
      </c>
      <c r="E28" s="140">
        <v>0.2</v>
      </c>
      <c r="F28" s="24"/>
      <c r="G28" s="68"/>
      <c r="H28" s="118" t="s">
        <v>54</v>
      </c>
      <c r="I28" s="260"/>
      <c r="J28" s="52">
        <f t="shared" si="12"/>
        <v>0</v>
      </c>
      <c r="K28" s="52">
        <f t="shared" si="13"/>
        <v>0</v>
      </c>
      <c r="L28" s="52">
        <f t="shared" si="13"/>
        <v>0</v>
      </c>
      <c r="M28" s="52">
        <f t="shared" si="13"/>
        <v>0</v>
      </c>
      <c r="N28" s="52">
        <f t="shared" si="13"/>
        <v>0</v>
      </c>
      <c r="O28" s="52">
        <f t="shared" si="13"/>
        <v>0</v>
      </c>
      <c r="P28" s="52">
        <f t="shared" si="13"/>
        <v>0</v>
      </c>
      <c r="Q28" s="52">
        <f t="shared" si="13"/>
        <v>0</v>
      </c>
      <c r="R28" s="52">
        <f t="shared" si="13"/>
        <v>0</v>
      </c>
      <c r="S28" s="52">
        <f t="shared" si="13"/>
        <v>0</v>
      </c>
      <c r="T28" s="52">
        <f t="shared" si="13"/>
        <v>0</v>
      </c>
      <c r="U28" s="52">
        <f t="shared" si="13"/>
        <v>0</v>
      </c>
      <c r="V28" s="104">
        <f t="shared" si="14"/>
        <v>0</v>
      </c>
      <c r="W28" s="52">
        <f t="shared" si="17"/>
        <v>7200</v>
      </c>
      <c r="X28" s="52">
        <f t="shared" si="15"/>
        <v>7200</v>
      </c>
      <c r="Y28" s="52">
        <f t="shared" si="15"/>
        <v>7200</v>
      </c>
      <c r="Z28" s="52">
        <f t="shared" si="15"/>
        <v>7200</v>
      </c>
      <c r="AA28" s="52">
        <f t="shared" si="15"/>
        <v>7200</v>
      </c>
      <c r="AB28" s="52">
        <f t="shared" si="15"/>
        <v>7200</v>
      </c>
      <c r="AC28" s="52">
        <f t="shared" si="15"/>
        <v>7200</v>
      </c>
      <c r="AD28" s="52">
        <f t="shared" si="15"/>
        <v>7200</v>
      </c>
      <c r="AE28" s="52">
        <f t="shared" si="15"/>
        <v>7200</v>
      </c>
      <c r="AF28" s="52">
        <f t="shared" si="15"/>
        <v>7200</v>
      </c>
      <c r="AG28" s="52">
        <f t="shared" si="15"/>
        <v>7200</v>
      </c>
      <c r="AH28" s="52">
        <f t="shared" si="15"/>
        <v>7200</v>
      </c>
      <c r="AI28" s="104">
        <f t="shared" si="16"/>
        <v>86400</v>
      </c>
    </row>
    <row r="29" spans="1:35" s="7" customFormat="1">
      <c r="A29" s="95"/>
      <c r="B29" s="67"/>
      <c r="C29" s="250">
        <v>42887</v>
      </c>
      <c r="D29" s="421">
        <v>60000</v>
      </c>
      <c r="E29" s="140">
        <v>0.2</v>
      </c>
      <c r="F29" s="24"/>
      <c r="G29" s="68"/>
      <c r="H29" s="118" t="s">
        <v>54</v>
      </c>
      <c r="I29" s="260"/>
      <c r="J29" s="52">
        <f t="shared" si="12"/>
        <v>0</v>
      </c>
      <c r="K29" s="52">
        <f t="shared" si="13"/>
        <v>0</v>
      </c>
      <c r="L29" s="52">
        <f t="shared" si="13"/>
        <v>0</v>
      </c>
      <c r="M29" s="52">
        <f t="shared" si="13"/>
        <v>0</v>
      </c>
      <c r="N29" s="52">
        <f t="shared" si="13"/>
        <v>0</v>
      </c>
      <c r="O29" s="52">
        <f t="shared" si="13"/>
        <v>0</v>
      </c>
      <c r="P29" s="52">
        <f t="shared" si="13"/>
        <v>0</v>
      </c>
      <c r="Q29" s="52">
        <f t="shared" si="13"/>
        <v>0</v>
      </c>
      <c r="R29" s="52">
        <f t="shared" si="13"/>
        <v>0</v>
      </c>
      <c r="S29" s="52">
        <f t="shared" si="13"/>
        <v>0</v>
      </c>
      <c r="T29" s="52">
        <f t="shared" si="13"/>
        <v>0</v>
      </c>
      <c r="U29" s="52">
        <f t="shared" si="13"/>
        <v>0</v>
      </c>
      <c r="V29" s="104">
        <f t="shared" ref="V29" si="18">SUM(J29:U29)</f>
        <v>0</v>
      </c>
      <c r="W29" s="52">
        <f t="shared" si="17"/>
        <v>0</v>
      </c>
      <c r="X29" s="52">
        <f t="shared" si="15"/>
        <v>0</v>
      </c>
      <c r="Y29" s="52">
        <f t="shared" si="15"/>
        <v>0</v>
      </c>
      <c r="Z29" s="52">
        <f t="shared" si="15"/>
        <v>0</v>
      </c>
      <c r="AA29" s="52">
        <f t="shared" si="15"/>
        <v>0</v>
      </c>
      <c r="AB29" s="52">
        <f t="shared" si="15"/>
        <v>7200</v>
      </c>
      <c r="AC29" s="52">
        <f t="shared" si="15"/>
        <v>7200</v>
      </c>
      <c r="AD29" s="52">
        <f t="shared" si="15"/>
        <v>7200</v>
      </c>
      <c r="AE29" s="52">
        <f t="shared" si="15"/>
        <v>7200</v>
      </c>
      <c r="AF29" s="52">
        <f t="shared" si="15"/>
        <v>7200</v>
      </c>
      <c r="AG29" s="52">
        <f t="shared" si="15"/>
        <v>7200</v>
      </c>
      <c r="AH29" s="52">
        <f t="shared" si="15"/>
        <v>7200</v>
      </c>
      <c r="AI29" s="104">
        <f t="shared" ref="AI29" si="19">SUM(W29:AH29)</f>
        <v>50400</v>
      </c>
    </row>
    <row r="30" spans="1:35" s="7" customFormat="1">
      <c r="A30" s="95"/>
      <c r="B30" s="67"/>
      <c r="C30" s="250">
        <v>42370</v>
      </c>
      <c r="D30" s="421">
        <v>70000</v>
      </c>
      <c r="E30" s="140">
        <v>0.2</v>
      </c>
      <c r="F30" s="24"/>
      <c r="G30" s="68"/>
      <c r="H30" s="118" t="s">
        <v>55</v>
      </c>
      <c r="I30" s="260"/>
      <c r="J30" s="52">
        <f t="shared" si="12"/>
        <v>8400</v>
      </c>
      <c r="K30" s="52">
        <f t="shared" si="13"/>
        <v>8400</v>
      </c>
      <c r="L30" s="52">
        <f t="shared" si="13"/>
        <v>8400</v>
      </c>
      <c r="M30" s="52">
        <f t="shared" si="13"/>
        <v>8400</v>
      </c>
      <c r="N30" s="52">
        <f t="shared" si="13"/>
        <v>8400</v>
      </c>
      <c r="O30" s="52">
        <f t="shared" si="13"/>
        <v>8400</v>
      </c>
      <c r="P30" s="52">
        <f t="shared" si="13"/>
        <v>8400</v>
      </c>
      <c r="Q30" s="52">
        <f t="shared" si="13"/>
        <v>8400</v>
      </c>
      <c r="R30" s="52">
        <f t="shared" si="13"/>
        <v>8400</v>
      </c>
      <c r="S30" s="52">
        <f t="shared" si="13"/>
        <v>8400</v>
      </c>
      <c r="T30" s="52">
        <f t="shared" si="13"/>
        <v>8400</v>
      </c>
      <c r="U30" s="52">
        <f t="shared" si="13"/>
        <v>8400</v>
      </c>
      <c r="V30" s="104">
        <f t="shared" si="14"/>
        <v>100800</v>
      </c>
      <c r="W30" s="52">
        <f t="shared" si="17"/>
        <v>8400</v>
      </c>
      <c r="X30" s="52">
        <f t="shared" si="15"/>
        <v>8400</v>
      </c>
      <c r="Y30" s="52">
        <f t="shared" si="15"/>
        <v>8400</v>
      </c>
      <c r="Z30" s="52">
        <f t="shared" si="15"/>
        <v>8400</v>
      </c>
      <c r="AA30" s="52">
        <f t="shared" si="15"/>
        <v>8400</v>
      </c>
      <c r="AB30" s="52">
        <f t="shared" si="15"/>
        <v>8400</v>
      </c>
      <c r="AC30" s="52">
        <f t="shared" si="15"/>
        <v>8400</v>
      </c>
      <c r="AD30" s="52">
        <f t="shared" si="15"/>
        <v>8400</v>
      </c>
      <c r="AE30" s="52">
        <f t="shared" si="15"/>
        <v>8400</v>
      </c>
      <c r="AF30" s="52">
        <f t="shared" si="15"/>
        <v>8400</v>
      </c>
      <c r="AG30" s="52">
        <f t="shared" si="15"/>
        <v>8400</v>
      </c>
      <c r="AH30" s="52">
        <f t="shared" si="15"/>
        <v>8400</v>
      </c>
      <c r="AI30" s="104">
        <f t="shared" si="16"/>
        <v>100800</v>
      </c>
    </row>
    <row r="31" spans="1:35" s="7" customFormat="1">
      <c r="A31" s="95"/>
      <c r="B31" s="67"/>
      <c r="C31" s="250">
        <v>42461</v>
      </c>
      <c r="D31" s="421">
        <v>70000</v>
      </c>
      <c r="E31" s="140">
        <v>0.2</v>
      </c>
      <c r="F31" s="24"/>
      <c r="G31" s="68"/>
      <c r="H31" s="118" t="s">
        <v>55</v>
      </c>
      <c r="I31" s="260"/>
      <c r="J31" s="52">
        <f t="shared" si="12"/>
        <v>0</v>
      </c>
      <c r="K31" s="52">
        <f t="shared" si="13"/>
        <v>0</v>
      </c>
      <c r="L31" s="52">
        <f t="shared" si="13"/>
        <v>0</v>
      </c>
      <c r="M31" s="52">
        <f t="shared" si="13"/>
        <v>8400</v>
      </c>
      <c r="N31" s="52">
        <f t="shared" si="13"/>
        <v>8400</v>
      </c>
      <c r="O31" s="52">
        <f t="shared" si="13"/>
        <v>8400</v>
      </c>
      <c r="P31" s="52">
        <f t="shared" si="13"/>
        <v>8400</v>
      </c>
      <c r="Q31" s="52">
        <f t="shared" si="13"/>
        <v>8400</v>
      </c>
      <c r="R31" s="52">
        <f t="shared" si="13"/>
        <v>8400</v>
      </c>
      <c r="S31" s="52">
        <f t="shared" si="13"/>
        <v>8400</v>
      </c>
      <c r="T31" s="52">
        <f t="shared" si="13"/>
        <v>8400</v>
      </c>
      <c r="U31" s="52">
        <f t="shared" si="13"/>
        <v>8400</v>
      </c>
      <c r="V31" s="104">
        <f t="shared" si="14"/>
        <v>75600</v>
      </c>
      <c r="W31" s="52">
        <f t="shared" si="17"/>
        <v>8400</v>
      </c>
      <c r="X31" s="52">
        <f t="shared" si="15"/>
        <v>8400</v>
      </c>
      <c r="Y31" s="52">
        <f t="shared" si="15"/>
        <v>8400</v>
      </c>
      <c r="Z31" s="52">
        <f t="shared" si="15"/>
        <v>8400</v>
      </c>
      <c r="AA31" s="52">
        <f t="shared" si="15"/>
        <v>8400</v>
      </c>
      <c r="AB31" s="52">
        <f t="shared" si="15"/>
        <v>8400</v>
      </c>
      <c r="AC31" s="52">
        <f t="shared" si="15"/>
        <v>8400</v>
      </c>
      <c r="AD31" s="52">
        <f t="shared" si="15"/>
        <v>8400</v>
      </c>
      <c r="AE31" s="52">
        <f t="shared" si="15"/>
        <v>8400</v>
      </c>
      <c r="AF31" s="52">
        <f t="shared" si="15"/>
        <v>8400</v>
      </c>
      <c r="AG31" s="52">
        <f t="shared" si="15"/>
        <v>8400</v>
      </c>
      <c r="AH31" s="52">
        <f t="shared" si="15"/>
        <v>8400</v>
      </c>
      <c r="AI31" s="104">
        <f t="shared" si="16"/>
        <v>100800</v>
      </c>
    </row>
    <row r="32" spans="1:35" s="7" customFormat="1">
      <c r="A32" s="95"/>
      <c r="B32" s="67"/>
      <c r="C32" s="250">
        <v>42583</v>
      </c>
      <c r="D32" s="421">
        <v>70000</v>
      </c>
      <c r="E32" s="140">
        <v>0.2</v>
      </c>
      <c r="F32" s="24"/>
      <c r="G32" s="68"/>
      <c r="H32" s="118" t="s">
        <v>55</v>
      </c>
      <c r="I32" s="260"/>
      <c r="J32" s="52">
        <f t="shared" si="12"/>
        <v>0</v>
      </c>
      <c r="K32" s="52">
        <f t="shared" si="13"/>
        <v>0</v>
      </c>
      <c r="L32" s="52">
        <f t="shared" si="13"/>
        <v>0</v>
      </c>
      <c r="M32" s="52">
        <f t="shared" si="13"/>
        <v>0</v>
      </c>
      <c r="N32" s="52">
        <f t="shared" si="13"/>
        <v>0</v>
      </c>
      <c r="O32" s="52">
        <f t="shared" si="13"/>
        <v>0</v>
      </c>
      <c r="P32" s="52">
        <f t="shared" si="13"/>
        <v>0</v>
      </c>
      <c r="Q32" s="52">
        <f t="shared" si="13"/>
        <v>8400</v>
      </c>
      <c r="R32" s="52">
        <f t="shared" si="13"/>
        <v>8400</v>
      </c>
      <c r="S32" s="52">
        <f t="shared" si="13"/>
        <v>8400</v>
      </c>
      <c r="T32" s="52">
        <f t="shared" si="13"/>
        <v>8400</v>
      </c>
      <c r="U32" s="52">
        <f t="shared" si="13"/>
        <v>8400</v>
      </c>
      <c r="V32" s="104">
        <f t="shared" si="14"/>
        <v>42000</v>
      </c>
      <c r="W32" s="52">
        <f t="shared" si="17"/>
        <v>8400</v>
      </c>
      <c r="X32" s="52">
        <f t="shared" si="15"/>
        <v>8400</v>
      </c>
      <c r="Y32" s="52">
        <f t="shared" si="15"/>
        <v>8400</v>
      </c>
      <c r="Z32" s="52">
        <f t="shared" si="15"/>
        <v>8400</v>
      </c>
      <c r="AA32" s="52">
        <f t="shared" si="15"/>
        <v>8400</v>
      </c>
      <c r="AB32" s="52">
        <f t="shared" si="15"/>
        <v>8400</v>
      </c>
      <c r="AC32" s="52">
        <f t="shared" si="15"/>
        <v>8400</v>
      </c>
      <c r="AD32" s="52">
        <f t="shared" si="15"/>
        <v>8400</v>
      </c>
      <c r="AE32" s="52">
        <f t="shared" si="15"/>
        <v>8400</v>
      </c>
      <c r="AF32" s="52">
        <f t="shared" si="15"/>
        <v>8400</v>
      </c>
      <c r="AG32" s="52">
        <f t="shared" si="15"/>
        <v>8400</v>
      </c>
      <c r="AH32" s="52">
        <f t="shared" si="15"/>
        <v>8400</v>
      </c>
      <c r="AI32" s="104">
        <f t="shared" si="16"/>
        <v>100800</v>
      </c>
    </row>
    <row r="33" spans="1:35" s="7" customFormat="1">
      <c r="A33" s="95"/>
      <c r="B33" s="67"/>
      <c r="C33" s="250">
        <v>42826</v>
      </c>
      <c r="D33" s="421">
        <v>70000</v>
      </c>
      <c r="E33" s="140">
        <v>0.2</v>
      </c>
      <c r="F33" s="24"/>
      <c r="G33" s="68"/>
      <c r="H33" s="118" t="s">
        <v>55</v>
      </c>
      <c r="I33" s="260"/>
      <c r="J33" s="52">
        <f t="shared" si="12"/>
        <v>0</v>
      </c>
      <c r="K33" s="52">
        <f t="shared" si="13"/>
        <v>0</v>
      </c>
      <c r="L33" s="52">
        <f t="shared" si="13"/>
        <v>0</v>
      </c>
      <c r="M33" s="52">
        <f t="shared" si="13"/>
        <v>0</v>
      </c>
      <c r="N33" s="52">
        <f t="shared" si="13"/>
        <v>0</v>
      </c>
      <c r="O33" s="52">
        <f t="shared" si="13"/>
        <v>0</v>
      </c>
      <c r="P33" s="52">
        <f t="shared" si="13"/>
        <v>0</v>
      </c>
      <c r="Q33" s="52">
        <f t="shared" si="13"/>
        <v>0</v>
      </c>
      <c r="R33" s="52">
        <f t="shared" si="13"/>
        <v>0</v>
      </c>
      <c r="S33" s="52">
        <f t="shared" si="13"/>
        <v>0</v>
      </c>
      <c r="T33" s="52">
        <f t="shared" si="13"/>
        <v>0</v>
      </c>
      <c r="U33" s="52">
        <f t="shared" si="13"/>
        <v>0</v>
      </c>
      <c r="V33" s="104">
        <f t="shared" ref="V33:V34" si="20">SUM(J33:U33)</f>
        <v>0</v>
      </c>
      <c r="W33" s="52">
        <f t="shared" si="17"/>
        <v>0</v>
      </c>
      <c r="X33" s="52">
        <f t="shared" si="15"/>
        <v>0</v>
      </c>
      <c r="Y33" s="52">
        <f t="shared" si="15"/>
        <v>0</v>
      </c>
      <c r="Z33" s="52">
        <f t="shared" si="15"/>
        <v>8400</v>
      </c>
      <c r="AA33" s="52">
        <f t="shared" si="15"/>
        <v>8400</v>
      </c>
      <c r="AB33" s="52">
        <f t="shared" si="15"/>
        <v>8400</v>
      </c>
      <c r="AC33" s="52">
        <f t="shared" si="15"/>
        <v>8400</v>
      </c>
      <c r="AD33" s="52">
        <f t="shared" si="15"/>
        <v>8400</v>
      </c>
      <c r="AE33" s="52">
        <f t="shared" si="15"/>
        <v>8400</v>
      </c>
      <c r="AF33" s="52">
        <f t="shared" si="15"/>
        <v>8400</v>
      </c>
      <c r="AG33" s="52">
        <f t="shared" si="15"/>
        <v>8400</v>
      </c>
      <c r="AH33" s="52">
        <f t="shared" si="15"/>
        <v>8400</v>
      </c>
      <c r="AI33" s="104">
        <f t="shared" ref="AI33:AI34" si="21">SUM(W33:AH33)</f>
        <v>75600</v>
      </c>
    </row>
    <row r="34" spans="1:35" s="7" customFormat="1">
      <c r="A34" s="95"/>
      <c r="B34" s="67"/>
      <c r="C34" s="250">
        <v>43040</v>
      </c>
      <c r="D34" s="421">
        <v>70000</v>
      </c>
      <c r="E34" s="140">
        <v>0.2</v>
      </c>
      <c r="F34" s="24"/>
      <c r="G34" s="68"/>
      <c r="H34" s="118" t="s">
        <v>55</v>
      </c>
      <c r="I34" s="260"/>
      <c r="J34" s="52">
        <f t="shared" si="12"/>
        <v>0</v>
      </c>
      <c r="K34" s="52">
        <f t="shared" si="13"/>
        <v>0</v>
      </c>
      <c r="L34" s="52">
        <f t="shared" si="13"/>
        <v>0</v>
      </c>
      <c r="M34" s="52">
        <f t="shared" si="13"/>
        <v>0</v>
      </c>
      <c r="N34" s="52">
        <f t="shared" si="13"/>
        <v>0</v>
      </c>
      <c r="O34" s="52">
        <f t="shared" si="13"/>
        <v>0</v>
      </c>
      <c r="P34" s="52">
        <f t="shared" si="13"/>
        <v>0</v>
      </c>
      <c r="Q34" s="52">
        <f t="shared" si="13"/>
        <v>0</v>
      </c>
      <c r="R34" s="52">
        <f t="shared" si="13"/>
        <v>0</v>
      </c>
      <c r="S34" s="52">
        <f t="shared" si="13"/>
        <v>0</v>
      </c>
      <c r="T34" s="52">
        <f t="shared" si="13"/>
        <v>0</v>
      </c>
      <c r="U34" s="52">
        <f t="shared" si="13"/>
        <v>0</v>
      </c>
      <c r="V34" s="104">
        <f t="shared" si="20"/>
        <v>0</v>
      </c>
      <c r="W34" s="52">
        <f t="shared" si="17"/>
        <v>0</v>
      </c>
      <c r="X34" s="52">
        <f t="shared" si="15"/>
        <v>0</v>
      </c>
      <c r="Y34" s="52">
        <f t="shared" si="15"/>
        <v>0</v>
      </c>
      <c r="Z34" s="52">
        <f t="shared" si="15"/>
        <v>0</v>
      </c>
      <c r="AA34" s="52">
        <f t="shared" si="15"/>
        <v>0</v>
      </c>
      <c r="AB34" s="52">
        <f t="shared" si="15"/>
        <v>0</v>
      </c>
      <c r="AC34" s="52">
        <f t="shared" si="15"/>
        <v>0</v>
      </c>
      <c r="AD34" s="52">
        <f t="shared" si="15"/>
        <v>0</v>
      </c>
      <c r="AE34" s="52">
        <f t="shared" si="15"/>
        <v>0</v>
      </c>
      <c r="AF34" s="52">
        <f t="shared" si="15"/>
        <v>0</v>
      </c>
      <c r="AG34" s="52">
        <f t="shared" si="15"/>
        <v>8400</v>
      </c>
      <c r="AH34" s="52">
        <f t="shared" si="15"/>
        <v>8400</v>
      </c>
      <c r="AI34" s="104">
        <f t="shared" si="21"/>
        <v>16800</v>
      </c>
    </row>
    <row r="35" spans="1:35" s="7" customFormat="1">
      <c r="A35" s="95"/>
      <c r="B35" s="67"/>
      <c r="C35" s="250">
        <v>42370</v>
      </c>
      <c r="D35" s="421">
        <v>55000</v>
      </c>
      <c r="E35" s="140">
        <v>0.2</v>
      </c>
      <c r="F35" s="24"/>
      <c r="G35" s="68"/>
      <c r="H35" s="118" t="s">
        <v>56</v>
      </c>
      <c r="I35" s="260"/>
      <c r="J35" s="52">
        <f t="shared" si="12"/>
        <v>6600</v>
      </c>
      <c r="K35" s="52">
        <f t="shared" si="13"/>
        <v>6600</v>
      </c>
      <c r="L35" s="52">
        <f t="shared" si="13"/>
        <v>6600</v>
      </c>
      <c r="M35" s="52">
        <f t="shared" si="13"/>
        <v>6600</v>
      </c>
      <c r="N35" s="52">
        <f t="shared" si="13"/>
        <v>6600</v>
      </c>
      <c r="O35" s="52">
        <f t="shared" si="13"/>
        <v>6600</v>
      </c>
      <c r="P35" s="52">
        <f t="shared" si="13"/>
        <v>6600</v>
      </c>
      <c r="Q35" s="52">
        <f t="shared" si="13"/>
        <v>6600</v>
      </c>
      <c r="R35" s="52">
        <f t="shared" si="13"/>
        <v>6600</v>
      </c>
      <c r="S35" s="52">
        <f t="shared" si="13"/>
        <v>6600</v>
      </c>
      <c r="T35" s="52">
        <f t="shared" si="13"/>
        <v>6600</v>
      </c>
      <c r="U35" s="52">
        <f t="shared" si="13"/>
        <v>6600</v>
      </c>
      <c r="V35" s="104">
        <f t="shared" si="14"/>
        <v>79200</v>
      </c>
      <c r="W35" s="52">
        <f t="shared" si="17"/>
        <v>6600</v>
      </c>
      <c r="X35" s="52">
        <f t="shared" si="15"/>
        <v>6600</v>
      </c>
      <c r="Y35" s="52">
        <f t="shared" si="15"/>
        <v>6600</v>
      </c>
      <c r="Z35" s="52">
        <f t="shared" si="15"/>
        <v>6600</v>
      </c>
      <c r="AA35" s="52">
        <f t="shared" si="15"/>
        <v>6600</v>
      </c>
      <c r="AB35" s="52">
        <f t="shared" si="15"/>
        <v>6600</v>
      </c>
      <c r="AC35" s="52">
        <f t="shared" si="15"/>
        <v>6600</v>
      </c>
      <c r="AD35" s="52">
        <f t="shared" si="15"/>
        <v>6600</v>
      </c>
      <c r="AE35" s="52">
        <f t="shared" si="15"/>
        <v>6600</v>
      </c>
      <c r="AF35" s="52">
        <f t="shared" si="15"/>
        <v>6600</v>
      </c>
      <c r="AG35" s="52">
        <f t="shared" si="15"/>
        <v>6600</v>
      </c>
      <c r="AH35" s="52">
        <f t="shared" si="15"/>
        <v>6600</v>
      </c>
      <c r="AI35" s="104">
        <f t="shared" si="16"/>
        <v>79200</v>
      </c>
    </row>
    <row r="36" spans="1:35" s="7" customFormat="1">
      <c r="A36" s="95"/>
      <c r="B36" s="67"/>
      <c r="C36" s="250">
        <v>42370</v>
      </c>
      <c r="D36" s="421">
        <v>55000</v>
      </c>
      <c r="E36" s="140">
        <v>0.2</v>
      </c>
      <c r="F36" s="24"/>
      <c r="G36" s="68"/>
      <c r="H36" s="118" t="s">
        <v>56</v>
      </c>
      <c r="I36" s="260"/>
      <c r="J36" s="52">
        <f t="shared" si="12"/>
        <v>6600</v>
      </c>
      <c r="K36" s="52">
        <f t="shared" si="13"/>
        <v>6600</v>
      </c>
      <c r="L36" s="52">
        <f t="shared" si="13"/>
        <v>6600</v>
      </c>
      <c r="M36" s="52">
        <f t="shared" si="13"/>
        <v>6600</v>
      </c>
      <c r="N36" s="52">
        <f t="shared" si="13"/>
        <v>6600</v>
      </c>
      <c r="O36" s="52">
        <f t="shared" si="13"/>
        <v>6600</v>
      </c>
      <c r="P36" s="52">
        <f t="shared" si="13"/>
        <v>6600</v>
      </c>
      <c r="Q36" s="52">
        <f t="shared" si="13"/>
        <v>6600</v>
      </c>
      <c r="R36" s="52">
        <f t="shared" si="13"/>
        <v>6600</v>
      </c>
      <c r="S36" s="52">
        <f t="shared" si="13"/>
        <v>6600</v>
      </c>
      <c r="T36" s="52">
        <f t="shared" si="13"/>
        <v>6600</v>
      </c>
      <c r="U36" s="52">
        <f t="shared" si="13"/>
        <v>6600</v>
      </c>
      <c r="V36" s="104">
        <f t="shared" si="14"/>
        <v>79200</v>
      </c>
      <c r="W36" s="52">
        <f t="shared" si="17"/>
        <v>6600</v>
      </c>
      <c r="X36" s="52">
        <f t="shared" si="15"/>
        <v>6600</v>
      </c>
      <c r="Y36" s="52">
        <f t="shared" si="15"/>
        <v>6600</v>
      </c>
      <c r="Z36" s="52">
        <f t="shared" si="15"/>
        <v>6600</v>
      </c>
      <c r="AA36" s="52">
        <f t="shared" si="15"/>
        <v>6600</v>
      </c>
      <c r="AB36" s="52">
        <f t="shared" si="15"/>
        <v>6600</v>
      </c>
      <c r="AC36" s="52">
        <f t="shared" si="15"/>
        <v>6600</v>
      </c>
      <c r="AD36" s="52">
        <f t="shared" si="15"/>
        <v>6600</v>
      </c>
      <c r="AE36" s="52">
        <f t="shared" si="15"/>
        <v>6600</v>
      </c>
      <c r="AF36" s="52">
        <f t="shared" si="15"/>
        <v>6600</v>
      </c>
      <c r="AG36" s="52">
        <f t="shared" si="15"/>
        <v>6600</v>
      </c>
      <c r="AH36" s="52">
        <f t="shared" si="15"/>
        <v>6600</v>
      </c>
      <c r="AI36" s="104">
        <f t="shared" si="16"/>
        <v>79200</v>
      </c>
    </row>
    <row r="37" spans="1:35" s="7" customFormat="1">
      <c r="A37" s="95"/>
      <c r="B37" s="67"/>
      <c r="C37" s="250">
        <v>42430</v>
      </c>
      <c r="D37" s="421">
        <v>55000</v>
      </c>
      <c r="E37" s="140">
        <v>0.2</v>
      </c>
      <c r="F37" s="24"/>
      <c r="G37" s="68"/>
      <c r="H37" s="118" t="s">
        <v>56</v>
      </c>
      <c r="I37" s="260"/>
      <c r="J37" s="52">
        <f t="shared" si="12"/>
        <v>0</v>
      </c>
      <c r="K37" s="52">
        <f t="shared" si="13"/>
        <v>0</v>
      </c>
      <c r="L37" s="52">
        <f t="shared" si="13"/>
        <v>6600</v>
      </c>
      <c r="M37" s="52">
        <f t="shared" si="13"/>
        <v>6600</v>
      </c>
      <c r="N37" s="52">
        <f t="shared" si="13"/>
        <v>6600</v>
      </c>
      <c r="O37" s="52">
        <f t="shared" si="13"/>
        <v>6600</v>
      </c>
      <c r="P37" s="52">
        <f t="shared" si="13"/>
        <v>6600</v>
      </c>
      <c r="Q37" s="52">
        <f t="shared" si="13"/>
        <v>6600</v>
      </c>
      <c r="R37" s="52">
        <f t="shared" si="13"/>
        <v>6600</v>
      </c>
      <c r="S37" s="52">
        <f t="shared" si="13"/>
        <v>6600</v>
      </c>
      <c r="T37" s="52">
        <f t="shared" si="13"/>
        <v>6600</v>
      </c>
      <c r="U37" s="52">
        <f t="shared" si="13"/>
        <v>6600</v>
      </c>
      <c r="V37" s="104">
        <f t="shared" si="14"/>
        <v>66000</v>
      </c>
      <c r="W37" s="52">
        <f t="shared" si="17"/>
        <v>6600</v>
      </c>
      <c r="X37" s="52">
        <f t="shared" si="15"/>
        <v>6600</v>
      </c>
      <c r="Y37" s="52">
        <f t="shared" si="15"/>
        <v>6600</v>
      </c>
      <c r="Z37" s="52">
        <f t="shared" si="15"/>
        <v>6600</v>
      </c>
      <c r="AA37" s="52">
        <f t="shared" si="15"/>
        <v>6600</v>
      </c>
      <c r="AB37" s="52">
        <f t="shared" si="15"/>
        <v>6600</v>
      </c>
      <c r="AC37" s="52">
        <f t="shared" si="15"/>
        <v>6600</v>
      </c>
      <c r="AD37" s="52">
        <f t="shared" si="15"/>
        <v>6600</v>
      </c>
      <c r="AE37" s="52">
        <f t="shared" si="15"/>
        <v>6600</v>
      </c>
      <c r="AF37" s="52">
        <f t="shared" si="15"/>
        <v>6600</v>
      </c>
      <c r="AG37" s="52">
        <f t="shared" si="15"/>
        <v>6600</v>
      </c>
      <c r="AH37" s="52">
        <f t="shared" si="15"/>
        <v>6600</v>
      </c>
      <c r="AI37" s="104">
        <f t="shared" si="16"/>
        <v>79200</v>
      </c>
    </row>
    <row r="38" spans="1:35" s="7" customFormat="1">
      <c r="A38" s="95"/>
      <c r="B38" s="67"/>
      <c r="C38" s="250">
        <v>42491</v>
      </c>
      <c r="D38" s="421">
        <v>55000</v>
      </c>
      <c r="E38" s="140">
        <v>0.2</v>
      </c>
      <c r="F38" s="24"/>
      <c r="G38" s="68"/>
      <c r="H38" s="118" t="s">
        <v>56</v>
      </c>
      <c r="I38" s="260"/>
      <c r="J38" s="52">
        <f t="shared" si="12"/>
        <v>0</v>
      </c>
      <c r="K38" s="52">
        <f t="shared" si="13"/>
        <v>0</v>
      </c>
      <c r="L38" s="52">
        <f t="shared" si="13"/>
        <v>0</v>
      </c>
      <c r="M38" s="52">
        <f t="shared" si="13"/>
        <v>0</v>
      </c>
      <c r="N38" s="52">
        <f t="shared" si="13"/>
        <v>6600</v>
      </c>
      <c r="O38" s="52">
        <f t="shared" si="13"/>
        <v>6600</v>
      </c>
      <c r="P38" s="52">
        <f t="shared" si="13"/>
        <v>6600</v>
      </c>
      <c r="Q38" s="52">
        <f t="shared" si="13"/>
        <v>6600</v>
      </c>
      <c r="R38" s="52">
        <f t="shared" si="13"/>
        <v>6600</v>
      </c>
      <c r="S38" s="52">
        <f t="shared" si="13"/>
        <v>6600</v>
      </c>
      <c r="T38" s="52">
        <f t="shared" si="13"/>
        <v>6600</v>
      </c>
      <c r="U38" s="52">
        <f t="shared" si="13"/>
        <v>6600</v>
      </c>
      <c r="V38" s="104">
        <f t="shared" si="14"/>
        <v>52800</v>
      </c>
      <c r="W38" s="52">
        <f t="shared" si="17"/>
        <v>6600</v>
      </c>
      <c r="X38" s="52">
        <f t="shared" si="15"/>
        <v>6600</v>
      </c>
      <c r="Y38" s="52">
        <f t="shared" si="15"/>
        <v>6600</v>
      </c>
      <c r="Z38" s="52">
        <f t="shared" si="15"/>
        <v>6600</v>
      </c>
      <c r="AA38" s="52">
        <f t="shared" si="15"/>
        <v>6600</v>
      </c>
      <c r="AB38" s="52">
        <f t="shared" si="15"/>
        <v>6600</v>
      </c>
      <c r="AC38" s="52">
        <f t="shared" si="15"/>
        <v>6600</v>
      </c>
      <c r="AD38" s="52">
        <f t="shared" si="15"/>
        <v>6600</v>
      </c>
      <c r="AE38" s="52">
        <f t="shared" si="15"/>
        <v>6600</v>
      </c>
      <c r="AF38" s="52">
        <f t="shared" si="15"/>
        <v>6600</v>
      </c>
      <c r="AG38" s="52">
        <f t="shared" si="15"/>
        <v>6600</v>
      </c>
      <c r="AH38" s="52">
        <f t="shared" si="15"/>
        <v>6600</v>
      </c>
      <c r="AI38" s="104">
        <f t="shared" si="16"/>
        <v>79200</v>
      </c>
    </row>
    <row r="39" spans="1:35" s="7" customFormat="1">
      <c r="A39" s="95"/>
      <c r="B39" s="67"/>
      <c r="C39" s="250">
        <v>42552</v>
      </c>
      <c r="D39" s="421">
        <v>55000</v>
      </c>
      <c r="E39" s="140">
        <v>0.2</v>
      </c>
      <c r="F39" s="24"/>
      <c r="G39" s="68"/>
      <c r="H39" s="118" t="s">
        <v>56</v>
      </c>
      <c r="I39" s="260"/>
      <c r="J39" s="52">
        <f t="shared" si="12"/>
        <v>0</v>
      </c>
      <c r="K39" s="52">
        <f t="shared" si="13"/>
        <v>0</v>
      </c>
      <c r="L39" s="52">
        <f t="shared" si="13"/>
        <v>0</v>
      </c>
      <c r="M39" s="52">
        <f t="shared" si="13"/>
        <v>0</v>
      </c>
      <c r="N39" s="52">
        <f t="shared" si="13"/>
        <v>0</v>
      </c>
      <c r="O39" s="52">
        <f t="shared" si="13"/>
        <v>0</v>
      </c>
      <c r="P39" s="52">
        <f t="shared" si="13"/>
        <v>6600</v>
      </c>
      <c r="Q39" s="52">
        <f t="shared" si="13"/>
        <v>6600</v>
      </c>
      <c r="R39" s="52">
        <f t="shared" si="13"/>
        <v>6600</v>
      </c>
      <c r="S39" s="52">
        <f t="shared" si="13"/>
        <v>6600</v>
      </c>
      <c r="T39" s="52">
        <f t="shared" si="13"/>
        <v>6600</v>
      </c>
      <c r="U39" s="52">
        <f t="shared" si="13"/>
        <v>6600</v>
      </c>
      <c r="V39" s="104">
        <f t="shared" si="14"/>
        <v>39600</v>
      </c>
      <c r="W39" s="52">
        <f t="shared" si="17"/>
        <v>6600</v>
      </c>
      <c r="X39" s="52">
        <f t="shared" si="15"/>
        <v>6600</v>
      </c>
      <c r="Y39" s="52">
        <f t="shared" si="15"/>
        <v>6600</v>
      </c>
      <c r="Z39" s="52">
        <f t="shared" si="15"/>
        <v>6600</v>
      </c>
      <c r="AA39" s="52">
        <f t="shared" si="15"/>
        <v>6600</v>
      </c>
      <c r="AB39" s="52">
        <f t="shared" si="15"/>
        <v>6600</v>
      </c>
      <c r="AC39" s="52">
        <f t="shared" si="15"/>
        <v>6600</v>
      </c>
      <c r="AD39" s="52">
        <f t="shared" si="15"/>
        <v>6600</v>
      </c>
      <c r="AE39" s="52">
        <f t="shared" si="15"/>
        <v>6600</v>
      </c>
      <c r="AF39" s="52">
        <f t="shared" si="15"/>
        <v>6600</v>
      </c>
      <c r="AG39" s="52">
        <f t="shared" si="15"/>
        <v>6600</v>
      </c>
      <c r="AH39" s="52">
        <f t="shared" si="15"/>
        <v>6600</v>
      </c>
      <c r="AI39" s="104">
        <f t="shared" si="16"/>
        <v>79200</v>
      </c>
    </row>
    <row r="40" spans="1:35" s="7" customFormat="1">
      <c r="A40" s="95"/>
      <c r="B40" s="67"/>
      <c r="C40" s="250">
        <v>42614</v>
      </c>
      <c r="D40" s="421">
        <v>55000</v>
      </c>
      <c r="E40" s="140">
        <v>0.2</v>
      </c>
      <c r="F40" s="24"/>
      <c r="G40" s="68"/>
      <c r="H40" s="118" t="s">
        <v>56</v>
      </c>
      <c r="I40" s="260"/>
      <c r="J40" s="52">
        <f t="shared" si="12"/>
        <v>0</v>
      </c>
      <c r="K40" s="52">
        <f t="shared" si="13"/>
        <v>0</v>
      </c>
      <c r="L40" s="52">
        <f t="shared" si="13"/>
        <v>0</v>
      </c>
      <c r="M40" s="52">
        <f t="shared" si="13"/>
        <v>0</v>
      </c>
      <c r="N40" s="52">
        <f t="shared" si="13"/>
        <v>0</v>
      </c>
      <c r="O40" s="52">
        <f t="shared" si="13"/>
        <v>0</v>
      </c>
      <c r="P40" s="52">
        <f t="shared" si="13"/>
        <v>0</v>
      </c>
      <c r="Q40" s="52">
        <f t="shared" si="13"/>
        <v>0</v>
      </c>
      <c r="R40" s="52">
        <f t="shared" si="13"/>
        <v>6600</v>
      </c>
      <c r="S40" s="52">
        <f t="shared" si="13"/>
        <v>6600</v>
      </c>
      <c r="T40" s="52">
        <f t="shared" si="13"/>
        <v>6600</v>
      </c>
      <c r="U40" s="52">
        <f t="shared" si="13"/>
        <v>6600</v>
      </c>
      <c r="V40" s="104">
        <f t="shared" si="14"/>
        <v>26400</v>
      </c>
      <c r="W40" s="52">
        <f t="shared" si="17"/>
        <v>6600</v>
      </c>
      <c r="X40" s="52">
        <f t="shared" si="15"/>
        <v>6600</v>
      </c>
      <c r="Y40" s="52">
        <f t="shared" si="15"/>
        <v>6600</v>
      </c>
      <c r="Z40" s="52">
        <f t="shared" si="15"/>
        <v>6600</v>
      </c>
      <c r="AA40" s="52">
        <f t="shared" si="15"/>
        <v>6600</v>
      </c>
      <c r="AB40" s="52">
        <f t="shared" si="15"/>
        <v>6600</v>
      </c>
      <c r="AC40" s="52">
        <f t="shared" si="15"/>
        <v>6600</v>
      </c>
      <c r="AD40" s="52">
        <f t="shared" si="15"/>
        <v>6600</v>
      </c>
      <c r="AE40" s="52">
        <f t="shared" si="15"/>
        <v>6600</v>
      </c>
      <c r="AF40" s="52">
        <f t="shared" si="15"/>
        <v>6600</v>
      </c>
      <c r="AG40" s="52">
        <f t="shared" si="15"/>
        <v>6600</v>
      </c>
      <c r="AH40" s="52">
        <f t="shared" si="15"/>
        <v>6600</v>
      </c>
      <c r="AI40" s="104">
        <f t="shared" si="16"/>
        <v>79200</v>
      </c>
    </row>
    <row r="41" spans="1:35" s="7" customFormat="1">
      <c r="A41" s="95"/>
      <c r="B41" s="67"/>
      <c r="C41" s="250">
        <v>42675</v>
      </c>
      <c r="D41" s="421">
        <v>55000</v>
      </c>
      <c r="E41" s="140">
        <v>0.2</v>
      </c>
      <c r="F41" s="24"/>
      <c r="G41" s="68"/>
      <c r="H41" s="118" t="s">
        <v>56</v>
      </c>
      <c r="I41" s="260"/>
      <c r="J41" s="52">
        <f t="shared" si="12"/>
        <v>0</v>
      </c>
      <c r="K41" s="52">
        <f t="shared" si="13"/>
        <v>0</v>
      </c>
      <c r="L41" s="52">
        <f t="shared" si="13"/>
        <v>0</v>
      </c>
      <c r="M41" s="52">
        <f t="shared" si="13"/>
        <v>0</v>
      </c>
      <c r="N41" s="52">
        <f t="shared" si="13"/>
        <v>0</v>
      </c>
      <c r="O41" s="52">
        <f t="shared" si="13"/>
        <v>0</v>
      </c>
      <c r="P41" s="52">
        <f t="shared" si="13"/>
        <v>0</v>
      </c>
      <c r="Q41" s="52">
        <f t="shared" si="13"/>
        <v>0</v>
      </c>
      <c r="R41" s="52">
        <f t="shared" si="13"/>
        <v>0</v>
      </c>
      <c r="S41" s="52">
        <f t="shared" si="13"/>
        <v>0</v>
      </c>
      <c r="T41" s="52">
        <f t="shared" si="13"/>
        <v>6600</v>
      </c>
      <c r="U41" s="52">
        <f t="shared" si="13"/>
        <v>6600</v>
      </c>
      <c r="V41" s="104">
        <f t="shared" ref="V41:V47" si="22">SUM(J41:U41)</f>
        <v>13200</v>
      </c>
      <c r="W41" s="52">
        <f t="shared" si="17"/>
        <v>6600</v>
      </c>
      <c r="X41" s="52">
        <f t="shared" si="15"/>
        <v>6600</v>
      </c>
      <c r="Y41" s="52">
        <f t="shared" si="15"/>
        <v>6600</v>
      </c>
      <c r="Z41" s="52">
        <f t="shared" si="15"/>
        <v>6600</v>
      </c>
      <c r="AA41" s="52">
        <f t="shared" si="15"/>
        <v>6600</v>
      </c>
      <c r="AB41" s="52">
        <f t="shared" si="15"/>
        <v>6600</v>
      </c>
      <c r="AC41" s="52">
        <f t="shared" si="15"/>
        <v>6600</v>
      </c>
      <c r="AD41" s="52">
        <f t="shared" si="15"/>
        <v>6600</v>
      </c>
      <c r="AE41" s="52">
        <f t="shared" si="15"/>
        <v>6600</v>
      </c>
      <c r="AF41" s="52">
        <f t="shared" si="15"/>
        <v>6600</v>
      </c>
      <c r="AG41" s="52">
        <f t="shared" si="15"/>
        <v>6600</v>
      </c>
      <c r="AH41" s="52">
        <f t="shared" si="15"/>
        <v>6600</v>
      </c>
      <c r="AI41" s="104">
        <f t="shared" ref="AI41:AI47" si="23">SUM(W41:AH41)</f>
        <v>79200</v>
      </c>
    </row>
    <row r="42" spans="1:35" s="7" customFormat="1">
      <c r="A42" s="95"/>
      <c r="B42" s="67"/>
      <c r="C42" s="250">
        <v>42736</v>
      </c>
      <c r="D42" s="421">
        <v>55000</v>
      </c>
      <c r="E42" s="140">
        <v>0.2</v>
      </c>
      <c r="F42" s="24"/>
      <c r="G42" s="68"/>
      <c r="H42" s="118" t="s">
        <v>56</v>
      </c>
      <c r="I42" s="260"/>
      <c r="J42" s="52">
        <f t="shared" si="12"/>
        <v>0</v>
      </c>
      <c r="K42" s="52">
        <f t="shared" si="13"/>
        <v>0</v>
      </c>
      <c r="L42" s="52">
        <f t="shared" si="13"/>
        <v>0</v>
      </c>
      <c r="M42" s="52">
        <f t="shared" si="13"/>
        <v>0</v>
      </c>
      <c r="N42" s="52">
        <f t="shared" si="13"/>
        <v>0</v>
      </c>
      <c r="O42" s="52">
        <f t="shared" si="13"/>
        <v>0</v>
      </c>
      <c r="P42" s="52">
        <f t="shared" si="13"/>
        <v>0</v>
      </c>
      <c r="Q42" s="52">
        <f t="shared" si="13"/>
        <v>0</v>
      </c>
      <c r="R42" s="52">
        <f t="shared" si="13"/>
        <v>0</v>
      </c>
      <c r="S42" s="52">
        <f t="shared" si="13"/>
        <v>0</v>
      </c>
      <c r="T42" s="52">
        <f t="shared" si="13"/>
        <v>0</v>
      </c>
      <c r="U42" s="52">
        <f t="shared" si="13"/>
        <v>0</v>
      </c>
      <c r="V42" s="104">
        <f t="shared" si="22"/>
        <v>0</v>
      </c>
      <c r="W42" s="52">
        <f t="shared" si="17"/>
        <v>6600</v>
      </c>
      <c r="X42" s="52">
        <f t="shared" si="15"/>
        <v>6600</v>
      </c>
      <c r="Y42" s="52">
        <f t="shared" si="15"/>
        <v>6600</v>
      </c>
      <c r="Z42" s="52">
        <f t="shared" si="15"/>
        <v>6600</v>
      </c>
      <c r="AA42" s="52">
        <f t="shared" si="15"/>
        <v>6600</v>
      </c>
      <c r="AB42" s="52">
        <f t="shared" si="15"/>
        <v>6600</v>
      </c>
      <c r="AC42" s="52">
        <f t="shared" si="15"/>
        <v>6600</v>
      </c>
      <c r="AD42" s="52">
        <f t="shared" si="15"/>
        <v>6600</v>
      </c>
      <c r="AE42" s="52">
        <f t="shared" si="15"/>
        <v>6600</v>
      </c>
      <c r="AF42" s="52">
        <f t="shared" si="15"/>
        <v>6600</v>
      </c>
      <c r="AG42" s="52">
        <f t="shared" si="15"/>
        <v>6600</v>
      </c>
      <c r="AH42" s="52">
        <f t="shared" si="15"/>
        <v>6600</v>
      </c>
      <c r="AI42" s="104">
        <f t="shared" si="23"/>
        <v>79200</v>
      </c>
    </row>
    <row r="43" spans="1:35" s="7" customFormat="1">
      <c r="A43" s="95"/>
      <c r="B43" s="67"/>
      <c r="C43" s="250">
        <v>42795</v>
      </c>
      <c r="D43" s="421">
        <v>55000</v>
      </c>
      <c r="E43" s="140">
        <v>0.2</v>
      </c>
      <c r="F43" s="24"/>
      <c r="G43" s="68"/>
      <c r="H43" s="118" t="s">
        <v>56</v>
      </c>
      <c r="I43" s="260"/>
      <c r="J43" s="52">
        <f t="shared" si="12"/>
        <v>0</v>
      </c>
      <c r="K43" s="52">
        <f t="shared" si="13"/>
        <v>0</v>
      </c>
      <c r="L43" s="52">
        <f t="shared" si="13"/>
        <v>0</v>
      </c>
      <c r="M43" s="52">
        <f t="shared" si="13"/>
        <v>0</v>
      </c>
      <c r="N43" s="52">
        <f t="shared" si="13"/>
        <v>0</v>
      </c>
      <c r="O43" s="52">
        <f t="shared" si="13"/>
        <v>0</v>
      </c>
      <c r="P43" s="52">
        <f t="shared" si="13"/>
        <v>0</v>
      </c>
      <c r="Q43" s="52">
        <f t="shared" si="13"/>
        <v>0</v>
      </c>
      <c r="R43" s="52">
        <f t="shared" si="13"/>
        <v>0</v>
      </c>
      <c r="S43" s="52">
        <f t="shared" si="13"/>
        <v>0</v>
      </c>
      <c r="T43" s="52">
        <f t="shared" si="13"/>
        <v>0</v>
      </c>
      <c r="U43" s="52">
        <f t="shared" si="13"/>
        <v>0</v>
      </c>
      <c r="V43" s="104">
        <f t="shared" si="22"/>
        <v>0</v>
      </c>
      <c r="W43" s="52">
        <f t="shared" si="17"/>
        <v>0</v>
      </c>
      <c r="X43" s="52">
        <f t="shared" si="15"/>
        <v>0</v>
      </c>
      <c r="Y43" s="52">
        <f t="shared" si="15"/>
        <v>6600</v>
      </c>
      <c r="Z43" s="52">
        <f t="shared" si="15"/>
        <v>6600</v>
      </c>
      <c r="AA43" s="52">
        <f t="shared" si="15"/>
        <v>6600</v>
      </c>
      <c r="AB43" s="52">
        <f t="shared" si="15"/>
        <v>6600</v>
      </c>
      <c r="AC43" s="52">
        <f t="shared" si="15"/>
        <v>6600</v>
      </c>
      <c r="AD43" s="52">
        <f t="shared" si="15"/>
        <v>6600</v>
      </c>
      <c r="AE43" s="52">
        <f t="shared" si="15"/>
        <v>6600</v>
      </c>
      <c r="AF43" s="52">
        <f t="shared" si="15"/>
        <v>6600</v>
      </c>
      <c r="AG43" s="52">
        <f t="shared" si="15"/>
        <v>6600</v>
      </c>
      <c r="AH43" s="52">
        <f t="shared" si="15"/>
        <v>6600</v>
      </c>
      <c r="AI43" s="104">
        <f t="shared" si="23"/>
        <v>66000</v>
      </c>
    </row>
    <row r="44" spans="1:35" s="7" customFormat="1">
      <c r="A44" s="95"/>
      <c r="B44" s="67"/>
      <c r="C44" s="250">
        <v>42856</v>
      </c>
      <c r="D44" s="421">
        <v>55000</v>
      </c>
      <c r="E44" s="140">
        <v>0.2</v>
      </c>
      <c r="F44" s="24"/>
      <c r="G44" s="68"/>
      <c r="H44" s="118" t="s">
        <v>56</v>
      </c>
      <c r="I44" s="260"/>
      <c r="J44" s="52">
        <f t="shared" si="12"/>
        <v>0</v>
      </c>
      <c r="K44" s="52">
        <f t="shared" si="13"/>
        <v>0</v>
      </c>
      <c r="L44" s="52">
        <f t="shared" si="13"/>
        <v>0</v>
      </c>
      <c r="M44" s="52">
        <f t="shared" ref="M44:U47" si="24">IF(M$2&gt;=$C44,(($D44*(1+$E44))*(1+$E$4))/12,0)</f>
        <v>0</v>
      </c>
      <c r="N44" s="52">
        <f t="shared" si="24"/>
        <v>0</v>
      </c>
      <c r="O44" s="52">
        <f t="shared" si="24"/>
        <v>0</v>
      </c>
      <c r="P44" s="52">
        <f t="shared" si="24"/>
        <v>0</v>
      </c>
      <c r="Q44" s="52">
        <f t="shared" si="24"/>
        <v>0</v>
      </c>
      <c r="R44" s="52">
        <f t="shared" si="24"/>
        <v>0</v>
      </c>
      <c r="S44" s="52">
        <f t="shared" si="24"/>
        <v>0</v>
      </c>
      <c r="T44" s="52">
        <f t="shared" si="24"/>
        <v>0</v>
      </c>
      <c r="U44" s="52">
        <f t="shared" si="24"/>
        <v>0</v>
      </c>
      <c r="V44" s="104">
        <f t="shared" si="22"/>
        <v>0</v>
      </c>
      <c r="W44" s="52">
        <f t="shared" si="17"/>
        <v>0</v>
      </c>
      <c r="X44" s="52">
        <f t="shared" si="15"/>
        <v>0</v>
      </c>
      <c r="Y44" s="52">
        <f t="shared" si="15"/>
        <v>0</v>
      </c>
      <c r="Z44" s="52">
        <f t="shared" ref="Z44:AH47" si="25">IF(Z$2&gt;=$C44,(($D44*(1+$E44))*(1+$E$4))/12,0)</f>
        <v>0</v>
      </c>
      <c r="AA44" s="52">
        <f t="shared" si="25"/>
        <v>6600</v>
      </c>
      <c r="AB44" s="52">
        <f t="shared" si="25"/>
        <v>6600</v>
      </c>
      <c r="AC44" s="52">
        <f t="shared" si="25"/>
        <v>6600</v>
      </c>
      <c r="AD44" s="52">
        <f t="shared" si="25"/>
        <v>6600</v>
      </c>
      <c r="AE44" s="52">
        <f t="shared" si="25"/>
        <v>6600</v>
      </c>
      <c r="AF44" s="52">
        <f t="shared" si="25"/>
        <v>6600</v>
      </c>
      <c r="AG44" s="52">
        <f t="shared" si="25"/>
        <v>6600</v>
      </c>
      <c r="AH44" s="52">
        <f t="shared" si="25"/>
        <v>6600</v>
      </c>
      <c r="AI44" s="104">
        <f t="shared" si="23"/>
        <v>52800</v>
      </c>
    </row>
    <row r="45" spans="1:35" s="7" customFormat="1">
      <c r="A45" s="95"/>
      <c r="B45" s="67"/>
      <c r="C45" s="250">
        <v>42430</v>
      </c>
      <c r="D45" s="421">
        <v>55000</v>
      </c>
      <c r="E45" s="140">
        <v>0.2</v>
      </c>
      <c r="F45" s="24"/>
      <c r="G45" s="68"/>
      <c r="H45" s="118" t="s">
        <v>186</v>
      </c>
      <c r="I45" s="260"/>
      <c r="J45" s="52">
        <f t="shared" ref="J45:L47" si="26">IF(J$2&gt;=$C45,(($D45*(1+$E45))*(1+$E$4))/12,0)</f>
        <v>0</v>
      </c>
      <c r="K45" s="52">
        <f t="shared" si="26"/>
        <v>0</v>
      </c>
      <c r="L45" s="52">
        <f t="shared" si="26"/>
        <v>6600</v>
      </c>
      <c r="M45" s="52">
        <f t="shared" si="24"/>
        <v>6600</v>
      </c>
      <c r="N45" s="52">
        <f t="shared" si="24"/>
        <v>6600</v>
      </c>
      <c r="O45" s="52">
        <f t="shared" si="24"/>
        <v>6600</v>
      </c>
      <c r="P45" s="52">
        <f t="shared" si="24"/>
        <v>6600</v>
      </c>
      <c r="Q45" s="52">
        <f t="shared" si="24"/>
        <v>6600</v>
      </c>
      <c r="R45" s="52">
        <f t="shared" si="24"/>
        <v>6600</v>
      </c>
      <c r="S45" s="52">
        <f t="shared" si="24"/>
        <v>6600</v>
      </c>
      <c r="T45" s="52">
        <f t="shared" si="24"/>
        <v>6600</v>
      </c>
      <c r="U45" s="52">
        <f t="shared" si="24"/>
        <v>6600</v>
      </c>
      <c r="V45" s="104">
        <f t="shared" si="22"/>
        <v>66000</v>
      </c>
      <c r="W45" s="52">
        <f t="shared" si="17"/>
        <v>6600</v>
      </c>
      <c r="X45" s="52">
        <f t="shared" si="17"/>
        <v>6600</v>
      </c>
      <c r="Y45" s="52">
        <f t="shared" si="17"/>
        <v>6600</v>
      </c>
      <c r="Z45" s="52">
        <f t="shared" si="25"/>
        <v>6600</v>
      </c>
      <c r="AA45" s="52">
        <f t="shared" si="25"/>
        <v>6600</v>
      </c>
      <c r="AB45" s="52">
        <f t="shared" si="25"/>
        <v>6600</v>
      </c>
      <c r="AC45" s="52">
        <f t="shared" si="25"/>
        <v>6600</v>
      </c>
      <c r="AD45" s="52">
        <f t="shared" si="25"/>
        <v>6600</v>
      </c>
      <c r="AE45" s="52">
        <f t="shared" si="25"/>
        <v>6600</v>
      </c>
      <c r="AF45" s="52">
        <f t="shared" si="25"/>
        <v>6600</v>
      </c>
      <c r="AG45" s="52">
        <f t="shared" si="25"/>
        <v>6600</v>
      </c>
      <c r="AH45" s="52">
        <f t="shared" si="25"/>
        <v>6600</v>
      </c>
      <c r="AI45" s="104">
        <f t="shared" si="23"/>
        <v>79200</v>
      </c>
    </row>
    <row r="46" spans="1:35" s="7" customFormat="1">
      <c r="A46" s="95"/>
      <c r="B46" s="67"/>
      <c r="C46" s="250">
        <v>42705</v>
      </c>
      <c r="D46" s="421">
        <v>55000</v>
      </c>
      <c r="E46" s="140">
        <v>0.2</v>
      </c>
      <c r="F46" s="24"/>
      <c r="G46" s="68"/>
      <c r="H46" s="118" t="s">
        <v>186</v>
      </c>
      <c r="I46" s="260"/>
      <c r="J46" s="52">
        <f t="shared" si="26"/>
        <v>0</v>
      </c>
      <c r="K46" s="52">
        <f t="shared" si="26"/>
        <v>0</v>
      </c>
      <c r="L46" s="52">
        <f t="shared" si="26"/>
        <v>0</v>
      </c>
      <c r="M46" s="52">
        <f t="shared" si="24"/>
        <v>0</v>
      </c>
      <c r="N46" s="52">
        <f t="shared" si="24"/>
        <v>0</v>
      </c>
      <c r="O46" s="52">
        <f t="shared" si="24"/>
        <v>0</v>
      </c>
      <c r="P46" s="52">
        <f t="shared" si="24"/>
        <v>0</v>
      </c>
      <c r="Q46" s="52">
        <f t="shared" si="24"/>
        <v>0</v>
      </c>
      <c r="R46" s="52">
        <f t="shared" si="24"/>
        <v>0</v>
      </c>
      <c r="S46" s="52">
        <f t="shared" si="24"/>
        <v>0</v>
      </c>
      <c r="T46" s="52">
        <f t="shared" si="24"/>
        <v>0</v>
      </c>
      <c r="U46" s="52">
        <f t="shared" si="24"/>
        <v>6600</v>
      </c>
      <c r="V46" s="104">
        <f t="shared" si="22"/>
        <v>6600</v>
      </c>
      <c r="W46" s="52">
        <f t="shared" si="17"/>
        <v>6600</v>
      </c>
      <c r="X46" s="52">
        <f t="shared" si="17"/>
        <v>6600</v>
      </c>
      <c r="Y46" s="52">
        <f t="shared" si="17"/>
        <v>6600</v>
      </c>
      <c r="Z46" s="52">
        <f t="shared" si="25"/>
        <v>6600</v>
      </c>
      <c r="AA46" s="52">
        <f t="shared" si="25"/>
        <v>6600</v>
      </c>
      <c r="AB46" s="52">
        <f t="shared" si="25"/>
        <v>6600</v>
      </c>
      <c r="AC46" s="52">
        <f t="shared" si="25"/>
        <v>6600</v>
      </c>
      <c r="AD46" s="52">
        <f t="shared" si="25"/>
        <v>6600</v>
      </c>
      <c r="AE46" s="52">
        <f t="shared" si="25"/>
        <v>6600</v>
      </c>
      <c r="AF46" s="52">
        <f t="shared" si="25"/>
        <v>6600</v>
      </c>
      <c r="AG46" s="52">
        <f t="shared" si="25"/>
        <v>6600</v>
      </c>
      <c r="AH46" s="52">
        <f t="shared" si="25"/>
        <v>6600</v>
      </c>
      <c r="AI46" s="104">
        <f t="shared" si="23"/>
        <v>79200</v>
      </c>
    </row>
    <row r="47" spans="1:35" s="7" customFormat="1">
      <c r="A47" s="95"/>
      <c r="B47" s="67"/>
      <c r="C47" s="250">
        <v>42887</v>
      </c>
      <c r="D47" s="421">
        <v>55000</v>
      </c>
      <c r="E47" s="140">
        <v>0.2</v>
      </c>
      <c r="F47" s="24"/>
      <c r="G47" s="68"/>
      <c r="H47" s="118" t="s">
        <v>186</v>
      </c>
      <c r="I47" s="260"/>
      <c r="J47" s="52">
        <f t="shared" si="26"/>
        <v>0</v>
      </c>
      <c r="K47" s="52">
        <f t="shared" si="26"/>
        <v>0</v>
      </c>
      <c r="L47" s="52">
        <f t="shared" si="26"/>
        <v>0</v>
      </c>
      <c r="M47" s="52">
        <f t="shared" si="24"/>
        <v>0</v>
      </c>
      <c r="N47" s="52">
        <f t="shared" si="24"/>
        <v>0</v>
      </c>
      <c r="O47" s="52">
        <f t="shared" si="24"/>
        <v>0</v>
      </c>
      <c r="P47" s="52">
        <f t="shared" si="24"/>
        <v>0</v>
      </c>
      <c r="Q47" s="52">
        <f t="shared" si="24"/>
        <v>0</v>
      </c>
      <c r="R47" s="52">
        <f t="shared" si="24"/>
        <v>0</v>
      </c>
      <c r="S47" s="52">
        <f t="shared" si="24"/>
        <v>0</v>
      </c>
      <c r="T47" s="52">
        <f t="shared" si="24"/>
        <v>0</v>
      </c>
      <c r="U47" s="52">
        <f t="shared" si="24"/>
        <v>0</v>
      </c>
      <c r="V47" s="104">
        <f t="shared" si="22"/>
        <v>0</v>
      </c>
      <c r="W47" s="52">
        <f t="shared" si="17"/>
        <v>0</v>
      </c>
      <c r="X47" s="52">
        <f t="shared" si="17"/>
        <v>0</v>
      </c>
      <c r="Y47" s="52">
        <f t="shared" si="17"/>
        <v>0</v>
      </c>
      <c r="Z47" s="52">
        <f t="shared" si="25"/>
        <v>0</v>
      </c>
      <c r="AA47" s="52">
        <f t="shared" si="25"/>
        <v>0</v>
      </c>
      <c r="AB47" s="52">
        <f t="shared" si="25"/>
        <v>6600</v>
      </c>
      <c r="AC47" s="52">
        <f t="shared" si="25"/>
        <v>6600</v>
      </c>
      <c r="AD47" s="52">
        <f t="shared" si="25"/>
        <v>6600</v>
      </c>
      <c r="AE47" s="52">
        <f t="shared" si="25"/>
        <v>6600</v>
      </c>
      <c r="AF47" s="52">
        <f t="shared" si="25"/>
        <v>6600</v>
      </c>
      <c r="AG47" s="52">
        <f t="shared" si="25"/>
        <v>6600</v>
      </c>
      <c r="AH47" s="52">
        <f t="shared" si="25"/>
        <v>6600</v>
      </c>
      <c r="AI47" s="104">
        <f t="shared" si="23"/>
        <v>46200</v>
      </c>
    </row>
    <row r="48" spans="1:35" s="7" customFormat="1">
      <c r="A48" s="95"/>
      <c r="B48" s="67"/>
      <c r="C48" s="250">
        <v>42614</v>
      </c>
      <c r="D48" s="421">
        <v>70000</v>
      </c>
      <c r="E48" s="140">
        <v>0.2</v>
      </c>
      <c r="F48" s="24"/>
      <c r="G48" s="68"/>
      <c r="H48" s="118" t="s">
        <v>112</v>
      </c>
      <c r="I48" s="260"/>
      <c r="J48" s="52">
        <f>IF(J$2&gt;=$C48,(($D48*(1+$E48))*(1+$E$4))/12,0)</f>
        <v>0</v>
      </c>
      <c r="K48" s="52">
        <f t="shared" si="17"/>
        <v>0</v>
      </c>
      <c r="L48" s="52">
        <f t="shared" si="17"/>
        <v>0</v>
      </c>
      <c r="M48" s="52">
        <f t="shared" si="17"/>
        <v>0</v>
      </c>
      <c r="N48" s="52">
        <f t="shared" si="17"/>
        <v>0</v>
      </c>
      <c r="O48" s="52">
        <f t="shared" si="17"/>
        <v>0</v>
      </c>
      <c r="P48" s="52">
        <f t="shared" si="17"/>
        <v>0</v>
      </c>
      <c r="Q48" s="52">
        <f t="shared" si="17"/>
        <v>0</v>
      </c>
      <c r="R48" s="52">
        <f t="shared" si="17"/>
        <v>8400</v>
      </c>
      <c r="S48" s="52">
        <f t="shared" si="17"/>
        <v>8400</v>
      </c>
      <c r="T48" s="52">
        <f t="shared" si="17"/>
        <v>8400</v>
      </c>
      <c r="U48" s="52">
        <f t="shared" si="17"/>
        <v>8400</v>
      </c>
      <c r="V48" s="104">
        <f t="shared" si="14"/>
        <v>33600</v>
      </c>
      <c r="W48" s="52">
        <f t="shared" si="17"/>
        <v>8400</v>
      </c>
      <c r="X48" s="52">
        <f t="shared" si="17"/>
        <v>8400</v>
      </c>
      <c r="Y48" s="52">
        <f t="shared" si="17"/>
        <v>8400</v>
      </c>
      <c r="Z48" s="52">
        <f t="shared" ref="Z48:AH48" si="27">IF(Z$2&gt;=$C48,(($D48*(1+$E48))*(1+$E$4))/12,0)</f>
        <v>8400</v>
      </c>
      <c r="AA48" s="52">
        <f t="shared" si="27"/>
        <v>8400</v>
      </c>
      <c r="AB48" s="52">
        <f t="shared" si="27"/>
        <v>8400</v>
      </c>
      <c r="AC48" s="52">
        <f t="shared" si="27"/>
        <v>8400</v>
      </c>
      <c r="AD48" s="52">
        <f t="shared" si="27"/>
        <v>8400</v>
      </c>
      <c r="AE48" s="52">
        <f t="shared" si="27"/>
        <v>8400</v>
      </c>
      <c r="AF48" s="52">
        <f t="shared" si="27"/>
        <v>8400</v>
      </c>
      <c r="AG48" s="52">
        <f t="shared" si="27"/>
        <v>8400</v>
      </c>
      <c r="AH48" s="52">
        <f t="shared" si="27"/>
        <v>8400</v>
      </c>
      <c r="AI48" s="104">
        <f t="shared" si="16"/>
        <v>100800</v>
      </c>
    </row>
    <row r="49" spans="1:35" s="7" customFormat="1">
      <c r="A49" s="95"/>
      <c r="B49" s="67"/>
      <c r="C49" s="64"/>
      <c r="D49" s="422"/>
      <c r="E49" s="88"/>
      <c r="F49" s="24"/>
      <c r="G49" s="68"/>
      <c r="H49" s="121" t="s">
        <v>149</v>
      </c>
      <c r="I49" s="268" t="s">
        <v>49</v>
      </c>
      <c r="J49" s="70">
        <f>SUM(J21:J48)</f>
        <v>50400</v>
      </c>
      <c r="K49" s="70">
        <f t="shared" ref="K49:U49" si="28">SUM(K21:K48)</f>
        <v>50400</v>
      </c>
      <c r="L49" s="70">
        <f t="shared" si="28"/>
        <v>63600</v>
      </c>
      <c r="M49" s="70">
        <f t="shared" si="28"/>
        <v>72000</v>
      </c>
      <c r="N49" s="70">
        <f t="shared" si="28"/>
        <v>78600</v>
      </c>
      <c r="O49" s="70">
        <f t="shared" si="28"/>
        <v>78600</v>
      </c>
      <c r="P49" s="70">
        <f t="shared" si="28"/>
        <v>112800</v>
      </c>
      <c r="Q49" s="70">
        <f t="shared" si="28"/>
        <v>121200</v>
      </c>
      <c r="R49" s="70">
        <f t="shared" si="28"/>
        <v>136200</v>
      </c>
      <c r="S49" s="70">
        <f t="shared" si="28"/>
        <v>136200</v>
      </c>
      <c r="T49" s="70">
        <f t="shared" si="28"/>
        <v>142800</v>
      </c>
      <c r="U49" s="70">
        <f t="shared" si="28"/>
        <v>149400</v>
      </c>
      <c r="V49" s="315">
        <f t="shared" si="14"/>
        <v>1192200</v>
      </c>
      <c r="W49" s="70">
        <f t="shared" ref="W49:AH49" si="29">SUM(W21:W48)</f>
        <v>181200</v>
      </c>
      <c r="X49" s="70">
        <f t="shared" si="29"/>
        <v>181200</v>
      </c>
      <c r="Y49" s="70">
        <f t="shared" si="29"/>
        <v>187800</v>
      </c>
      <c r="Z49" s="70">
        <f t="shared" si="29"/>
        <v>196200</v>
      </c>
      <c r="AA49" s="70">
        <f t="shared" si="29"/>
        <v>202800</v>
      </c>
      <c r="AB49" s="70">
        <f t="shared" si="29"/>
        <v>216600</v>
      </c>
      <c r="AC49" s="70">
        <f t="shared" si="29"/>
        <v>226200</v>
      </c>
      <c r="AD49" s="70">
        <f t="shared" si="29"/>
        <v>226200</v>
      </c>
      <c r="AE49" s="70">
        <f t="shared" si="29"/>
        <v>226200</v>
      </c>
      <c r="AF49" s="70">
        <f t="shared" si="29"/>
        <v>226200</v>
      </c>
      <c r="AG49" s="70">
        <f t="shared" si="29"/>
        <v>234600</v>
      </c>
      <c r="AH49" s="70">
        <f t="shared" si="29"/>
        <v>234600</v>
      </c>
      <c r="AI49" s="315">
        <f t="shared" si="16"/>
        <v>2539800</v>
      </c>
    </row>
    <row r="50" spans="1:35" s="286" customFormat="1">
      <c r="B50" s="287"/>
      <c r="C50" s="288"/>
      <c r="D50" s="423"/>
      <c r="E50" s="289"/>
      <c r="F50" s="290"/>
      <c r="G50" s="291"/>
      <c r="H50" s="292" t="s">
        <v>285</v>
      </c>
      <c r="I50" s="293"/>
      <c r="J50" s="426">
        <f t="array" ref="J50">SUM(J21:J48*(($E21:$E48/(1+$E21:$E48))))</f>
        <v>8400.0000000000018</v>
      </c>
      <c r="K50" s="426">
        <f t="array" ref="K50">SUM(K21:K48*(($E21:$E48/(1+$E21:$E48))))</f>
        <v>8400.0000000000018</v>
      </c>
      <c r="L50" s="426">
        <f t="array" ref="L50">SUM(L21:L48*(($E21:$E48/(1+$E21:$E48))))</f>
        <v>10600.000000000002</v>
      </c>
      <c r="M50" s="426">
        <f t="array" ref="M50">SUM(M21:M48*(($E21:$E48/(1+$E21:$E48))))</f>
        <v>12000.000000000002</v>
      </c>
      <c r="N50" s="426">
        <f t="array" ref="N50">SUM(N21:N48*(($E21:$E48/(1+$E21:$E48))))</f>
        <v>13100.000000000002</v>
      </c>
      <c r="O50" s="426">
        <f t="array" ref="O50">SUM(O21:O48*(($E21:$E48/(1+$E21:$E48))))</f>
        <v>13100.000000000002</v>
      </c>
      <c r="P50" s="426">
        <f t="array" ref="P50">SUM(P21:P48*(($E21:$E48/(1+$E21:$E48))))</f>
        <v>18800.000000000004</v>
      </c>
      <c r="Q50" s="426">
        <f t="array" ref="Q50">SUM(Q21:Q48*(($E21:$E48/(1+$E21:$E48))))</f>
        <v>20200.000000000004</v>
      </c>
      <c r="R50" s="426">
        <f t="array" ref="R50">SUM(R21:R48*(($E21:$E48/(1+$E21:$E48))))</f>
        <v>22700.000000000004</v>
      </c>
      <c r="S50" s="426">
        <f t="array" ref="S50">SUM(S21:S48*(($E21:$E48/(1+$E21:$E48))))</f>
        <v>22700.000000000004</v>
      </c>
      <c r="T50" s="426">
        <f t="array" ref="T50">SUM(T21:T48*(($E21:$E48/(1+$E21:$E48))))</f>
        <v>23800.000000000004</v>
      </c>
      <c r="U50" s="426">
        <f t="array" ref="U50">SUM(U21:U48*(($E21:$E48/(1+$E21:$E48))))</f>
        <v>24900.000000000004</v>
      </c>
      <c r="V50" s="427">
        <f t="shared" si="14"/>
        <v>198700.00000000003</v>
      </c>
      <c r="W50" s="426">
        <f t="array" ref="W50">SUM(W21:W48*(($E21:$E48/(1+$E21:$E48))))</f>
        <v>30200.000000000004</v>
      </c>
      <c r="X50" s="426">
        <f t="array" ref="X50">SUM(X21:X48*(($E21:$E48/(1+$E21:$E48))))</f>
        <v>30200.000000000004</v>
      </c>
      <c r="Y50" s="426">
        <f t="array" ref="Y50">SUM(Y21:Y48*(($E21:$E48/(1+$E21:$E48))))</f>
        <v>31300.000000000004</v>
      </c>
      <c r="Z50" s="426">
        <f t="array" ref="Z50">SUM(Z21:Z48*(($E21:$E48/(1+$E21:$E48))))</f>
        <v>32700.000000000004</v>
      </c>
      <c r="AA50" s="426">
        <f t="array" ref="AA50">SUM(AA21:AA48*(($E21:$E48/(1+$E21:$E48))))</f>
        <v>33800.000000000007</v>
      </c>
      <c r="AB50" s="426">
        <f t="array" ref="AB50">SUM(AB21:AB48*(($E21:$E48/(1+$E21:$E48))))</f>
        <v>36100.000000000007</v>
      </c>
      <c r="AC50" s="426">
        <f t="array" ref="AC50">SUM(AC21:AC48*(($E21:$E48/(1+$E21:$E48))))</f>
        <v>37700.000000000007</v>
      </c>
      <c r="AD50" s="426">
        <f t="array" ref="AD50">SUM(AD21:AD48*(($E21:$E48/(1+$E21:$E48))))</f>
        <v>37700.000000000007</v>
      </c>
      <c r="AE50" s="426">
        <f t="array" ref="AE50">SUM(AE21:AE48*(($E21:$E48/(1+$E21:$E48))))</f>
        <v>37700.000000000007</v>
      </c>
      <c r="AF50" s="426">
        <f t="array" ref="AF50">SUM(AF21:AF48*(($E21:$E48/(1+$E21:$E48))))</f>
        <v>37700.000000000007</v>
      </c>
      <c r="AG50" s="426">
        <f t="array" ref="AG50">SUM(AG21:AG48*(($E21:$E48/(1+$E21:$E48))))</f>
        <v>39100.000000000007</v>
      </c>
      <c r="AH50" s="426">
        <f t="array" ref="AH50">SUM(AH21:AH48*(($E21:$E48/(1+$E21:$E48))))</f>
        <v>39100.000000000007</v>
      </c>
      <c r="AI50" s="427">
        <f t="shared" si="16"/>
        <v>423300.00000000006</v>
      </c>
    </row>
    <row r="51" spans="1:35" s="286" customFormat="1">
      <c r="B51" s="295"/>
      <c r="C51" s="288"/>
      <c r="D51" s="423"/>
      <c r="E51" s="289"/>
      <c r="F51" s="296"/>
      <c r="G51" s="297"/>
      <c r="H51" s="292" t="s">
        <v>162</v>
      </c>
      <c r="I51" s="293"/>
      <c r="J51" s="426">
        <f>COUNTIF(J21:J48,"&gt;0")</f>
        <v>6</v>
      </c>
      <c r="K51" s="426">
        <f t="shared" ref="K51:U51" si="30">COUNTIF(K21:K48,"&gt;0")</f>
        <v>6</v>
      </c>
      <c r="L51" s="426">
        <f t="shared" si="30"/>
        <v>8</v>
      </c>
      <c r="M51" s="426">
        <f t="shared" si="30"/>
        <v>9</v>
      </c>
      <c r="N51" s="426">
        <f t="shared" si="30"/>
        <v>10</v>
      </c>
      <c r="O51" s="426">
        <f t="shared" si="30"/>
        <v>10</v>
      </c>
      <c r="P51" s="426">
        <f t="shared" si="30"/>
        <v>13</v>
      </c>
      <c r="Q51" s="426">
        <f t="shared" si="30"/>
        <v>14</v>
      </c>
      <c r="R51" s="426">
        <f t="shared" si="30"/>
        <v>16</v>
      </c>
      <c r="S51" s="426">
        <f t="shared" si="30"/>
        <v>16</v>
      </c>
      <c r="T51" s="426">
        <f t="shared" si="30"/>
        <v>17</v>
      </c>
      <c r="U51" s="426">
        <f t="shared" si="30"/>
        <v>18</v>
      </c>
      <c r="V51" s="427"/>
      <c r="W51" s="426">
        <f>COUNTIF(W21:W48,"&gt;0")</f>
        <v>21</v>
      </c>
      <c r="X51" s="426">
        <f t="shared" ref="X51:AH51" si="31">COUNTIF(X21:X48,"&gt;0")</f>
        <v>21</v>
      </c>
      <c r="Y51" s="426">
        <f t="shared" si="31"/>
        <v>22</v>
      </c>
      <c r="Z51" s="426">
        <f t="shared" si="31"/>
        <v>23</v>
      </c>
      <c r="AA51" s="426">
        <f t="shared" si="31"/>
        <v>24</v>
      </c>
      <c r="AB51" s="426">
        <f t="shared" si="31"/>
        <v>26</v>
      </c>
      <c r="AC51" s="426">
        <f t="shared" si="31"/>
        <v>27</v>
      </c>
      <c r="AD51" s="426">
        <f t="shared" si="31"/>
        <v>27</v>
      </c>
      <c r="AE51" s="426">
        <f t="shared" si="31"/>
        <v>27</v>
      </c>
      <c r="AF51" s="426">
        <f t="shared" si="31"/>
        <v>27</v>
      </c>
      <c r="AG51" s="426">
        <f t="shared" si="31"/>
        <v>28</v>
      </c>
      <c r="AH51" s="426">
        <f t="shared" si="31"/>
        <v>28</v>
      </c>
      <c r="AI51" s="427"/>
    </row>
    <row r="52" spans="1:35" s="7" customFormat="1">
      <c r="A52" s="95"/>
      <c r="B52" s="67"/>
      <c r="C52" s="64"/>
      <c r="D52" s="422"/>
      <c r="E52" s="88"/>
      <c r="F52" s="24"/>
      <c r="G52" s="68"/>
      <c r="H52" s="118"/>
      <c r="I52" s="260"/>
      <c r="J52" s="426"/>
      <c r="K52" s="52"/>
      <c r="L52" s="52"/>
      <c r="M52" s="52"/>
      <c r="N52" s="52"/>
      <c r="O52" s="52"/>
      <c r="P52" s="52"/>
      <c r="Q52" s="52"/>
      <c r="R52" s="52"/>
      <c r="S52" s="52"/>
      <c r="T52" s="52"/>
      <c r="U52" s="52"/>
      <c r="V52" s="104"/>
      <c r="W52" s="52"/>
      <c r="X52" s="52"/>
      <c r="Y52" s="52"/>
      <c r="Z52" s="52"/>
      <c r="AA52" s="52"/>
      <c r="AB52" s="52"/>
      <c r="AC52" s="52"/>
      <c r="AD52" s="52"/>
      <c r="AE52" s="52"/>
      <c r="AF52" s="52"/>
      <c r="AG52" s="52"/>
      <c r="AH52" s="52"/>
      <c r="AI52" s="104"/>
    </row>
    <row r="53" spans="1:35" s="7" customFormat="1">
      <c r="A53" s="95"/>
      <c r="B53" s="67"/>
      <c r="C53" s="64"/>
      <c r="D53" s="422"/>
      <c r="E53" s="88"/>
      <c r="F53" s="24"/>
      <c r="G53" s="68"/>
      <c r="H53" s="257" t="s">
        <v>57</v>
      </c>
      <c r="I53" s="267"/>
      <c r="J53" s="428"/>
      <c r="K53" s="428"/>
      <c r="L53" s="428"/>
      <c r="M53" s="428"/>
      <c r="N53" s="428"/>
      <c r="O53" s="428"/>
      <c r="P53" s="428"/>
      <c r="Q53" s="428"/>
      <c r="R53" s="428"/>
      <c r="S53" s="428"/>
      <c r="T53" s="428"/>
      <c r="U53" s="429"/>
      <c r="V53" s="430"/>
      <c r="W53" s="428"/>
      <c r="X53" s="428"/>
      <c r="Y53" s="428"/>
      <c r="Z53" s="428"/>
      <c r="AA53" s="428"/>
      <c r="AB53" s="428"/>
      <c r="AC53" s="428"/>
      <c r="AD53" s="428"/>
      <c r="AE53" s="428"/>
      <c r="AF53" s="428"/>
      <c r="AG53" s="428"/>
      <c r="AH53" s="429"/>
      <c r="AI53" s="430"/>
    </row>
    <row r="54" spans="1:35" s="7" customFormat="1">
      <c r="A54" s="95"/>
      <c r="B54" s="67"/>
      <c r="C54" s="250">
        <v>42491</v>
      </c>
      <c r="D54" s="421">
        <v>150000</v>
      </c>
      <c r="E54" s="140">
        <v>0.2</v>
      </c>
      <c r="F54" s="24"/>
      <c r="G54" s="68"/>
      <c r="H54" s="118" t="s">
        <v>58</v>
      </c>
      <c r="I54" s="260"/>
      <c r="J54" s="52">
        <f>IF(J$2&gt;=$C54,(($D54*(1+$E54))*(1+$E$4))/12,0)</f>
        <v>0</v>
      </c>
      <c r="K54" s="52">
        <f t="shared" ref="K54:U61" si="32">IF(K$2&gt;=$C54,(($D54*(1+$E54))*(1+$E$4))/12,0)</f>
        <v>0</v>
      </c>
      <c r="L54" s="52">
        <f t="shared" si="32"/>
        <v>0</v>
      </c>
      <c r="M54" s="52">
        <f t="shared" si="32"/>
        <v>0</v>
      </c>
      <c r="N54" s="52">
        <f t="shared" si="32"/>
        <v>18000</v>
      </c>
      <c r="O54" s="52">
        <f t="shared" si="32"/>
        <v>18000</v>
      </c>
      <c r="P54" s="52">
        <f t="shared" si="32"/>
        <v>18000</v>
      </c>
      <c r="Q54" s="52">
        <f t="shared" si="32"/>
        <v>18000</v>
      </c>
      <c r="R54" s="52">
        <f t="shared" si="32"/>
        <v>18000</v>
      </c>
      <c r="S54" s="52">
        <f t="shared" si="32"/>
        <v>18000</v>
      </c>
      <c r="T54" s="52">
        <f t="shared" si="32"/>
        <v>18000</v>
      </c>
      <c r="U54" s="52">
        <f t="shared" si="32"/>
        <v>18000</v>
      </c>
      <c r="V54" s="104">
        <f t="shared" ref="V54:V63" si="33">SUM(J54:U54)</f>
        <v>144000</v>
      </c>
      <c r="W54" s="52">
        <f>IF(W$2&gt;=$C54,(($D54*(1+$E54))*(1+$E$4))/12,0)</f>
        <v>18000</v>
      </c>
      <c r="X54" s="52">
        <f t="shared" ref="X54:AH61" si="34">IF(X$2&gt;=$C54,(($D54*(1+$E54))*(1+$E$4))/12,0)</f>
        <v>18000</v>
      </c>
      <c r="Y54" s="52">
        <f t="shared" si="34"/>
        <v>18000</v>
      </c>
      <c r="Z54" s="52">
        <f t="shared" si="34"/>
        <v>18000</v>
      </c>
      <c r="AA54" s="52">
        <f t="shared" si="34"/>
        <v>18000</v>
      </c>
      <c r="AB54" s="52">
        <f t="shared" si="34"/>
        <v>18000</v>
      </c>
      <c r="AC54" s="52">
        <f t="shared" si="34"/>
        <v>18000</v>
      </c>
      <c r="AD54" s="52">
        <f t="shared" si="34"/>
        <v>18000</v>
      </c>
      <c r="AE54" s="52">
        <f t="shared" si="34"/>
        <v>18000</v>
      </c>
      <c r="AF54" s="52">
        <f t="shared" si="34"/>
        <v>18000</v>
      </c>
      <c r="AG54" s="52">
        <f t="shared" si="34"/>
        <v>18000</v>
      </c>
      <c r="AH54" s="52">
        <f t="shared" si="34"/>
        <v>18000</v>
      </c>
      <c r="AI54" s="104">
        <f t="shared" ref="AI54:AI63" si="35">SUM(W54:AH54)</f>
        <v>216000</v>
      </c>
    </row>
    <row r="55" spans="1:35" s="7" customFormat="1">
      <c r="A55" s="95"/>
      <c r="B55" s="67"/>
      <c r="C55" s="250">
        <v>42767</v>
      </c>
      <c r="D55" s="421">
        <v>80000</v>
      </c>
      <c r="E55" s="140">
        <v>0.2</v>
      </c>
      <c r="F55" s="24"/>
      <c r="G55" s="68"/>
      <c r="H55" s="118" t="s">
        <v>113</v>
      </c>
      <c r="I55" s="260"/>
      <c r="J55" s="52">
        <f t="shared" ref="J55:J61" si="36">IF(J$2&gt;=$C55,(($D55*(1+$E55))*(1+$E$4))/12,0)</f>
        <v>0</v>
      </c>
      <c r="K55" s="52">
        <f t="shared" si="32"/>
        <v>0</v>
      </c>
      <c r="L55" s="52">
        <f t="shared" si="32"/>
        <v>0</v>
      </c>
      <c r="M55" s="52">
        <f t="shared" si="32"/>
        <v>0</v>
      </c>
      <c r="N55" s="52">
        <f t="shared" si="32"/>
        <v>0</v>
      </c>
      <c r="O55" s="52">
        <f t="shared" si="32"/>
        <v>0</v>
      </c>
      <c r="P55" s="52">
        <f t="shared" si="32"/>
        <v>0</v>
      </c>
      <c r="Q55" s="52">
        <f t="shared" si="32"/>
        <v>0</v>
      </c>
      <c r="R55" s="52">
        <f t="shared" si="32"/>
        <v>0</v>
      </c>
      <c r="S55" s="52">
        <f t="shared" si="32"/>
        <v>0</v>
      </c>
      <c r="T55" s="52">
        <f t="shared" si="32"/>
        <v>0</v>
      </c>
      <c r="U55" s="52">
        <f t="shared" si="32"/>
        <v>0</v>
      </c>
      <c r="V55" s="104">
        <f t="shared" si="33"/>
        <v>0</v>
      </c>
      <c r="W55" s="52">
        <f t="shared" ref="W55:W61" si="37">IF(W$2&gt;=$C55,(($D55*(1+$E55))*(1+$E$4))/12,0)</f>
        <v>0</v>
      </c>
      <c r="X55" s="52">
        <f t="shared" si="34"/>
        <v>9600</v>
      </c>
      <c r="Y55" s="52">
        <f t="shared" si="34"/>
        <v>9600</v>
      </c>
      <c r="Z55" s="52">
        <f t="shared" si="34"/>
        <v>9600</v>
      </c>
      <c r="AA55" s="52">
        <f t="shared" si="34"/>
        <v>9600</v>
      </c>
      <c r="AB55" s="52">
        <f t="shared" si="34"/>
        <v>9600</v>
      </c>
      <c r="AC55" s="52">
        <f t="shared" si="34"/>
        <v>9600</v>
      </c>
      <c r="AD55" s="52">
        <f t="shared" si="34"/>
        <v>9600</v>
      </c>
      <c r="AE55" s="52">
        <f t="shared" si="34"/>
        <v>9600</v>
      </c>
      <c r="AF55" s="52">
        <f t="shared" si="34"/>
        <v>9600</v>
      </c>
      <c r="AG55" s="52">
        <f t="shared" si="34"/>
        <v>9600</v>
      </c>
      <c r="AH55" s="52">
        <f t="shared" si="34"/>
        <v>9600</v>
      </c>
      <c r="AI55" s="104">
        <f t="shared" si="35"/>
        <v>105600</v>
      </c>
    </row>
    <row r="56" spans="1:35" s="7" customFormat="1">
      <c r="A56" s="95"/>
      <c r="B56" s="67"/>
      <c r="C56" s="250">
        <v>42401</v>
      </c>
      <c r="D56" s="421">
        <v>70000</v>
      </c>
      <c r="E56" s="140">
        <v>0.2</v>
      </c>
      <c r="F56" s="24"/>
      <c r="G56" s="68"/>
      <c r="H56" s="118" t="s">
        <v>114</v>
      </c>
      <c r="I56" s="260"/>
      <c r="J56" s="52">
        <f t="shared" si="36"/>
        <v>0</v>
      </c>
      <c r="K56" s="52">
        <f t="shared" si="32"/>
        <v>8400</v>
      </c>
      <c r="L56" s="52">
        <f t="shared" si="32"/>
        <v>8400</v>
      </c>
      <c r="M56" s="52">
        <f t="shared" si="32"/>
        <v>8400</v>
      </c>
      <c r="N56" s="52">
        <f t="shared" si="32"/>
        <v>8400</v>
      </c>
      <c r="O56" s="52">
        <f t="shared" si="32"/>
        <v>8400</v>
      </c>
      <c r="P56" s="52">
        <f t="shared" si="32"/>
        <v>8400</v>
      </c>
      <c r="Q56" s="52">
        <f t="shared" si="32"/>
        <v>8400</v>
      </c>
      <c r="R56" s="52">
        <f t="shared" si="32"/>
        <v>8400</v>
      </c>
      <c r="S56" s="52">
        <f t="shared" si="32"/>
        <v>8400</v>
      </c>
      <c r="T56" s="52">
        <f t="shared" si="32"/>
        <v>8400</v>
      </c>
      <c r="U56" s="52">
        <f t="shared" si="32"/>
        <v>8400</v>
      </c>
      <c r="V56" s="104">
        <f t="shared" si="33"/>
        <v>92400</v>
      </c>
      <c r="W56" s="52">
        <f t="shared" si="37"/>
        <v>8400</v>
      </c>
      <c r="X56" s="52">
        <f t="shared" si="34"/>
        <v>8400</v>
      </c>
      <c r="Y56" s="52">
        <f t="shared" si="34"/>
        <v>8400</v>
      </c>
      <c r="Z56" s="52">
        <f t="shared" si="34"/>
        <v>8400</v>
      </c>
      <c r="AA56" s="52">
        <f t="shared" si="34"/>
        <v>8400</v>
      </c>
      <c r="AB56" s="52">
        <f t="shared" si="34"/>
        <v>8400</v>
      </c>
      <c r="AC56" s="52">
        <f t="shared" si="34"/>
        <v>8400</v>
      </c>
      <c r="AD56" s="52">
        <f t="shared" si="34"/>
        <v>8400</v>
      </c>
      <c r="AE56" s="52">
        <f t="shared" si="34"/>
        <v>8400</v>
      </c>
      <c r="AF56" s="52">
        <f t="shared" si="34"/>
        <v>8400</v>
      </c>
      <c r="AG56" s="52">
        <f t="shared" si="34"/>
        <v>8400</v>
      </c>
      <c r="AH56" s="52">
        <f t="shared" si="34"/>
        <v>8400</v>
      </c>
      <c r="AI56" s="104">
        <f t="shared" si="35"/>
        <v>100800</v>
      </c>
    </row>
    <row r="57" spans="1:35" s="7" customFormat="1">
      <c r="A57" s="95"/>
      <c r="B57" s="67"/>
      <c r="C57" s="250">
        <v>42522</v>
      </c>
      <c r="D57" s="421">
        <v>60000</v>
      </c>
      <c r="E57" s="140">
        <v>0.2</v>
      </c>
      <c r="F57" s="24"/>
      <c r="G57" s="68"/>
      <c r="H57" s="118" t="s">
        <v>54</v>
      </c>
      <c r="I57" s="260"/>
      <c r="J57" s="52">
        <f t="shared" si="36"/>
        <v>0</v>
      </c>
      <c r="K57" s="52">
        <f t="shared" si="32"/>
        <v>0</v>
      </c>
      <c r="L57" s="52">
        <f t="shared" si="32"/>
        <v>0</v>
      </c>
      <c r="M57" s="52">
        <f t="shared" si="32"/>
        <v>0</v>
      </c>
      <c r="N57" s="52">
        <f t="shared" si="32"/>
        <v>0</v>
      </c>
      <c r="O57" s="52">
        <f t="shared" si="32"/>
        <v>7200</v>
      </c>
      <c r="P57" s="52">
        <f t="shared" si="32"/>
        <v>7200</v>
      </c>
      <c r="Q57" s="52">
        <f t="shared" si="32"/>
        <v>7200</v>
      </c>
      <c r="R57" s="52">
        <f t="shared" si="32"/>
        <v>7200</v>
      </c>
      <c r="S57" s="52">
        <f t="shared" si="32"/>
        <v>7200</v>
      </c>
      <c r="T57" s="52">
        <f t="shared" si="32"/>
        <v>7200</v>
      </c>
      <c r="U57" s="52">
        <f t="shared" si="32"/>
        <v>7200</v>
      </c>
      <c r="V57" s="104">
        <f t="shared" si="33"/>
        <v>50400</v>
      </c>
      <c r="W57" s="52">
        <f t="shared" si="37"/>
        <v>7200</v>
      </c>
      <c r="X57" s="52">
        <f t="shared" si="34"/>
        <v>7200</v>
      </c>
      <c r="Y57" s="52">
        <f t="shared" si="34"/>
        <v>7200</v>
      </c>
      <c r="Z57" s="52">
        <f t="shared" si="34"/>
        <v>7200</v>
      </c>
      <c r="AA57" s="52">
        <f t="shared" si="34"/>
        <v>7200</v>
      </c>
      <c r="AB57" s="52">
        <f t="shared" si="34"/>
        <v>7200</v>
      </c>
      <c r="AC57" s="52">
        <f t="shared" si="34"/>
        <v>7200</v>
      </c>
      <c r="AD57" s="52">
        <f t="shared" si="34"/>
        <v>7200</v>
      </c>
      <c r="AE57" s="52">
        <f t="shared" si="34"/>
        <v>7200</v>
      </c>
      <c r="AF57" s="52">
        <f t="shared" si="34"/>
        <v>7200</v>
      </c>
      <c r="AG57" s="52">
        <f t="shared" si="34"/>
        <v>7200</v>
      </c>
      <c r="AH57" s="52">
        <f t="shared" si="34"/>
        <v>7200</v>
      </c>
      <c r="AI57" s="104">
        <f t="shared" si="35"/>
        <v>86400</v>
      </c>
    </row>
    <row r="58" spans="1:35" s="7" customFormat="1">
      <c r="A58" s="95"/>
      <c r="B58" s="67"/>
      <c r="C58" s="250">
        <v>42370</v>
      </c>
      <c r="D58" s="421">
        <v>50000</v>
      </c>
      <c r="E58" s="140">
        <v>0.2</v>
      </c>
      <c r="F58" s="24"/>
      <c r="G58" s="68"/>
      <c r="H58" s="118" t="s">
        <v>188</v>
      </c>
      <c r="I58" s="260"/>
      <c r="J58" s="52">
        <f t="shared" si="36"/>
        <v>6000</v>
      </c>
      <c r="K58" s="52">
        <f t="shared" si="32"/>
        <v>6000</v>
      </c>
      <c r="L58" s="52">
        <f t="shared" si="32"/>
        <v>6000</v>
      </c>
      <c r="M58" s="52">
        <f t="shared" si="32"/>
        <v>6000</v>
      </c>
      <c r="N58" s="52">
        <f t="shared" si="32"/>
        <v>6000</v>
      </c>
      <c r="O58" s="52">
        <f t="shared" si="32"/>
        <v>6000</v>
      </c>
      <c r="P58" s="52">
        <f t="shared" si="32"/>
        <v>6000</v>
      </c>
      <c r="Q58" s="52">
        <f t="shared" si="32"/>
        <v>6000</v>
      </c>
      <c r="R58" s="52">
        <f t="shared" si="32"/>
        <v>6000</v>
      </c>
      <c r="S58" s="52">
        <f t="shared" si="32"/>
        <v>6000</v>
      </c>
      <c r="T58" s="52">
        <f t="shared" si="32"/>
        <v>6000</v>
      </c>
      <c r="U58" s="52">
        <f t="shared" si="32"/>
        <v>6000</v>
      </c>
      <c r="V58" s="104">
        <f t="shared" si="33"/>
        <v>72000</v>
      </c>
      <c r="W58" s="52">
        <f t="shared" si="37"/>
        <v>6000</v>
      </c>
      <c r="X58" s="52">
        <f t="shared" si="34"/>
        <v>6000</v>
      </c>
      <c r="Y58" s="52">
        <f t="shared" si="34"/>
        <v>6000</v>
      </c>
      <c r="Z58" s="52">
        <f t="shared" si="34"/>
        <v>6000</v>
      </c>
      <c r="AA58" s="52">
        <f t="shared" si="34"/>
        <v>6000</v>
      </c>
      <c r="AB58" s="52">
        <f t="shared" si="34"/>
        <v>6000</v>
      </c>
      <c r="AC58" s="52">
        <f t="shared" si="34"/>
        <v>6000</v>
      </c>
      <c r="AD58" s="52">
        <f t="shared" si="34"/>
        <v>6000</v>
      </c>
      <c r="AE58" s="52">
        <f t="shared" si="34"/>
        <v>6000</v>
      </c>
      <c r="AF58" s="52">
        <f t="shared" si="34"/>
        <v>6000</v>
      </c>
      <c r="AG58" s="52">
        <f t="shared" si="34"/>
        <v>6000</v>
      </c>
      <c r="AH58" s="52">
        <f t="shared" si="34"/>
        <v>6000</v>
      </c>
      <c r="AI58" s="104">
        <f t="shared" si="35"/>
        <v>72000</v>
      </c>
    </row>
    <row r="59" spans="1:35" s="7" customFormat="1">
      <c r="A59" s="95"/>
      <c r="B59" s="67"/>
      <c r="C59" s="250">
        <v>42795</v>
      </c>
      <c r="D59" s="421">
        <v>50000</v>
      </c>
      <c r="E59" s="140">
        <v>0.2</v>
      </c>
      <c r="F59" s="24"/>
      <c r="G59" s="68"/>
      <c r="H59" s="118" t="s">
        <v>188</v>
      </c>
      <c r="I59" s="260"/>
      <c r="J59" s="52">
        <f t="shared" si="36"/>
        <v>0</v>
      </c>
      <c r="K59" s="52">
        <f t="shared" si="32"/>
        <v>0</v>
      </c>
      <c r="L59" s="52">
        <f t="shared" si="32"/>
        <v>0</v>
      </c>
      <c r="M59" s="52">
        <f t="shared" si="32"/>
        <v>0</v>
      </c>
      <c r="N59" s="52">
        <f t="shared" si="32"/>
        <v>0</v>
      </c>
      <c r="O59" s="52">
        <f t="shared" si="32"/>
        <v>0</v>
      </c>
      <c r="P59" s="52">
        <f t="shared" si="32"/>
        <v>0</v>
      </c>
      <c r="Q59" s="52">
        <f t="shared" si="32"/>
        <v>0</v>
      </c>
      <c r="R59" s="52">
        <f t="shared" si="32"/>
        <v>0</v>
      </c>
      <c r="S59" s="52">
        <f t="shared" si="32"/>
        <v>0</v>
      </c>
      <c r="T59" s="52">
        <f t="shared" si="32"/>
        <v>0</v>
      </c>
      <c r="U59" s="52">
        <f t="shared" si="32"/>
        <v>0</v>
      </c>
      <c r="V59" s="104">
        <f t="shared" si="33"/>
        <v>0</v>
      </c>
      <c r="W59" s="52">
        <f t="shared" si="37"/>
        <v>0</v>
      </c>
      <c r="X59" s="52">
        <f t="shared" si="34"/>
        <v>0</v>
      </c>
      <c r="Y59" s="52">
        <f t="shared" si="34"/>
        <v>6000</v>
      </c>
      <c r="Z59" s="52">
        <f t="shared" si="34"/>
        <v>6000</v>
      </c>
      <c r="AA59" s="52">
        <f t="shared" si="34"/>
        <v>6000</v>
      </c>
      <c r="AB59" s="52">
        <f t="shared" si="34"/>
        <v>6000</v>
      </c>
      <c r="AC59" s="52">
        <f t="shared" si="34"/>
        <v>6000</v>
      </c>
      <c r="AD59" s="52">
        <f t="shared" si="34"/>
        <v>6000</v>
      </c>
      <c r="AE59" s="52">
        <f t="shared" si="34"/>
        <v>6000</v>
      </c>
      <c r="AF59" s="52">
        <f t="shared" si="34"/>
        <v>6000</v>
      </c>
      <c r="AG59" s="52">
        <f t="shared" si="34"/>
        <v>6000</v>
      </c>
      <c r="AH59" s="52">
        <f t="shared" si="34"/>
        <v>6000</v>
      </c>
      <c r="AI59" s="104">
        <f t="shared" si="35"/>
        <v>60000</v>
      </c>
    </row>
    <row r="60" spans="1:35" s="7" customFormat="1">
      <c r="A60" s="95"/>
      <c r="B60" s="67"/>
      <c r="C60" s="250">
        <v>42887</v>
      </c>
      <c r="D60" s="421">
        <v>50000</v>
      </c>
      <c r="E60" s="140">
        <v>0.2</v>
      </c>
      <c r="F60" s="24"/>
      <c r="G60" s="68"/>
      <c r="H60" s="118" t="s">
        <v>187</v>
      </c>
      <c r="I60" s="260"/>
      <c r="J60" s="52">
        <f t="shared" si="36"/>
        <v>0</v>
      </c>
      <c r="K60" s="52">
        <f t="shared" si="32"/>
        <v>0</v>
      </c>
      <c r="L60" s="52">
        <f t="shared" si="32"/>
        <v>0</v>
      </c>
      <c r="M60" s="52">
        <f t="shared" si="32"/>
        <v>0</v>
      </c>
      <c r="N60" s="52">
        <f t="shared" si="32"/>
        <v>0</v>
      </c>
      <c r="O60" s="52">
        <f t="shared" si="32"/>
        <v>0</v>
      </c>
      <c r="P60" s="52">
        <f t="shared" si="32"/>
        <v>0</v>
      </c>
      <c r="Q60" s="52">
        <f t="shared" si="32"/>
        <v>0</v>
      </c>
      <c r="R60" s="52">
        <f t="shared" si="32"/>
        <v>0</v>
      </c>
      <c r="S60" s="52">
        <f t="shared" si="32"/>
        <v>0</v>
      </c>
      <c r="T60" s="52">
        <f t="shared" si="32"/>
        <v>0</v>
      </c>
      <c r="U60" s="52">
        <f t="shared" si="32"/>
        <v>0</v>
      </c>
      <c r="V60" s="104">
        <f t="shared" si="33"/>
        <v>0</v>
      </c>
      <c r="W60" s="52">
        <f t="shared" si="37"/>
        <v>0</v>
      </c>
      <c r="X60" s="52">
        <f t="shared" si="34"/>
        <v>0</v>
      </c>
      <c r="Y60" s="52">
        <f t="shared" si="34"/>
        <v>0</v>
      </c>
      <c r="Z60" s="52">
        <f t="shared" si="34"/>
        <v>0</v>
      </c>
      <c r="AA60" s="52">
        <f t="shared" si="34"/>
        <v>0</v>
      </c>
      <c r="AB60" s="52">
        <f t="shared" si="34"/>
        <v>6000</v>
      </c>
      <c r="AC60" s="52">
        <f t="shared" si="34"/>
        <v>6000</v>
      </c>
      <c r="AD60" s="52">
        <f t="shared" si="34"/>
        <v>6000</v>
      </c>
      <c r="AE60" s="52">
        <f t="shared" si="34"/>
        <v>6000</v>
      </c>
      <c r="AF60" s="52">
        <f t="shared" si="34"/>
        <v>6000</v>
      </c>
      <c r="AG60" s="52">
        <f t="shared" si="34"/>
        <v>6000</v>
      </c>
      <c r="AH60" s="52">
        <f t="shared" si="34"/>
        <v>6000</v>
      </c>
      <c r="AI60" s="104">
        <f t="shared" si="35"/>
        <v>42000</v>
      </c>
    </row>
    <row r="61" spans="1:35" s="7" customFormat="1">
      <c r="A61" s="95"/>
      <c r="B61" s="67"/>
      <c r="C61" s="250">
        <v>43009</v>
      </c>
      <c r="D61" s="421">
        <v>70000</v>
      </c>
      <c r="E61" s="140">
        <v>0.2</v>
      </c>
      <c r="F61" s="24"/>
      <c r="G61" s="68"/>
      <c r="H61" s="118" t="s">
        <v>115</v>
      </c>
      <c r="I61" s="260"/>
      <c r="J61" s="52">
        <f t="shared" si="36"/>
        <v>0</v>
      </c>
      <c r="K61" s="52">
        <f t="shared" si="32"/>
        <v>0</v>
      </c>
      <c r="L61" s="52">
        <f t="shared" si="32"/>
        <v>0</v>
      </c>
      <c r="M61" s="52">
        <f t="shared" si="32"/>
        <v>0</v>
      </c>
      <c r="N61" s="52">
        <f t="shared" si="32"/>
        <v>0</v>
      </c>
      <c r="O61" s="52">
        <f t="shared" si="32"/>
        <v>0</v>
      </c>
      <c r="P61" s="52">
        <f t="shared" si="32"/>
        <v>0</v>
      </c>
      <c r="Q61" s="52">
        <f t="shared" si="32"/>
        <v>0</v>
      </c>
      <c r="R61" s="52">
        <f t="shared" si="32"/>
        <v>0</v>
      </c>
      <c r="S61" s="52">
        <f t="shared" si="32"/>
        <v>0</v>
      </c>
      <c r="T61" s="52">
        <f t="shared" si="32"/>
        <v>0</v>
      </c>
      <c r="U61" s="52">
        <f t="shared" si="32"/>
        <v>0</v>
      </c>
      <c r="V61" s="104">
        <f t="shared" si="33"/>
        <v>0</v>
      </c>
      <c r="W61" s="52">
        <f t="shared" si="37"/>
        <v>0</v>
      </c>
      <c r="X61" s="52">
        <f t="shared" si="34"/>
        <v>0</v>
      </c>
      <c r="Y61" s="52">
        <f t="shared" si="34"/>
        <v>0</v>
      </c>
      <c r="Z61" s="52">
        <f t="shared" si="34"/>
        <v>0</v>
      </c>
      <c r="AA61" s="52">
        <f t="shared" si="34"/>
        <v>0</v>
      </c>
      <c r="AB61" s="52">
        <f t="shared" si="34"/>
        <v>0</v>
      </c>
      <c r="AC61" s="52">
        <f t="shared" si="34"/>
        <v>0</v>
      </c>
      <c r="AD61" s="52">
        <f t="shared" si="34"/>
        <v>0</v>
      </c>
      <c r="AE61" s="52">
        <f t="shared" si="34"/>
        <v>0</v>
      </c>
      <c r="AF61" s="52">
        <f t="shared" si="34"/>
        <v>8400</v>
      </c>
      <c r="AG61" s="52">
        <f t="shared" si="34"/>
        <v>8400</v>
      </c>
      <c r="AH61" s="52">
        <f t="shared" si="34"/>
        <v>8400</v>
      </c>
      <c r="AI61" s="104">
        <f t="shared" si="35"/>
        <v>25200</v>
      </c>
    </row>
    <row r="62" spans="1:35" s="7" customFormat="1">
      <c r="A62" s="95"/>
      <c r="B62" s="67"/>
      <c r="C62" s="64"/>
      <c r="D62" s="422"/>
      <c r="E62" s="88"/>
      <c r="F62" s="24"/>
      <c r="G62" s="68"/>
      <c r="H62" s="121" t="s">
        <v>150</v>
      </c>
      <c r="I62" s="268" t="s">
        <v>121</v>
      </c>
      <c r="J62" s="70">
        <f>SUM(J54:J61)</f>
        <v>6000</v>
      </c>
      <c r="K62" s="70">
        <f t="shared" ref="K62:U62" si="38">SUM(K54:K61)</f>
        <v>14400</v>
      </c>
      <c r="L62" s="70">
        <f t="shared" si="38"/>
        <v>14400</v>
      </c>
      <c r="M62" s="70">
        <f t="shared" si="38"/>
        <v>14400</v>
      </c>
      <c r="N62" s="70">
        <f t="shared" si="38"/>
        <v>32400</v>
      </c>
      <c r="O62" s="70">
        <f t="shared" si="38"/>
        <v>39600</v>
      </c>
      <c r="P62" s="70">
        <f t="shared" si="38"/>
        <v>39600</v>
      </c>
      <c r="Q62" s="70">
        <f t="shared" si="38"/>
        <v>39600</v>
      </c>
      <c r="R62" s="70">
        <f t="shared" si="38"/>
        <v>39600</v>
      </c>
      <c r="S62" s="70">
        <f t="shared" si="38"/>
        <v>39600</v>
      </c>
      <c r="T62" s="70">
        <f t="shared" si="38"/>
        <v>39600</v>
      </c>
      <c r="U62" s="70">
        <f t="shared" si="38"/>
        <v>39600</v>
      </c>
      <c r="V62" s="315">
        <f t="shared" si="33"/>
        <v>358800</v>
      </c>
      <c r="W62" s="70">
        <f t="shared" ref="W62:AH62" si="39">SUM(W54:W61)</f>
        <v>39600</v>
      </c>
      <c r="X62" s="70">
        <f t="shared" si="39"/>
        <v>49200</v>
      </c>
      <c r="Y62" s="70">
        <f t="shared" si="39"/>
        <v>55200</v>
      </c>
      <c r="Z62" s="70">
        <f t="shared" si="39"/>
        <v>55200</v>
      </c>
      <c r="AA62" s="70">
        <f t="shared" si="39"/>
        <v>55200</v>
      </c>
      <c r="AB62" s="70">
        <f t="shared" si="39"/>
        <v>61200</v>
      </c>
      <c r="AC62" s="70">
        <f t="shared" si="39"/>
        <v>61200</v>
      </c>
      <c r="AD62" s="70">
        <f t="shared" si="39"/>
        <v>61200</v>
      </c>
      <c r="AE62" s="70">
        <f t="shared" si="39"/>
        <v>61200</v>
      </c>
      <c r="AF62" s="70">
        <f t="shared" si="39"/>
        <v>69600</v>
      </c>
      <c r="AG62" s="70">
        <f t="shared" si="39"/>
        <v>69600</v>
      </c>
      <c r="AH62" s="70">
        <f t="shared" si="39"/>
        <v>69600</v>
      </c>
      <c r="AI62" s="315">
        <f t="shared" si="35"/>
        <v>708000</v>
      </c>
    </row>
    <row r="63" spans="1:35" s="286" customFormat="1">
      <c r="B63" s="287"/>
      <c r="C63" s="288"/>
      <c r="D63" s="423"/>
      <c r="E63" s="289"/>
      <c r="F63" s="290"/>
      <c r="G63" s="291"/>
      <c r="H63" s="292" t="s">
        <v>285</v>
      </c>
      <c r="I63" s="293"/>
      <c r="J63" s="426">
        <f t="array" ref="J63">SUM(J54:J61*(($E54:$E61/(1+$E54:$E61))))</f>
        <v>1000.0000000000001</v>
      </c>
      <c r="K63" s="426">
        <f t="array" ref="K63">SUM(K54:K61*(($E54:$E61/(1+$E54:$E61))))</f>
        <v>2400.0000000000005</v>
      </c>
      <c r="L63" s="426">
        <f t="array" ref="L63">SUM(L54:L61*(($E54:$E61/(1+$E54:$E61))))</f>
        <v>2400.0000000000005</v>
      </c>
      <c r="M63" s="426">
        <f t="array" ref="M63">SUM(M54:M61*(($E54:$E61/(1+$E54:$E61))))</f>
        <v>2400.0000000000005</v>
      </c>
      <c r="N63" s="426">
        <f t="array" ref="N63">SUM(N54:N61*(($E54:$E61/(1+$E54:$E61))))</f>
        <v>5400.0000000000009</v>
      </c>
      <c r="O63" s="426">
        <f t="array" ref="O63">SUM(O54:O61*(($E54:$E61/(1+$E54:$E61))))</f>
        <v>6600.0000000000009</v>
      </c>
      <c r="P63" s="426">
        <f t="array" ref="P63">SUM(P54:P61*(($E54:$E61/(1+$E54:$E61))))</f>
        <v>6600.0000000000009</v>
      </c>
      <c r="Q63" s="426">
        <f t="array" ref="Q63">SUM(Q54:Q61*(($E54:$E61/(1+$E54:$E61))))</f>
        <v>6600.0000000000009</v>
      </c>
      <c r="R63" s="426">
        <f t="array" ref="R63">SUM(R54:R61*(($E54:$E61/(1+$E54:$E61))))</f>
        <v>6600.0000000000009</v>
      </c>
      <c r="S63" s="426">
        <f t="array" ref="S63">SUM(S54:S61*(($E54:$E61/(1+$E54:$E61))))</f>
        <v>6600.0000000000009</v>
      </c>
      <c r="T63" s="426">
        <f t="array" ref="T63">SUM(T54:T61*(($E54:$E61/(1+$E54:$E61))))</f>
        <v>6600.0000000000009</v>
      </c>
      <c r="U63" s="426">
        <f t="array" ref="U63">SUM(U54:U61*(($E54:$E61/(1+$E54:$E61))))</f>
        <v>6600.0000000000009</v>
      </c>
      <c r="V63" s="427">
        <f t="shared" si="33"/>
        <v>59800.000000000007</v>
      </c>
      <c r="W63" s="426">
        <f t="array" ref="W63">SUM(W54:W61*(($E54:$E61/(1+$E54:$E61))))</f>
        <v>6600.0000000000009</v>
      </c>
      <c r="X63" s="426">
        <f t="array" ref="X63">SUM(X54:X61*(($E54:$E61/(1+$E54:$E61))))</f>
        <v>8200.0000000000018</v>
      </c>
      <c r="Y63" s="426">
        <f t="array" ref="Y63">SUM(Y54:Y61*(($E54:$E61/(1+$E54:$E61))))</f>
        <v>9200.0000000000018</v>
      </c>
      <c r="Z63" s="426">
        <f t="array" ref="Z63">SUM(Z54:Z61*(($E54:$E61/(1+$E54:$E61))))</f>
        <v>9200.0000000000018</v>
      </c>
      <c r="AA63" s="426">
        <f t="array" ref="AA63">SUM(AA54:AA61*(($E54:$E61/(1+$E54:$E61))))</f>
        <v>9200.0000000000018</v>
      </c>
      <c r="AB63" s="426">
        <f t="array" ref="AB63">SUM(AB54:AB61*(($E54:$E61/(1+$E54:$E61))))</f>
        <v>10200.000000000002</v>
      </c>
      <c r="AC63" s="426">
        <f t="array" ref="AC63">SUM(AC54:AC61*(($E54:$E61/(1+$E54:$E61))))</f>
        <v>10200.000000000002</v>
      </c>
      <c r="AD63" s="426">
        <f t="array" ref="AD63">SUM(AD54:AD61*(($E54:$E61/(1+$E54:$E61))))</f>
        <v>10200.000000000002</v>
      </c>
      <c r="AE63" s="426">
        <f t="array" ref="AE63">SUM(AE54:AE61*(($E54:$E61/(1+$E54:$E61))))</f>
        <v>10200.000000000002</v>
      </c>
      <c r="AF63" s="426">
        <f t="array" ref="AF63">SUM(AF54:AF61*(($E54:$E61/(1+$E54:$E61))))</f>
        <v>11600.000000000002</v>
      </c>
      <c r="AG63" s="426">
        <f t="array" ref="AG63">SUM(AG54:AG61*(($E54:$E61/(1+$E54:$E61))))</f>
        <v>11600.000000000002</v>
      </c>
      <c r="AH63" s="426">
        <f t="array" ref="AH63">SUM(AH54:AH61*(($E54:$E61/(1+$E54:$E61))))</f>
        <v>11600.000000000002</v>
      </c>
      <c r="AI63" s="427">
        <f t="shared" si="35"/>
        <v>118000.00000000001</v>
      </c>
    </row>
    <row r="64" spans="1:35" s="286" customFormat="1">
      <c r="B64" s="287"/>
      <c r="C64" s="288"/>
      <c r="D64" s="423"/>
      <c r="E64" s="289"/>
      <c r="F64" s="290"/>
      <c r="G64" s="291"/>
      <c r="H64" s="292" t="s">
        <v>163</v>
      </c>
      <c r="I64" s="293"/>
      <c r="J64" s="426">
        <f t="shared" ref="J64:U64" si="40">COUNTIF(J54:J61,"&gt;0")</f>
        <v>1</v>
      </c>
      <c r="K64" s="426">
        <f t="shared" si="40"/>
        <v>2</v>
      </c>
      <c r="L64" s="426">
        <f t="shared" si="40"/>
        <v>2</v>
      </c>
      <c r="M64" s="426">
        <f t="shared" si="40"/>
        <v>2</v>
      </c>
      <c r="N64" s="426">
        <f t="shared" si="40"/>
        <v>3</v>
      </c>
      <c r="O64" s="426">
        <f t="shared" si="40"/>
        <v>4</v>
      </c>
      <c r="P64" s="426">
        <f t="shared" si="40"/>
        <v>4</v>
      </c>
      <c r="Q64" s="426">
        <f t="shared" si="40"/>
        <v>4</v>
      </c>
      <c r="R64" s="426">
        <f t="shared" si="40"/>
        <v>4</v>
      </c>
      <c r="S64" s="426">
        <f t="shared" si="40"/>
        <v>4</v>
      </c>
      <c r="T64" s="426">
        <f t="shared" si="40"/>
        <v>4</v>
      </c>
      <c r="U64" s="426">
        <f t="shared" si="40"/>
        <v>4</v>
      </c>
      <c r="V64" s="427"/>
      <c r="W64" s="426">
        <f t="shared" ref="W64:AH64" si="41">COUNTIF(W54:W61,"&gt;0")</f>
        <v>4</v>
      </c>
      <c r="X64" s="426">
        <f t="shared" si="41"/>
        <v>5</v>
      </c>
      <c r="Y64" s="426">
        <f t="shared" si="41"/>
        <v>6</v>
      </c>
      <c r="Z64" s="426">
        <f t="shared" si="41"/>
        <v>6</v>
      </c>
      <c r="AA64" s="426">
        <f t="shared" si="41"/>
        <v>6</v>
      </c>
      <c r="AB64" s="426">
        <f t="shared" si="41"/>
        <v>7</v>
      </c>
      <c r="AC64" s="426">
        <f t="shared" si="41"/>
        <v>7</v>
      </c>
      <c r="AD64" s="426">
        <f t="shared" si="41"/>
        <v>7</v>
      </c>
      <c r="AE64" s="426">
        <f t="shared" si="41"/>
        <v>7</v>
      </c>
      <c r="AF64" s="426">
        <f t="shared" si="41"/>
        <v>8</v>
      </c>
      <c r="AG64" s="426">
        <f t="shared" si="41"/>
        <v>8</v>
      </c>
      <c r="AH64" s="426">
        <f t="shared" si="41"/>
        <v>8</v>
      </c>
      <c r="AI64" s="427"/>
    </row>
    <row r="65" spans="1:35" s="7" customFormat="1">
      <c r="A65" s="95"/>
      <c r="B65" s="67"/>
      <c r="C65" s="64"/>
      <c r="D65" s="422"/>
      <c r="E65" s="88"/>
      <c r="F65" s="24"/>
      <c r="G65" s="68"/>
      <c r="H65" s="118"/>
      <c r="I65" s="260"/>
      <c r="J65" s="52"/>
      <c r="K65" s="52"/>
      <c r="L65" s="52"/>
      <c r="M65" s="52"/>
      <c r="N65" s="52"/>
      <c r="O65" s="52"/>
      <c r="P65" s="52"/>
      <c r="Q65" s="52"/>
      <c r="R65" s="52"/>
      <c r="S65" s="52"/>
      <c r="T65" s="52"/>
      <c r="U65" s="52"/>
      <c r="V65" s="104"/>
      <c r="W65" s="52"/>
      <c r="X65" s="52"/>
      <c r="Y65" s="52"/>
      <c r="Z65" s="52"/>
      <c r="AA65" s="52"/>
      <c r="AB65" s="52"/>
      <c r="AC65" s="52"/>
      <c r="AD65" s="52"/>
      <c r="AE65" s="52"/>
      <c r="AF65" s="52"/>
      <c r="AG65" s="52"/>
      <c r="AH65" s="52"/>
      <c r="AI65" s="104"/>
    </row>
    <row r="66" spans="1:35" s="7" customFormat="1">
      <c r="A66" s="95"/>
      <c r="B66" s="67"/>
      <c r="C66" s="64"/>
      <c r="D66" s="422"/>
      <c r="E66" s="88"/>
      <c r="F66" s="24"/>
      <c r="G66" s="68"/>
      <c r="H66" s="257" t="s">
        <v>59</v>
      </c>
      <c r="I66" s="267"/>
      <c r="J66" s="428"/>
      <c r="K66" s="428"/>
      <c r="L66" s="428"/>
      <c r="M66" s="428"/>
      <c r="N66" s="428"/>
      <c r="O66" s="428"/>
      <c r="P66" s="428"/>
      <c r="Q66" s="428"/>
      <c r="R66" s="428"/>
      <c r="S66" s="428"/>
      <c r="T66" s="428"/>
      <c r="U66" s="429"/>
      <c r="V66" s="430"/>
      <c r="W66" s="428"/>
      <c r="X66" s="428"/>
      <c r="Y66" s="428"/>
      <c r="Z66" s="428"/>
      <c r="AA66" s="428"/>
      <c r="AB66" s="428"/>
      <c r="AC66" s="428"/>
      <c r="AD66" s="428"/>
      <c r="AE66" s="428"/>
      <c r="AF66" s="428"/>
      <c r="AG66" s="428"/>
      <c r="AH66" s="429"/>
      <c r="AI66" s="430"/>
    </row>
    <row r="67" spans="1:35" s="7" customFormat="1">
      <c r="A67" s="95"/>
      <c r="B67" s="67"/>
      <c r="C67" s="250">
        <v>42430</v>
      </c>
      <c r="D67" s="421">
        <v>120000</v>
      </c>
      <c r="E67" s="142">
        <v>0.5</v>
      </c>
      <c r="F67" s="24"/>
      <c r="G67" s="68"/>
      <c r="H67" s="118" t="s">
        <v>60</v>
      </c>
      <c r="I67" s="260"/>
      <c r="J67" s="52">
        <f>IF(J$2&gt;=$C67,(($D67*(1+$E67))*(1+$E$4))/12,0)</f>
        <v>0</v>
      </c>
      <c r="K67" s="52">
        <f t="shared" ref="K67:T67" si="42">IF(K$2&gt;=$C67,(($D67*(1+$E67))*(1+$E$4))/12,0)</f>
        <v>0</v>
      </c>
      <c r="L67" s="52">
        <f>IF(L$2&gt;=$C67,(($D67*(1+$E67))*(1+$E$4))/12,0)</f>
        <v>18000</v>
      </c>
      <c r="M67" s="52">
        <f t="shared" si="42"/>
        <v>18000</v>
      </c>
      <c r="N67" s="52">
        <f t="shared" si="42"/>
        <v>18000</v>
      </c>
      <c r="O67" s="52">
        <f t="shared" si="42"/>
        <v>18000</v>
      </c>
      <c r="P67" s="52">
        <f t="shared" si="42"/>
        <v>18000</v>
      </c>
      <c r="Q67" s="52">
        <f t="shared" si="42"/>
        <v>18000</v>
      </c>
      <c r="R67" s="52">
        <f t="shared" si="42"/>
        <v>18000</v>
      </c>
      <c r="S67" s="52">
        <f t="shared" si="42"/>
        <v>18000</v>
      </c>
      <c r="T67" s="52">
        <f t="shared" si="42"/>
        <v>18000</v>
      </c>
      <c r="U67" s="52">
        <f>IF(U$2&gt;=$C67,(($D67*(1+$E67))*(1+$E$4))/12,0)</f>
        <v>18000</v>
      </c>
      <c r="V67" s="104">
        <f t="shared" ref="V67:V73" si="43">SUM(J67:U67)</f>
        <v>180000</v>
      </c>
      <c r="W67" s="52">
        <f>IF(W$2&gt;=$C67,(($D67*(1+$E67))*(1+$E$4))/12,0)</f>
        <v>18000</v>
      </c>
      <c r="X67" s="52">
        <f t="shared" ref="X67:AH67" si="44">IF(X$2&gt;=$C67,(($D67*(1+$E67))*(1+$E$4))/12,0)</f>
        <v>18000</v>
      </c>
      <c r="Y67" s="52">
        <f t="shared" si="44"/>
        <v>18000</v>
      </c>
      <c r="Z67" s="52">
        <f t="shared" si="44"/>
        <v>18000</v>
      </c>
      <c r="AA67" s="52">
        <f t="shared" si="44"/>
        <v>18000</v>
      </c>
      <c r="AB67" s="52">
        <f t="shared" si="44"/>
        <v>18000</v>
      </c>
      <c r="AC67" s="52">
        <f t="shared" si="44"/>
        <v>18000</v>
      </c>
      <c r="AD67" s="52">
        <f t="shared" si="44"/>
        <v>18000</v>
      </c>
      <c r="AE67" s="52">
        <f t="shared" si="44"/>
        <v>18000</v>
      </c>
      <c r="AF67" s="52">
        <f t="shared" si="44"/>
        <v>18000</v>
      </c>
      <c r="AG67" s="52">
        <f t="shared" si="44"/>
        <v>18000</v>
      </c>
      <c r="AH67" s="52">
        <f t="shared" si="44"/>
        <v>18000</v>
      </c>
      <c r="AI67" s="104">
        <f t="shared" ref="AI67:AI73" si="45">SUM(W67:AH67)</f>
        <v>216000</v>
      </c>
    </row>
    <row r="68" spans="1:35" s="7" customFormat="1">
      <c r="A68" s="95"/>
      <c r="B68" s="67"/>
      <c r="C68" s="562" t="s">
        <v>116</v>
      </c>
      <c r="D68" s="421">
        <v>70000</v>
      </c>
      <c r="E68" s="142">
        <v>1</v>
      </c>
      <c r="F68" s="24"/>
      <c r="G68" s="68"/>
      <c r="H68" s="118" t="s">
        <v>106</v>
      </c>
      <c r="I68" s="260"/>
      <c r="J68" s="52">
        <f>((($D68*(1+$E68))*(1+$E$4))/12)*'Sales Team Hiring Plan'!E50</f>
        <v>14000</v>
      </c>
      <c r="K68" s="52">
        <f>((($D68*(1+$E68))*(1+$E$4))/12)*'Sales Team Hiring Plan'!F50</f>
        <v>28000</v>
      </c>
      <c r="L68" s="52">
        <f>((($D68*(1+$E68))*(1+$E$4))/12)*'Sales Team Hiring Plan'!G50</f>
        <v>28000</v>
      </c>
      <c r="M68" s="52">
        <f>((($D68*(1+$E68))*(1+$E$4))/12)*'Sales Team Hiring Plan'!H50</f>
        <v>28000</v>
      </c>
      <c r="N68" s="52">
        <f>((($D68*(1+$E68))*(1+$E$4))/12)*'Sales Team Hiring Plan'!I50</f>
        <v>28000</v>
      </c>
      <c r="O68" s="52">
        <f>((($D68*(1+$E68))*(1+$E$4))/12)*'Sales Team Hiring Plan'!J50</f>
        <v>28000</v>
      </c>
      <c r="P68" s="52">
        <f>((($D68*(1+$E68))*(1+$E$4))/12)*'Sales Team Hiring Plan'!K50</f>
        <v>28000</v>
      </c>
      <c r="Q68" s="52">
        <f>((($D68*(1+$E68))*(1+$E$4))/12)*'Sales Team Hiring Plan'!L50</f>
        <v>28000</v>
      </c>
      <c r="R68" s="52">
        <f>((($D68*(1+$E68))*(1+$E$4))/12)*'Sales Team Hiring Plan'!M50</f>
        <v>28000</v>
      </c>
      <c r="S68" s="52">
        <f>((($D68*(1+$E68))*(1+$E$4))/12)*'Sales Team Hiring Plan'!N50</f>
        <v>28000</v>
      </c>
      <c r="T68" s="52">
        <f>((($D68*(1+$E68))*(1+$E$4))/12)*'Sales Team Hiring Plan'!O50</f>
        <v>28000</v>
      </c>
      <c r="U68" s="52">
        <f>((($D68*(1+$E68))*(1+$E$4))/12)*'Sales Team Hiring Plan'!P50</f>
        <v>28000</v>
      </c>
      <c r="V68" s="104">
        <f t="shared" si="43"/>
        <v>322000</v>
      </c>
      <c r="W68" s="52">
        <f>((($D68*(1+$E68))*(1+$E$4))/12)*'Sales Team Hiring Plan'!Q50</f>
        <v>28000</v>
      </c>
      <c r="X68" s="52">
        <f>((($D68*(1+$E68))*(1+$E$4))/12)*'Sales Team Hiring Plan'!R50</f>
        <v>28000</v>
      </c>
      <c r="Y68" s="52">
        <f>((($D68*(1+$E68))*(1+$E$4))/12)*'Sales Team Hiring Plan'!S50</f>
        <v>28000</v>
      </c>
      <c r="Z68" s="52">
        <f>((($D68*(1+$E68))*(1+$E$4))/12)*'Sales Team Hiring Plan'!T50</f>
        <v>28000</v>
      </c>
      <c r="AA68" s="52">
        <f>((($D68*(1+$E68))*(1+$E$4))/12)*'Sales Team Hiring Plan'!U50</f>
        <v>28000</v>
      </c>
      <c r="AB68" s="52">
        <f>((($D68*(1+$E68))*(1+$E$4))/12)*'Sales Team Hiring Plan'!V50</f>
        <v>28000</v>
      </c>
      <c r="AC68" s="52">
        <f>((($D68*(1+$E68))*(1+$E$4))/12)*'Sales Team Hiring Plan'!W50</f>
        <v>28000</v>
      </c>
      <c r="AD68" s="52">
        <f>((($D68*(1+$E68))*(1+$E$4))/12)*'Sales Team Hiring Plan'!X50</f>
        <v>42000</v>
      </c>
      <c r="AE68" s="52">
        <f>((($D68*(1+$E68))*(1+$E$4))/12)*'Sales Team Hiring Plan'!Y50</f>
        <v>42000</v>
      </c>
      <c r="AF68" s="52">
        <f>((($D68*(1+$E68))*(1+$E$4))/12)*'Sales Team Hiring Plan'!Z50</f>
        <v>42000</v>
      </c>
      <c r="AG68" s="52">
        <f>((($D68*(1+$E68))*(1+$E$4))/12)*'Sales Team Hiring Plan'!AA50</f>
        <v>42000</v>
      </c>
      <c r="AH68" s="52">
        <f>((($D68*(1+$E68))*(1+$E$4))/12)*'Sales Team Hiring Plan'!AB50</f>
        <v>42000</v>
      </c>
      <c r="AI68" s="104">
        <f t="shared" si="45"/>
        <v>406000</v>
      </c>
    </row>
    <row r="69" spans="1:35" s="7" customFormat="1">
      <c r="A69" s="95"/>
      <c r="B69" s="67"/>
      <c r="C69" s="562"/>
      <c r="D69" s="421">
        <v>55000</v>
      </c>
      <c r="E69" s="142">
        <v>1</v>
      </c>
      <c r="F69" s="24"/>
      <c r="G69" s="68"/>
      <c r="H69" s="118" t="s">
        <v>195</v>
      </c>
      <c r="I69" s="260"/>
      <c r="J69" s="52">
        <f>((($D69*(1+$E69))*(1+$E$4))/12)*'Sales Team Hiring Plan'!E48</f>
        <v>55000</v>
      </c>
      <c r="K69" s="52">
        <f>((($D69*(1+$E69))*(1+$E$4))/12)*'Sales Team Hiring Plan'!F48</f>
        <v>121000</v>
      </c>
      <c r="L69" s="52">
        <f>((($D69*(1+$E69))*(1+$E$4))/12)*'Sales Team Hiring Plan'!G48</f>
        <v>121000</v>
      </c>
      <c r="M69" s="52">
        <f>((($D69*(1+$E69))*(1+$E$4))/12)*'Sales Team Hiring Plan'!H48</f>
        <v>121000</v>
      </c>
      <c r="N69" s="52">
        <f>((($D69*(1+$E69))*(1+$E$4))/12)*'Sales Team Hiring Plan'!I48</f>
        <v>121000</v>
      </c>
      <c r="O69" s="52">
        <f>((($D69*(1+$E69))*(1+$E$4))/12)*'Sales Team Hiring Plan'!J48</f>
        <v>121000</v>
      </c>
      <c r="P69" s="52">
        <f>((($D69*(1+$E69))*(1+$E$4))/12)*'Sales Team Hiring Plan'!K48</f>
        <v>121000</v>
      </c>
      <c r="Q69" s="52">
        <f>((($D69*(1+$E69))*(1+$E$4))/12)*'Sales Team Hiring Plan'!L48</f>
        <v>121000</v>
      </c>
      <c r="R69" s="52">
        <f>((($D69*(1+$E69))*(1+$E$4))/12)*'Sales Team Hiring Plan'!M48</f>
        <v>121000</v>
      </c>
      <c r="S69" s="52">
        <f>((($D69*(1+$E69))*(1+$E$4))/12)*'Sales Team Hiring Plan'!N48</f>
        <v>121000</v>
      </c>
      <c r="T69" s="52">
        <f>((($D69*(1+$E69))*(1+$E$4))/12)*'Sales Team Hiring Plan'!O48</f>
        <v>121000</v>
      </c>
      <c r="U69" s="52">
        <f>((($D69*(1+$E69))*(1+$E$4))/12)*'Sales Team Hiring Plan'!P48</f>
        <v>121000</v>
      </c>
      <c r="V69" s="104">
        <f t="shared" si="43"/>
        <v>1386000</v>
      </c>
      <c r="W69" s="52">
        <f>((($D69*(1+$E69))*(1+$E$4))/12)*'Sales Team Hiring Plan'!Q48</f>
        <v>121000</v>
      </c>
      <c r="X69" s="52">
        <f>((($D69*(1+$E69))*(1+$E$4))/12)*'Sales Team Hiring Plan'!R48</f>
        <v>121000</v>
      </c>
      <c r="Y69" s="52">
        <f>((($D69*(1+$E69))*(1+$E$4))/12)*'Sales Team Hiring Plan'!S48</f>
        <v>121000</v>
      </c>
      <c r="Z69" s="52">
        <f>((($D69*(1+$E69))*(1+$E$4))/12)*'Sales Team Hiring Plan'!T48</f>
        <v>121000</v>
      </c>
      <c r="AA69" s="52">
        <f>((($D69*(1+$E69))*(1+$E$4))/12)*'Sales Team Hiring Plan'!U48</f>
        <v>121000</v>
      </c>
      <c r="AB69" s="52">
        <f>((($D69*(1+$E69))*(1+$E$4))/12)*'Sales Team Hiring Plan'!V48</f>
        <v>143000</v>
      </c>
      <c r="AC69" s="52">
        <f>((($D69*(1+$E69))*(1+$E$4))/12)*'Sales Team Hiring Plan'!W48</f>
        <v>143000</v>
      </c>
      <c r="AD69" s="52">
        <f>((($D69*(1+$E69))*(1+$E$4))/12)*'Sales Team Hiring Plan'!X48</f>
        <v>165000</v>
      </c>
      <c r="AE69" s="52">
        <f>((($D69*(1+$E69))*(1+$E$4))/12)*'Sales Team Hiring Plan'!Y48</f>
        <v>187000</v>
      </c>
      <c r="AF69" s="52">
        <f>((($D69*(1+$E69))*(1+$E$4))/12)*'Sales Team Hiring Plan'!Z48</f>
        <v>187000</v>
      </c>
      <c r="AG69" s="52">
        <f>((($D69*(1+$E69))*(1+$E$4))/12)*'Sales Team Hiring Plan'!AA48</f>
        <v>187000</v>
      </c>
      <c r="AH69" s="52">
        <f>((($D69*(1+$E69))*(1+$E$4))/12)*'Sales Team Hiring Plan'!AB48</f>
        <v>187000</v>
      </c>
      <c r="AI69" s="104">
        <f t="shared" si="45"/>
        <v>1804000</v>
      </c>
    </row>
    <row r="70" spans="1:35" s="7" customFormat="1">
      <c r="A70" s="95"/>
      <c r="B70" s="67"/>
      <c r="C70" s="562"/>
      <c r="D70" s="421">
        <v>60000</v>
      </c>
      <c r="E70" s="142">
        <v>1</v>
      </c>
      <c r="F70" s="24"/>
      <c r="G70" s="68"/>
      <c r="H70" s="118" t="s">
        <v>107</v>
      </c>
      <c r="I70" s="260"/>
      <c r="J70" s="52">
        <f>((($D70*(1+$E70))*(1+$E$4))/12)*'Sales Team Hiring Plan'!E52</f>
        <v>0</v>
      </c>
      <c r="K70" s="52">
        <f>((($D70*(1+$E70))*(1+$E$4))/12)*'Sales Team Hiring Plan'!F52</f>
        <v>12000</v>
      </c>
      <c r="L70" s="52">
        <f>((($D70*(1+$E70))*(1+$E$4))/12)*'Sales Team Hiring Plan'!G52</f>
        <v>12000</v>
      </c>
      <c r="M70" s="52">
        <f>((($D70*(1+$E70))*(1+$E$4))/12)*'Sales Team Hiring Plan'!H52</f>
        <v>12000</v>
      </c>
      <c r="N70" s="52">
        <f>((($D70*(1+$E70))*(1+$E$4))/12)*'Sales Team Hiring Plan'!I52</f>
        <v>12000</v>
      </c>
      <c r="O70" s="52">
        <f>((($D70*(1+$E70))*(1+$E$4))/12)*'Sales Team Hiring Plan'!J52</f>
        <v>12000</v>
      </c>
      <c r="P70" s="52">
        <f>((($D70*(1+$E70))*(1+$E$4))/12)*'Sales Team Hiring Plan'!K52</f>
        <v>12000</v>
      </c>
      <c r="Q70" s="52">
        <f>((($D70*(1+$E70))*(1+$E$4))/12)*'Sales Team Hiring Plan'!L52</f>
        <v>12000</v>
      </c>
      <c r="R70" s="52">
        <f>((($D70*(1+$E70))*(1+$E$4))/12)*'Sales Team Hiring Plan'!M52</f>
        <v>12000</v>
      </c>
      <c r="S70" s="52">
        <f>((($D70*(1+$E70))*(1+$E$4))/12)*'Sales Team Hiring Plan'!N52</f>
        <v>12000</v>
      </c>
      <c r="T70" s="52">
        <f>((($D70*(1+$E70))*(1+$E$4))/12)*'Sales Team Hiring Plan'!O52</f>
        <v>12000</v>
      </c>
      <c r="U70" s="52">
        <f>((($D70*(1+$E70))*(1+$E$4))/12)*'Sales Team Hiring Plan'!P52</f>
        <v>12000</v>
      </c>
      <c r="V70" s="104">
        <f t="shared" si="43"/>
        <v>132000</v>
      </c>
      <c r="W70" s="52">
        <f>((($D70*(1+$E70))*(1+$E$4))/12)*'Sales Team Hiring Plan'!Q52</f>
        <v>12000</v>
      </c>
      <c r="X70" s="52">
        <f>((($D70*(1+$E70))*(1+$E$4))/12)*'Sales Team Hiring Plan'!R52</f>
        <v>12000</v>
      </c>
      <c r="Y70" s="52">
        <f>((($D70*(1+$E70))*(1+$E$4))/12)*'Sales Team Hiring Plan'!S52</f>
        <v>12000</v>
      </c>
      <c r="Z70" s="52">
        <f>((($D70*(1+$E70))*(1+$E$4))/12)*'Sales Team Hiring Plan'!T52</f>
        <v>12000</v>
      </c>
      <c r="AA70" s="52">
        <f>((($D70*(1+$E70))*(1+$E$4))/12)*'Sales Team Hiring Plan'!U52</f>
        <v>12000</v>
      </c>
      <c r="AB70" s="52">
        <f>((($D70*(1+$E70))*(1+$E$4))/12)*'Sales Team Hiring Plan'!V52</f>
        <v>12000</v>
      </c>
      <c r="AC70" s="52">
        <f>((($D70*(1+$E70))*(1+$E$4))/12)*'Sales Team Hiring Plan'!W52</f>
        <v>12000</v>
      </c>
      <c r="AD70" s="52">
        <f>((($D70*(1+$E70))*(1+$E$4))/12)*'Sales Team Hiring Plan'!X52</f>
        <v>12000</v>
      </c>
      <c r="AE70" s="52">
        <f>((($D70*(1+$E70))*(1+$E$4))/12)*'Sales Team Hiring Plan'!Y52</f>
        <v>12000</v>
      </c>
      <c r="AF70" s="52">
        <f>((($D70*(1+$E70))*(1+$E$4))/12)*'Sales Team Hiring Plan'!Z52</f>
        <v>12000</v>
      </c>
      <c r="AG70" s="52">
        <f>((($D70*(1+$E70))*(1+$E$4))/12)*'Sales Team Hiring Plan'!AA52</f>
        <v>12000</v>
      </c>
      <c r="AH70" s="52">
        <f>((($D70*(1+$E70))*(1+$E$4))/12)*'Sales Team Hiring Plan'!AB52</f>
        <v>12000</v>
      </c>
      <c r="AI70" s="104">
        <f t="shared" si="45"/>
        <v>144000</v>
      </c>
    </row>
    <row r="71" spans="1:35" s="7" customFormat="1">
      <c r="A71" s="95"/>
      <c r="B71" s="67"/>
      <c r="C71" s="562"/>
      <c r="D71" s="421">
        <v>35000</v>
      </c>
      <c r="E71" s="142">
        <v>1</v>
      </c>
      <c r="F71" s="24"/>
      <c r="G71" s="68"/>
      <c r="H71" s="118" t="s">
        <v>74</v>
      </c>
      <c r="I71" s="260"/>
      <c r="J71" s="52">
        <f>((($D71*(1+$E71))*(1+$E$4))/12)*'Sales Team Hiring Plan'!E51</f>
        <v>14000</v>
      </c>
      <c r="K71" s="52">
        <f>((($D71*(1+$E71))*(1+$E$4))/12)*'Sales Team Hiring Plan'!F51</f>
        <v>28000</v>
      </c>
      <c r="L71" s="52">
        <f>((($D71*(1+$E71))*(1+$E$4))/12)*'Sales Team Hiring Plan'!G51</f>
        <v>28000</v>
      </c>
      <c r="M71" s="52">
        <f>((($D71*(1+$E71))*(1+$E$4))/12)*'Sales Team Hiring Plan'!H51</f>
        <v>28000</v>
      </c>
      <c r="N71" s="52">
        <f>((($D71*(1+$E71))*(1+$E$4))/12)*'Sales Team Hiring Plan'!I51</f>
        <v>28000</v>
      </c>
      <c r="O71" s="52">
        <f>((($D71*(1+$E71))*(1+$E$4))/12)*'Sales Team Hiring Plan'!J51</f>
        <v>28000</v>
      </c>
      <c r="P71" s="52">
        <f>((($D71*(1+$E71))*(1+$E$4))/12)*'Sales Team Hiring Plan'!K51</f>
        <v>28000</v>
      </c>
      <c r="Q71" s="52">
        <f>((($D71*(1+$E71))*(1+$E$4))/12)*'Sales Team Hiring Plan'!L51</f>
        <v>28000</v>
      </c>
      <c r="R71" s="52">
        <f>((($D71*(1+$E71))*(1+$E$4))/12)*'Sales Team Hiring Plan'!M51</f>
        <v>28000</v>
      </c>
      <c r="S71" s="52">
        <f>((($D71*(1+$E71))*(1+$E$4))/12)*'Sales Team Hiring Plan'!N51</f>
        <v>28000</v>
      </c>
      <c r="T71" s="52">
        <f>((($D71*(1+$E71))*(1+$E$4))/12)*'Sales Team Hiring Plan'!O51</f>
        <v>28000</v>
      </c>
      <c r="U71" s="52">
        <f>((($D71*(1+$E71))*(1+$E$4))/12)*'Sales Team Hiring Plan'!P51</f>
        <v>28000</v>
      </c>
      <c r="V71" s="104">
        <f t="shared" si="43"/>
        <v>322000</v>
      </c>
      <c r="W71" s="52">
        <f>((($D71*(1+$E71))*(1+$E$4))/12)*'Sales Team Hiring Plan'!Q51</f>
        <v>28000</v>
      </c>
      <c r="X71" s="52">
        <f>((($D71*(1+$E71))*(1+$E$4))/12)*'Sales Team Hiring Plan'!R51</f>
        <v>28000</v>
      </c>
      <c r="Y71" s="52">
        <f>((($D71*(1+$E71))*(1+$E$4))/12)*'Sales Team Hiring Plan'!S51</f>
        <v>28000</v>
      </c>
      <c r="Z71" s="52">
        <f>((($D71*(1+$E71))*(1+$E$4))/12)*'Sales Team Hiring Plan'!T51</f>
        <v>28000</v>
      </c>
      <c r="AA71" s="52">
        <f>((($D71*(1+$E71))*(1+$E$4))/12)*'Sales Team Hiring Plan'!U51</f>
        <v>28000</v>
      </c>
      <c r="AB71" s="52">
        <f>((($D71*(1+$E71))*(1+$E$4))/12)*'Sales Team Hiring Plan'!V51</f>
        <v>35000</v>
      </c>
      <c r="AC71" s="52">
        <f>((($D71*(1+$E71))*(1+$E$4))/12)*'Sales Team Hiring Plan'!W51</f>
        <v>35000</v>
      </c>
      <c r="AD71" s="52">
        <f>((($D71*(1+$E71))*(1+$E$4))/12)*'Sales Team Hiring Plan'!X51</f>
        <v>35000</v>
      </c>
      <c r="AE71" s="52">
        <f>((($D71*(1+$E71))*(1+$E$4))/12)*'Sales Team Hiring Plan'!Y51</f>
        <v>42000</v>
      </c>
      <c r="AF71" s="52">
        <f>((($D71*(1+$E71))*(1+$E$4))/12)*'Sales Team Hiring Plan'!Z51</f>
        <v>42000</v>
      </c>
      <c r="AG71" s="52">
        <f>((($D71*(1+$E71))*(1+$E$4))/12)*'Sales Team Hiring Plan'!AA51</f>
        <v>42000</v>
      </c>
      <c r="AH71" s="52">
        <f>((($D71*(1+$E71))*(1+$E$4))/12)*'Sales Team Hiring Plan'!AB51</f>
        <v>42000</v>
      </c>
      <c r="AI71" s="104">
        <f t="shared" si="45"/>
        <v>413000</v>
      </c>
    </row>
    <row r="72" spans="1:35" s="7" customFormat="1">
      <c r="A72" s="95"/>
      <c r="B72" s="67"/>
      <c r="C72" s="64"/>
      <c r="D72" s="64"/>
      <c r="E72" s="88"/>
      <c r="F72" s="24"/>
      <c r="G72" s="68"/>
      <c r="H72" s="121" t="s">
        <v>151</v>
      </c>
      <c r="I72" s="268" t="s">
        <v>121</v>
      </c>
      <c r="J72" s="70">
        <f>SUM(J67:J71)</f>
        <v>83000</v>
      </c>
      <c r="K72" s="70">
        <f t="shared" ref="K72:U72" si="46">SUM(K67:K71)</f>
        <v>189000</v>
      </c>
      <c r="L72" s="70">
        <f t="shared" si="46"/>
        <v>207000</v>
      </c>
      <c r="M72" s="70">
        <f t="shared" si="46"/>
        <v>207000</v>
      </c>
      <c r="N72" s="70">
        <f t="shared" si="46"/>
        <v>207000</v>
      </c>
      <c r="O72" s="70">
        <f t="shared" si="46"/>
        <v>207000</v>
      </c>
      <c r="P72" s="70">
        <f t="shared" si="46"/>
        <v>207000</v>
      </c>
      <c r="Q72" s="70">
        <f t="shared" si="46"/>
        <v>207000</v>
      </c>
      <c r="R72" s="70">
        <f t="shared" si="46"/>
        <v>207000</v>
      </c>
      <c r="S72" s="70">
        <f t="shared" si="46"/>
        <v>207000</v>
      </c>
      <c r="T72" s="70">
        <f t="shared" si="46"/>
        <v>207000</v>
      </c>
      <c r="U72" s="70">
        <f t="shared" si="46"/>
        <v>207000</v>
      </c>
      <c r="V72" s="315">
        <f t="shared" si="43"/>
        <v>2342000</v>
      </c>
      <c r="W72" s="70">
        <f t="shared" ref="W72:AH72" si="47">SUM(W67:W71)</f>
        <v>207000</v>
      </c>
      <c r="X72" s="70">
        <f t="shared" si="47"/>
        <v>207000</v>
      </c>
      <c r="Y72" s="70">
        <f t="shared" si="47"/>
        <v>207000</v>
      </c>
      <c r="Z72" s="70">
        <f t="shared" si="47"/>
        <v>207000</v>
      </c>
      <c r="AA72" s="70">
        <f t="shared" si="47"/>
        <v>207000</v>
      </c>
      <c r="AB72" s="70">
        <f t="shared" si="47"/>
        <v>236000</v>
      </c>
      <c r="AC72" s="70">
        <f t="shared" si="47"/>
        <v>236000</v>
      </c>
      <c r="AD72" s="70">
        <f t="shared" si="47"/>
        <v>272000</v>
      </c>
      <c r="AE72" s="70">
        <f t="shared" si="47"/>
        <v>301000</v>
      </c>
      <c r="AF72" s="70">
        <f t="shared" si="47"/>
        <v>301000</v>
      </c>
      <c r="AG72" s="70">
        <f t="shared" si="47"/>
        <v>301000</v>
      </c>
      <c r="AH72" s="70">
        <f t="shared" si="47"/>
        <v>301000</v>
      </c>
      <c r="AI72" s="315">
        <f t="shared" si="45"/>
        <v>2983000</v>
      </c>
    </row>
    <row r="73" spans="1:35" s="286" customFormat="1">
      <c r="B73" s="287"/>
      <c r="C73" s="288"/>
      <c r="D73" s="288"/>
      <c r="E73" s="289"/>
      <c r="F73" s="290"/>
      <c r="G73" s="291"/>
      <c r="H73" s="292" t="s">
        <v>285</v>
      </c>
      <c r="I73" s="293"/>
      <c r="J73" s="426">
        <f t="array" ref="J73">SUM(J67:J71*(($E67:$E71/(1+$E67:$E71))))</f>
        <v>41500</v>
      </c>
      <c r="K73" s="426">
        <f t="array" ref="K73">SUM(K67:K71*(($E67:$E71/(1+$E67:$E71))))</f>
        <v>94500</v>
      </c>
      <c r="L73" s="426">
        <f t="array" ref="L73">SUM(L67:L71*(($E67:$E71/(1+$E67:$E71))))</f>
        <v>100500</v>
      </c>
      <c r="M73" s="426">
        <f t="array" ref="M73">SUM(M67:M71*(($E67:$E71/(1+$E67:$E71))))</f>
        <v>100500</v>
      </c>
      <c r="N73" s="426">
        <f t="array" ref="N73">SUM(N67:N71*(($E67:$E71/(1+$E67:$E71))))</f>
        <v>100500</v>
      </c>
      <c r="O73" s="426">
        <f t="array" ref="O73">SUM(O67:O71*(($E67:$E71/(1+$E67:$E71))))</f>
        <v>100500</v>
      </c>
      <c r="P73" s="426">
        <f t="array" ref="P73">SUM(P67:P71*(($E67:$E71/(1+$E67:$E71))))</f>
        <v>100500</v>
      </c>
      <c r="Q73" s="426">
        <f t="array" ref="Q73">SUM(Q67:Q71*(($E67:$E71/(1+$E67:$E71))))</f>
        <v>100500</v>
      </c>
      <c r="R73" s="426">
        <f t="array" ref="R73">SUM(R67:R71*(($E67:$E71/(1+$E67:$E71))))</f>
        <v>100500</v>
      </c>
      <c r="S73" s="426">
        <f t="array" ref="S73">SUM(S67:S71*(($E67:$E71/(1+$E67:$E71))))</f>
        <v>100500</v>
      </c>
      <c r="T73" s="426">
        <f t="array" ref="T73">SUM(T67:T71*(($E67:$E71/(1+$E67:$E71))))</f>
        <v>100500</v>
      </c>
      <c r="U73" s="426">
        <f t="array" ref="U73">SUM(U67:U71*(($E67:$E71/(1+$E67:$E71))))</f>
        <v>100500</v>
      </c>
      <c r="V73" s="427">
        <f t="shared" si="43"/>
        <v>1141000</v>
      </c>
      <c r="W73" s="426">
        <f t="array" ref="W73">SUM(W67:W71*(($E67:$E71/(1+$E67:$E71))))</f>
        <v>100500</v>
      </c>
      <c r="X73" s="426">
        <f t="array" ref="X73">SUM(X67:X71*(($E67:$E71/(1+$E67:$E71))))</f>
        <v>100500</v>
      </c>
      <c r="Y73" s="426">
        <f t="array" ref="Y73">SUM(Y67:Y71*(($E67:$E71/(1+$E67:$E71))))</f>
        <v>100500</v>
      </c>
      <c r="Z73" s="426">
        <f t="array" ref="Z73">SUM(Z67:Z71*(($E67:$E71/(1+$E67:$E71))))</f>
        <v>100500</v>
      </c>
      <c r="AA73" s="426">
        <f t="array" ref="AA73">SUM(AA67:AA71*(($E67:$E71/(1+$E67:$E71))))</f>
        <v>100500</v>
      </c>
      <c r="AB73" s="426">
        <f t="array" ref="AB73">SUM(AB67:AB71*(($E67:$E71/(1+$E67:$E71))))</f>
        <v>115000</v>
      </c>
      <c r="AC73" s="426">
        <f t="array" ref="AC73">SUM(AC67:AC71*(($E67:$E71/(1+$E67:$E71))))</f>
        <v>115000</v>
      </c>
      <c r="AD73" s="426">
        <f t="array" ref="AD73">SUM(AD67:AD71*(($E67:$E71/(1+$E67:$E71))))</f>
        <v>133000</v>
      </c>
      <c r="AE73" s="426">
        <f t="array" ref="AE73">SUM(AE67:AE71*(($E67:$E71/(1+$E67:$E71))))</f>
        <v>147500</v>
      </c>
      <c r="AF73" s="426">
        <f t="array" ref="AF73">SUM(AF67:AF71*(($E67:$E71/(1+$E67:$E71))))</f>
        <v>147500</v>
      </c>
      <c r="AG73" s="426">
        <f t="array" ref="AG73">SUM(AG67:AG71*(($E67:$E71/(1+$E67:$E71))))</f>
        <v>147500</v>
      </c>
      <c r="AH73" s="426">
        <f t="array" ref="AH73">SUM(AH67:AH71*(($E67:$E71/(1+$E67:$E71))))</f>
        <v>147500</v>
      </c>
      <c r="AI73" s="427">
        <f t="shared" si="45"/>
        <v>1455500</v>
      </c>
    </row>
    <row r="74" spans="1:35" s="286" customFormat="1">
      <c r="B74" s="287"/>
      <c r="C74" s="288"/>
      <c r="D74" s="288"/>
      <c r="E74" s="289"/>
      <c r="F74" s="290"/>
      <c r="G74" s="291"/>
      <c r="H74" s="292" t="s">
        <v>164</v>
      </c>
      <c r="I74" s="293"/>
      <c r="J74" s="426">
        <f>COUNTIF(J67,"&gt;0")+'Sales Team Hiring Plan'!E54</f>
        <v>8</v>
      </c>
      <c r="K74" s="426">
        <f>COUNTIF(K67,"&gt;0")+'Sales Team Hiring Plan'!F54</f>
        <v>18</v>
      </c>
      <c r="L74" s="426">
        <f>COUNTIF(L67,"&gt;0")+'Sales Team Hiring Plan'!G54</f>
        <v>19</v>
      </c>
      <c r="M74" s="426">
        <f>COUNTIF(M67,"&gt;0")+'Sales Team Hiring Plan'!H54</f>
        <v>19</v>
      </c>
      <c r="N74" s="426">
        <f>COUNTIF(N67,"&gt;0")+'Sales Team Hiring Plan'!I54</f>
        <v>19</v>
      </c>
      <c r="O74" s="426">
        <f>COUNTIF(O67,"&gt;0")+'Sales Team Hiring Plan'!J54</f>
        <v>19</v>
      </c>
      <c r="P74" s="426">
        <f>COUNTIF(P67,"&gt;0")+'Sales Team Hiring Plan'!K54</f>
        <v>19</v>
      </c>
      <c r="Q74" s="426">
        <f>COUNTIF(Q67,"&gt;0")+'Sales Team Hiring Plan'!L54</f>
        <v>19</v>
      </c>
      <c r="R74" s="426">
        <f>COUNTIF(R67,"&gt;0")+'Sales Team Hiring Plan'!M54</f>
        <v>19</v>
      </c>
      <c r="S74" s="426">
        <f>COUNTIF(S67,"&gt;0")+'Sales Team Hiring Plan'!N54</f>
        <v>19</v>
      </c>
      <c r="T74" s="426">
        <f>COUNTIF(T67,"&gt;0")+'Sales Team Hiring Plan'!O54</f>
        <v>19</v>
      </c>
      <c r="U74" s="426">
        <f>COUNTIF(U67,"&gt;0")+'Sales Team Hiring Plan'!P54</f>
        <v>19</v>
      </c>
      <c r="V74" s="427"/>
      <c r="W74" s="426">
        <f>COUNTIF(W67,"&gt;0")+'Sales Team Hiring Plan'!Q54</f>
        <v>19</v>
      </c>
      <c r="X74" s="426">
        <f>COUNTIF(X67,"&gt;0")+'Sales Team Hiring Plan'!R54</f>
        <v>19</v>
      </c>
      <c r="Y74" s="426">
        <f>COUNTIF(Y67,"&gt;0")+'Sales Team Hiring Plan'!S54</f>
        <v>19</v>
      </c>
      <c r="Z74" s="426">
        <f>COUNTIF(Z67,"&gt;0")+'Sales Team Hiring Plan'!T54</f>
        <v>19</v>
      </c>
      <c r="AA74" s="426">
        <f>COUNTIF(AA67,"&gt;0")+'Sales Team Hiring Plan'!U54</f>
        <v>19</v>
      </c>
      <c r="AB74" s="426">
        <f>COUNTIF(AB67,"&gt;0")+'Sales Team Hiring Plan'!V54</f>
        <v>22</v>
      </c>
      <c r="AC74" s="426">
        <f>COUNTIF(AC67,"&gt;0")+'Sales Team Hiring Plan'!W54</f>
        <v>22</v>
      </c>
      <c r="AD74" s="426">
        <f>COUNTIF(AD67,"&gt;0")+'Sales Team Hiring Plan'!X54</f>
        <v>25</v>
      </c>
      <c r="AE74" s="426">
        <f>COUNTIF(AE67,"&gt;0")+'Sales Team Hiring Plan'!Y54</f>
        <v>28</v>
      </c>
      <c r="AF74" s="426">
        <f>COUNTIF(AF67,"&gt;0")+'Sales Team Hiring Plan'!Z54</f>
        <v>28</v>
      </c>
      <c r="AG74" s="426">
        <f>COUNTIF(AG67,"&gt;0")+'Sales Team Hiring Plan'!AA54</f>
        <v>28</v>
      </c>
      <c r="AH74" s="426">
        <f>COUNTIF(AH67,"&gt;0")+'Sales Team Hiring Plan'!AB54</f>
        <v>28</v>
      </c>
      <c r="AI74" s="427"/>
    </row>
    <row r="75" spans="1:35" s="7" customFormat="1">
      <c r="A75" s="95"/>
      <c r="B75" s="67"/>
      <c r="C75" s="64"/>
      <c r="D75" s="64"/>
      <c r="E75" s="88"/>
      <c r="F75" s="24"/>
      <c r="G75" s="68"/>
      <c r="H75" s="118"/>
      <c r="I75" s="260"/>
      <c r="J75" s="52"/>
      <c r="K75" s="52"/>
      <c r="L75" s="52"/>
      <c r="M75" s="52"/>
      <c r="N75" s="52"/>
      <c r="O75" s="52"/>
      <c r="P75" s="52"/>
      <c r="Q75" s="52"/>
      <c r="R75" s="52"/>
      <c r="S75" s="52"/>
      <c r="T75" s="52"/>
      <c r="U75" s="52"/>
      <c r="V75" s="104"/>
      <c r="W75" s="52"/>
      <c r="X75" s="52"/>
      <c r="Y75" s="52"/>
      <c r="Z75" s="52"/>
      <c r="AA75" s="52"/>
      <c r="AB75" s="52"/>
      <c r="AC75" s="52"/>
      <c r="AD75" s="52"/>
      <c r="AE75" s="52"/>
      <c r="AF75" s="52"/>
      <c r="AG75" s="52"/>
      <c r="AH75" s="52"/>
      <c r="AI75" s="104"/>
    </row>
    <row r="76" spans="1:35" s="7" customFormat="1">
      <c r="A76" s="95"/>
      <c r="B76" s="67"/>
      <c r="C76" s="64"/>
      <c r="D76" s="64"/>
      <c r="E76" s="88"/>
      <c r="F76" s="24"/>
      <c r="G76" s="68"/>
      <c r="H76" s="257" t="s">
        <v>117</v>
      </c>
      <c r="I76" s="267"/>
      <c r="J76" s="428"/>
      <c r="K76" s="428"/>
      <c r="L76" s="428"/>
      <c r="M76" s="428"/>
      <c r="N76" s="428"/>
      <c r="O76" s="428"/>
      <c r="P76" s="428"/>
      <c r="Q76" s="428"/>
      <c r="R76" s="428"/>
      <c r="S76" s="428"/>
      <c r="T76" s="428"/>
      <c r="U76" s="429"/>
      <c r="V76" s="430"/>
      <c r="W76" s="428"/>
      <c r="X76" s="428"/>
      <c r="Y76" s="428"/>
      <c r="Z76" s="428"/>
      <c r="AA76" s="428"/>
      <c r="AB76" s="428"/>
      <c r="AC76" s="428"/>
      <c r="AD76" s="428"/>
      <c r="AE76" s="428"/>
      <c r="AF76" s="428"/>
      <c r="AG76" s="428"/>
      <c r="AH76" s="429"/>
      <c r="AI76" s="430"/>
    </row>
    <row r="77" spans="1:35" s="7" customFormat="1">
      <c r="A77" s="95"/>
      <c r="B77" s="67"/>
      <c r="C77" s="250">
        <v>42614</v>
      </c>
      <c r="D77" s="421">
        <v>150000</v>
      </c>
      <c r="E77" s="140">
        <v>0.2</v>
      </c>
      <c r="F77" s="24"/>
      <c r="G77" s="68"/>
      <c r="H77" s="118" t="s">
        <v>118</v>
      </c>
      <c r="I77" s="260"/>
      <c r="J77" s="52">
        <f t="shared" ref="J77:U77" si="48">IF(J$2&gt;=$C77,(($D77*(1+$E77))*(1+$E$4))/12,0)</f>
        <v>0</v>
      </c>
      <c r="K77" s="52">
        <f t="shared" si="48"/>
        <v>0</v>
      </c>
      <c r="L77" s="52">
        <f t="shared" si="48"/>
        <v>0</v>
      </c>
      <c r="M77" s="52">
        <f t="shared" si="48"/>
        <v>0</v>
      </c>
      <c r="N77" s="52">
        <f t="shared" si="48"/>
        <v>0</v>
      </c>
      <c r="O77" s="52">
        <f t="shared" si="48"/>
        <v>0</v>
      </c>
      <c r="P77" s="52">
        <f t="shared" si="48"/>
        <v>0</v>
      </c>
      <c r="Q77" s="52">
        <f t="shared" si="48"/>
        <v>0</v>
      </c>
      <c r="R77" s="52">
        <f t="shared" si="48"/>
        <v>18000</v>
      </c>
      <c r="S77" s="52">
        <f t="shared" si="48"/>
        <v>18000</v>
      </c>
      <c r="T77" s="52">
        <f t="shared" si="48"/>
        <v>18000</v>
      </c>
      <c r="U77" s="52">
        <f t="shared" si="48"/>
        <v>18000</v>
      </c>
      <c r="V77" s="104">
        <f t="shared" ref="V77:V82" si="49">SUM(J77:U77)</f>
        <v>72000</v>
      </c>
      <c r="W77" s="52">
        <f>IF(W$2&gt;=$C77,(($D77*(1+$E77))*(1+$E$4))/12,0)</f>
        <v>18000</v>
      </c>
      <c r="X77" s="52">
        <f t="shared" ref="X77:AH77" si="50">IF(X$2&gt;=$C77,(($D77*(1+$E77))*(1+$E$4))/12,0)</f>
        <v>18000</v>
      </c>
      <c r="Y77" s="52">
        <f t="shared" si="50"/>
        <v>18000</v>
      </c>
      <c r="Z77" s="52">
        <f t="shared" si="50"/>
        <v>18000</v>
      </c>
      <c r="AA77" s="52">
        <f t="shared" si="50"/>
        <v>18000</v>
      </c>
      <c r="AB77" s="52">
        <f t="shared" si="50"/>
        <v>18000</v>
      </c>
      <c r="AC77" s="52">
        <f t="shared" si="50"/>
        <v>18000</v>
      </c>
      <c r="AD77" s="52">
        <f t="shared" si="50"/>
        <v>18000</v>
      </c>
      <c r="AE77" s="52">
        <f t="shared" si="50"/>
        <v>18000</v>
      </c>
      <c r="AF77" s="52">
        <f t="shared" si="50"/>
        <v>18000</v>
      </c>
      <c r="AG77" s="52">
        <f t="shared" si="50"/>
        <v>18000</v>
      </c>
      <c r="AH77" s="52">
        <f t="shared" si="50"/>
        <v>18000</v>
      </c>
      <c r="AI77" s="104">
        <f t="shared" ref="AI77:AI82" si="51">SUM(W77:AH77)</f>
        <v>216000</v>
      </c>
    </row>
    <row r="78" spans="1:35" s="7" customFormat="1">
      <c r="A78" s="95"/>
      <c r="B78" s="67"/>
      <c r="C78" s="252">
        <v>200</v>
      </c>
      <c r="D78" s="421">
        <v>40000</v>
      </c>
      <c r="E78" s="140">
        <v>0.2</v>
      </c>
      <c r="F78" s="24"/>
      <c r="G78" s="68"/>
      <c r="H78" s="118" t="s">
        <v>119</v>
      </c>
      <c r="I78" s="260"/>
      <c r="J78" s="52">
        <f>(ROUNDUP((Revenues!I$28+Revenues!I$55)/$C$78,0))*($D78*(1+$E78)*(1+$E$4))/12</f>
        <v>4800</v>
      </c>
      <c r="K78" s="52">
        <f>(ROUNDUP((Revenues!J$28+Revenues!J$55)/$C$78,0))*($D78*(1+$E78)*(1+$E$4))/12</f>
        <v>9600</v>
      </c>
      <c r="L78" s="52">
        <f>(ROUNDUP((Revenues!K$28+Revenues!K$55)/$C$78,0))*($D78*(1+$E78)*(1+$E$4))/12</f>
        <v>9600</v>
      </c>
      <c r="M78" s="52">
        <f>(ROUNDUP((Revenues!L$28+Revenues!L$55)/$C$78,0))*($D78*(1+$E78)*(1+$E$4))/12</f>
        <v>14400</v>
      </c>
      <c r="N78" s="52">
        <f>(ROUNDUP((Revenues!M$28+Revenues!M$55)/$C$78,0))*($D78*(1+$E78)*(1+$E$4))/12</f>
        <v>14400</v>
      </c>
      <c r="O78" s="52">
        <f>(ROUNDUP((Revenues!N$28+Revenues!N$55)/$C$78,0))*($D78*(1+$E78)*(1+$E$4))/12</f>
        <v>19200</v>
      </c>
      <c r="P78" s="52">
        <f>(ROUNDUP((Revenues!O$28+Revenues!O$55)/$C$78,0))*($D78*(1+$E78)*(1+$E$4))/12</f>
        <v>24000</v>
      </c>
      <c r="Q78" s="52">
        <f>(ROUNDUP((Revenues!P$28+Revenues!P$55)/$C$78,0))*($D78*(1+$E78)*(1+$E$4))/12</f>
        <v>28800</v>
      </c>
      <c r="R78" s="52">
        <f>(ROUNDUP((Revenues!Q$28+Revenues!Q$55)/$C$78,0))*($D78*(1+$E78)*(1+$E$4))/12</f>
        <v>33600</v>
      </c>
      <c r="S78" s="52">
        <f>(ROUNDUP((Revenues!R$28+Revenues!R$55)/$C$78,0))*($D78*(1+$E78)*(1+$E$4))/12</f>
        <v>38400</v>
      </c>
      <c r="T78" s="52">
        <f>(ROUNDUP((Revenues!S$28+Revenues!S$55)/$C$78,0))*($D78*(1+$E78)*(1+$E$4))/12</f>
        <v>43200</v>
      </c>
      <c r="U78" s="52">
        <f>(ROUNDUP((Revenues!T$28+Revenues!T$55)/$C$78,0))*($D78*(1+$E78)*(1+$E$4))/12</f>
        <v>48000</v>
      </c>
      <c r="V78" s="104">
        <f t="shared" si="49"/>
        <v>288000</v>
      </c>
      <c r="W78" s="52">
        <f>(ROUNDUP((Revenues!V$28+Revenues!V$55)/$C$78,0))*($D78*(1+$E78)*(1+$E$4))/12</f>
        <v>57600</v>
      </c>
      <c r="X78" s="52">
        <f>(ROUNDUP((Revenues!W$28+Revenues!W$55)/$C$78,0))*($D78*(1+$E78)*(1+$E$4))/12</f>
        <v>62400</v>
      </c>
      <c r="Y78" s="52">
        <f>(ROUNDUP((Revenues!X$28+Revenues!X$55)/$C$78,0))*($D78*(1+$E78)*(1+$E$4))/12</f>
        <v>72000</v>
      </c>
      <c r="Z78" s="52">
        <f>(ROUNDUP((Revenues!Y$28+Revenues!Y$55)/$C$78,0))*($D78*(1+$E78)*(1+$E$4))/12</f>
        <v>76800</v>
      </c>
      <c r="AA78" s="52">
        <f>(ROUNDUP((Revenues!Z$28+Revenues!Z$55)/$C$78,0))*($D78*(1+$E78)*(1+$E$4))/12</f>
        <v>86400</v>
      </c>
      <c r="AB78" s="52">
        <f>(ROUNDUP((Revenues!AA$28+Revenues!AA$55)/$C$78,0))*($D78*(1+$E78)*(1+$E$4))/12</f>
        <v>96000</v>
      </c>
      <c r="AC78" s="52">
        <f>(ROUNDUP((Revenues!AB$28+Revenues!AB$55)/$C$78,0))*($D78*(1+$E78)*(1+$E$4))/12</f>
        <v>110400</v>
      </c>
      <c r="AD78" s="52">
        <f>(ROUNDUP((Revenues!AC$28+Revenues!AC$55)/$C$78,0))*($D78*(1+$E78)*(1+$E$4))/12</f>
        <v>120000</v>
      </c>
      <c r="AE78" s="52">
        <f>(ROUNDUP((Revenues!AD$28+Revenues!AD$55)/$C$78,0))*($D78*(1+$E78)*(1+$E$4))/12</f>
        <v>134400</v>
      </c>
      <c r="AF78" s="52">
        <f>(ROUNDUP((Revenues!AE$28+Revenues!AE$55)/$C$78,0))*($D78*(1+$E78)*(1+$E$4))/12</f>
        <v>148800</v>
      </c>
      <c r="AG78" s="52">
        <f>(ROUNDUP((Revenues!AF$28+Revenues!AF$55)/$C$78,0))*($D78*(1+$E78)*(1+$E$4))/12</f>
        <v>163200</v>
      </c>
      <c r="AH78" s="52">
        <f>(ROUNDUP((Revenues!AG$28+Revenues!AG$55)/$C$78,0))*($D78*(1+$E78)*(1+$E$4))/12</f>
        <v>177600</v>
      </c>
      <c r="AI78" s="104">
        <f t="shared" si="51"/>
        <v>1305600</v>
      </c>
    </row>
    <row r="79" spans="1:35" s="7" customFormat="1">
      <c r="A79" s="95"/>
      <c r="B79" s="67"/>
      <c r="C79" s="252">
        <v>40</v>
      </c>
      <c r="D79" s="421">
        <v>50000</v>
      </c>
      <c r="E79" s="140">
        <v>0.2</v>
      </c>
      <c r="F79" s="24"/>
      <c r="G79" s="68"/>
      <c r="H79" s="118" t="s">
        <v>197</v>
      </c>
      <c r="I79" s="260"/>
      <c r="J79" s="52">
        <f>(ROUNDUP((Revenues!I$80)/$C$79,0))*($D79*(1+$E79)*(1+$E$4))/12</f>
        <v>6000</v>
      </c>
      <c r="K79" s="52">
        <f>(ROUNDUP((Revenues!J$80)/$C$79,0))*($D79*(1+$E79)*(1+$E$4))/12</f>
        <v>6000</v>
      </c>
      <c r="L79" s="52">
        <f>(ROUNDUP((Revenues!K$80)/$C$79,0))*($D79*(1+$E79)*(1+$E$4))/12</f>
        <v>6000</v>
      </c>
      <c r="M79" s="52">
        <f>(ROUNDUP((Revenues!L$80)/$C$79,0))*($D79*(1+$E79)*(1+$E$4))/12</f>
        <v>12000</v>
      </c>
      <c r="N79" s="52">
        <f>(ROUNDUP((Revenues!M$80)/$C$79,0))*($D79*(1+$E79)*(1+$E$4))/12</f>
        <v>12000</v>
      </c>
      <c r="O79" s="52">
        <f>(ROUNDUP((Revenues!N$80)/$C$79,0))*($D79*(1+$E79)*(1+$E$4))/12</f>
        <v>12000</v>
      </c>
      <c r="P79" s="52">
        <f>(ROUNDUP((Revenues!O$80)/$C$79,0))*($D79*(1+$E79)*(1+$E$4))/12</f>
        <v>12000</v>
      </c>
      <c r="Q79" s="52">
        <f>(ROUNDUP((Revenues!P$80)/$C$79,0))*($D79*(1+$E79)*(1+$E$4))/12</f>
        <v>12000</v>
      </c>
      <c r="R79" s="52">
        <f>(ROUNDUP((Revenues!Q$80)/$C$79,0))*($D79*(1+$E79)*(1+$E$4))/12</f>
        <v>12000</v>
      </c>
      <c r="S79" s="52">
        <f>(ROUNDUP((Revenues!R$80)/$C$79,0))*($D79*(1+$E79)*(1+$E$4))/12</f>
        <v>12000</v>
      </c>
      <c r="T79" s="52">
        <f>(ROUNDUP((Revenues!S$80)/$C$79,0))*($D79*(1+$E79)*(1+$E$4))/12</f>
        <v>12000</v>
      </c>
      <c r="U79" s="52">
        <f>(ROUNDUP((Revenues!T$80)/$C$79,0))*($D79*(1+$E79)*(1+$E$4))/12</f>
        <v>12000</v>
      </c>
      <c r="V79" s="104">
        <f t="shared" si="49"/>
        <v>126000</v>
      </c>
      <c r="W79" s="52">
        <f>(ROUNDUP((Revenues!V$80)/$C$79,0))*($D79*(1+$E79)*(1+$E$4))/12</f>
        <v>18000</v>
      </c>
      <c r="X79" s="52">
        <f>(ROUNDUP((Revenues!W$80)/$C$79,0))*($D79*(1+$E79)*(1+$E$4))/12</f>
        <v>18000</v>
      </c>
      <c r="Y79" s="52">
        <f>(ROUNDUP((Revenues!X$80)/$C$79,0))*($D79*(1+$E79)*(1+$E$4))/12</f>
        <v>18000</v>
      </c>
      <c r="Z79" s="52">
        <f>(ROUNDUP((Revenues!Y$80)/$C$79,0))*($D79*(1+$E79)*(1+$E$4))/12</f>
        <v>18000</v>
      </c>
      <c r="AA79" s="52">
        <f>(ROUNDUP((Revenues!Z$80)/$C$79,0))*($D79*(1+$E79)*(1+$E$4))/12</f>
        <v>18000</v>
      </c>
      <c r="AB79" s="52">
        <f>(ROUNDUP((Revenues!AA$80)/$C$79,0))*($D79*(1+$E79)*(1+$E$4))/12</f>
        <v>18000</v>
      </c>
      <c r="AC79" s="52">
        <f>(ROUNDUP((Revenues!AB$80)/$C$79,0))*($D79*(1+$E79)*(1+$E$4))/12</f>
        <v>18000</v>
      </c>
      <c r="AD79" s="52">
        <f>(ROUNDUP((Revenues!AC$80)/$C$79,0))*($D79*(1+$E79)*(1+$E$4))/12</f>
        <v>24000</v>
      </c>
      <c r="AE79" s="52">
        <f>(ROUNDUP((Revenues!AD$80)/$C$79,0))*($D79*(1+$E79)*(1+$E$4))/12</f>
        <v>24000</v>
      </c>
      <c r="AF79" s="52">
        <f>(ROUNDUP((Revenues!AE$80)/$C$79,0))*($D79*(1+$E79)*(1+$E$4))/12</f>
        <v>24000</v>
      </c>
      <c r="AG79" s="52">
        <f>(ROUNDUP((Revenues!AF$80)/$C$79,0))*($D79*(1+$E79)*(1+$E$4))/12</f>
        <v>24000</v>
      </c>
      <c r="AH79" s="52">
        <f>(ROUNDUP((Revenues!AG$80)/$C$79,0))*($D79*(1+$E79)*(1+$E$4))/12</f>
        <v>24000</v>
      </c>
      <c r="AI79" s="104">
        <f t="shared" si="51"/>
        <v>246000</v>
      </c>
    </row>
    <row r="80" spans="1:35" s="7" customFormat="1">
      <c r="A80" s="95"/>
      <c r="B80" s="67"/>
      <c r="C80" s="253">
        <v>8</v>
      </c>
      <c r="D80" s="421">
        <v>70000</v>
      </c>
      <c r="E80" s="140">
        <v>0.2</v>
      </c>
      <c r="F80" s="24"/>
      <c r="G80" s="68"/>
      <c r="H80" s="118" t="s">
        <v>192</v>
      </c>
      <c r="I80" s="260"/>
      <c r="J80" s="52">
        <f>(ROUNDUP(((ROUNDUP((Revenues!I$28+Revenues!I$55)/$C$78,0))+(ROUNDUP((Revenues!I$80)/$C$79,0)))/$C$80,0))*($D80*(1+$E80)*(1+$E$4))/12</f>
        <v>8400</v>
      </c>
      <c r="K80" s="52">
        <f>(ROUNDUP(((ROUNDUP((Revenues!J$28+Revenues!J$55)/$C$78,0))+(ROUNDUP((Revenues!J$80)/$C$79,0)))/$C$80,0))*($D80*(1+$E80)*(1+$E$4))/12</f>
        <v>8400</v>
      </c>
      <c r="L80" s="52">
        <f>(ROUNDUP(((ROUNDUP((Revenues!K$28+Revenues!K$55)/$C$78,0))+(ROUNDUP((Revenues!K$80)/$C$79,0)))/$C$80,0))*($D80*(1+$E80)*(1+$E$4))/12</f>
        <v>8400</v>
      </c>
      <c r="M80" s="52">
        <f>(ROUNDUP(((ROUNDUP((Revenues!L$28+Revenues!L$55)/$C$78,0))+(ROUNDUP((Revenues!L$80)/$C$79,0)))/$C$80,0))*($D80*(1+$E80)*(1+$E$4))/12</f>
        <v>8400</v>
      </c>
      <c r="N80" s="52">
        <f>(ROUNDUP(((ROUNDUP((Revenues!M$28+Revenues!M$55)/$C$78,0))+(ROUNDUP((Revenues!M$80)/$C$79,0)))/$C$80,0))*($D80*(1+$E80)*(1+$E$4))/12</f>
        <v>8400</v>
      </c>
      <c r="O80" s="52">
        <f>(ROUNDUP(((ROUNDUP((Revenues!N$28+Revenues!N$55)/$C$78,0))+(ROUNDUP((Revenues!N$80)/$C$79,0)))/$C$80,0))*($D80*(1+$E80)*(1+$E$4))/12</f>
        <v>8400</v>
      </c>
      <c r="P80" s="52">
        <f>(ROUNDUP(((ROUNDUP((Revenues!O$28+Revenues!O$55)/$C$78,0))+(ROUNDUP((Revenues!O$80)/$C$79,0)))/$C$80,0))*($D80*(1+$E80)*(1+$E$4))/12</f>
        <v>8400</v>
      </c>
      <c r="Q80" s="52">
        <f>(ROUNDUP(((ROUNDUP((Revenues!P$28+Revenues!P$55)/$C$78,0))+(ROUNDUP((Revenues!P$80)/$C$79,0)))/$C$80,0))*($D80*(1+$E80)*(1+$E$4))/12</f>
        <v>8400</v>
      </c>
      <c r="R80" s="52">
        <f>(ROUNDUP(((ROUNDUP((Revenues!Q$28+Revenues!Q$55)/$C$78,0))+(ROUNDUP((Revenues!Q$80)/$C$79,0)))/$C$80,0))*($D80*(1+$E80)*(1+$E$4))/12</f>
        <v>16800</v>
      </c>
      <c r="S80" s="52">
        <f>(ROUNDUP(((ROUNDUP((Revenues!R$28+Revenues!R$55)/$C$78,0))+(ROUNDUP((Revenues!R$80)/$C$79,0)))/$C$80,0))*($D80*(1+$E80)*(1+$E$4))/12</f>
        <v>16800</v>
      </c>
      <c r="T80" s="52">
        <f>(ROUNDUP(((ROUNDUP((Revenues!S$28+Revenues!S$55)/$C$78,0))+(ROUNDUP((Revenues!S$80)/$C$79,0)))/$C$80,0))*($D80*(1+$E80)*(1+$E$4))/12</f>
        <v>16800</v>
      </c>
      <c r="U80" s="52">
        <f>(ROUNDUP(((ROUNDUP((Revenues!T$28+Revenues!T$55)/$C$78,0))+(ROUNDUP((Revenues!T$80)/$C$79,0)))/$C$80,0))*($D80*(1+$E80)*(1+$E$4))/12</f>
        <v>16800</v>
      </c>
      <c r="V80" s="104">
        <f t="shared" si="49"/>
        <v>134400</v>
      </c>
      <c r="W80" s="52">
        <f>(ROUNDUP(((ROUNDUP((Revenues!V$28+Revenues!V$55)/$C$78,0))+(ROUNDUP((Revenues!V$80)/$C$79,0)))/$C$80,0))*($D80*(1+$E80)*(1+$E$4))/12</f>
        <v>16800</v>
      </c>
      <c r="X80" s="52">
        <f>(ROUNDUP(((ROUNDUP((Revenues!W$28+Revenues!W$55)/$C$78,0))+(ROUNDUP((Revenues!W$80)/$C$79,0)))/$C$80,0))*($D80*(1+$E80)*(1+$E$4))/12</f>
        <v>16800</v>
      </c>
      <c r="Y80" s="52">
        <f>(ROUNDUP(((ROUNDUP((Revenues!X$28+Revenues!X$55)/$C$78,0))+(ROUNDUP((Revenues!X$80)/$C$79,0)))/$C$80,0))*($D80*(1+$E80)*(1+$E$4))/12</f>
        <v>25200</v>
      </c>
      <c r="Z80" s="52">
        <f>(ROUNDUP(((ROUNDUP((Revenues!Y$28+Revenues!Y$55)/$C$78,0))+(ROUNDUP((Revenues!Y$80)/$C$79,0)))/$C$80,0))*($D80*(1+$E80)*(1+$E$4))/12</f>
        <v>25200</v>
      </c>
      <c r="AA80" s="52">
        <f>(ROUNDUP(((ROUNDUP((Revenues!Z$28+Revenues!Z$55)/$C$78,0))+(ROUNDUP((Revenues!Z$80)/$C$79,0)))/$C$80,0))*($D80*(1+$E80)*(1+$E$4))/12</f>
        <v>25200</v>
      </c>
      <c r="AB80" s="52">
        <f>(ROUNDUP(((ROUNDUP((Revenues!AA$28+Revenues!AA$55)/$C$78,0))+(ROUNDUP((Revenues!AA$80)/$C$79,0)))/$C$80,0))*($D80*(1+$E80)*(1+$E$4))/12</f>
        <v>25200</v>
      </c>
      <c r="AC80" s="52">
        <f>(ROUNDUP(((ROUNDUP((Revenues!AB$28+Revenues!AB$55)/$C$78,0))+(ROUNDUP((Revenues!AB$80)/$C$79,0)))/$C$80,0))*($D80*(1+$E80)*(1+$E$4))/12</f>
        <v>33600</v>
      </c>
      <c r="AD80" s="52">
        <f>(ROUNDUP(((ROUNDUP((Revenues!AC$28+Revenues!AC$55)/$C$78,0))+(ROUNDUP((Revenues!AC$80)/$C$79,0)))/$C$80,0))*($D80*(1+$E80)*(1+$E$4))/12</f>
        <v>33600</v>
      </c>
      <c r="AE80" s="52">
        <f>(ROUNDUP(((ROUNDUP((Revenues!AD$28+Revenues!AD$55)/$C$78,0))+(ROUNDUP((Revenues!AD$80)/$C$79,0)))/$C$80,0))*($D80*(1+$E80)*(1+$E$4))/12</f>
        <v>33600</v>
      </c>
      <c r="AF80" s="52">
        <f>(ROUNDUP(((ROUNDUP((Revenues!AE$28+Revenues!AE$55)/$C$78,0))+(ROUNDUP((Revenues!AE$80)/$C$79,0)))/$C$80,0))*($D80*(1+$E80)*(1+$E$4))/12</f>
        <v>42000</v>
      </c>
      <c r="AG80" s="52">
        <f>(ROUNDUP(((ROUNDUP((Revenues!AF$28+Revenues!AF$55)/$C$78,0))+(ROUNDUP((Revenues!AF$80)/$C$79,0)))/$C$80,0))*($D80*(1+$E80)*(1+$E$4))/12</f>
        <v>42000</v>
      </c>
      <c r="AH80" s="52">
        <f>(ROUNDUP(((ROUNDUP((Revenues!AG$28+Revenues!AG$55)/$C$78,0))+(ROUNDUP((Revenues!AG$80)/$C$79,0)))/$C$80,0))*($D80*(1+$E80)*(1+$E$4))/12</f>
        <v>50400</v>
      </c>
      <c r="AI80" s="104">
        <f t="shared" si="51"/>
        <v>369600</v>
      </c>
    </row>
    <row r="81" spans="1:35" s="7" customFormat="1">
      <c r="A81" s="95"/>
      <c r="B81" s="67"/>
      <c r="C81" s="64"/>
      <c r="D81" s="64"/>
      <c r="E81" s="88"/>
      <c r="F81" s="24"/>
      <c r="G81" s="68"/>
      <c r="H81" s="121" t="s">
        <v>152</v>
      </c>
      <c r="I81" s="268" t="s">
        <v>122</v>
      </c>
      <c r="J81" s="70">
        <f t="shared" ref="J81:U81" si="52">SUM(J77:J80)</f>
        <v>19200</v>
      </c>
      <c r="K81" s="70">
        <f t="shared" si="52"/>
        <v>24000</v>
      </c>
      <c r="L81" s="70">
        <f t="shared" si="52"/>
        <v>24000</v>
      </c>
      <c r="M81" s="70">
        <f t="shared" si="52"/>
        <v>34800</v>
      </c>
      <c r="N81" s="70">
        <f t="shared" si="52"/>
        <v>34800</v>
      </c>
      <c r="O81" s="70">
        <f t="shared" si="52"/>
        <v>39600</v>
      </c>
      <c r="P81" s="70">
        <f t="shared" si="52"/>
        <v>44400</v>
      </c>
      <c r="Q81" s="70">
        <f t="shared" si="52"/>
        <v>49200</v>
      </c>
      <c r="R81" s="70">
        <f t="shared" si="52"/>
        <v>80400</v>
      </c>
      <c r="S81" s="70">
        <f t="shared" si="52"/>
        <v>85200</v>
      </c>
      <c r="T81" s="70">
        <f t="shared" si="52"/>
        <v>90000</v>
      </c>
      <c r="U81" s="70">
        <f t="shared" si="52"/>
        <v>94800</v>
      </c>
      <c r="V81" s="315">
        <f t="shared" si="49"/>
        <v>620400</v>
      </c>
      <c r="W81" s="70">
        <f t="shared" ref="W81:AH81" si="53">SUM(W77:W80)</f>
        <v>110400</v>
      </c>
      <c r="X81" s="70">
        <f t="shared" si="53"/>
        <v>115200</v>
      </c>
      <c r="Y81" s="70">
        <f t="shared" si="53"/>
        <v>133200</v>
      </c>
      <c r="Z81" s="70">
        <f t="shared" si="53"/>
        <v>138000</v>
      </c>
      <c r="AA81" s="70">
        <f t="shared" si="53"/>
        <v>147600</v>
      </c>
      <c r="AB81" s="70">
        <f t="shared" si="53"/>
        <v>157200</v>
      </c>
      <c r="AC81" s="70">
        <f t="shared" si="53"/>
        <v>180000</v>
      </c>
      <c r="AD81" s="70">
        <f t="shared" si="53"/>
        <v>195600</v>
      </c>
      <c r="AE81" s="70">
        <f t="shared" si="53"/>
        <v>210000</v>
      </c>
      <c r="AF81" s="70">
        <f t="shared" si="53"/>
        <v>232800</v>
      </c>
      <c r="AG81" s="70">
        <f t="shared" si="53"/>
        <v>247200</v>
      </c>
      <c r="AH81" s="70">
        <f t="shared" si="53"/>
        <v>270000</v>
      </c>
      <c r="AI81" s="315">
        <f t="shared" si="51"/>
        <v>2137200</v>
      </c>
    </row>
    <row r="82" spans="1:35" s="286" customFormat="1">
      <c r="B82" s="287"/>
      <c r="C82" s="288"/>
      <c r="D82" s="288"/>
      <c r="E82" s="289"/>
      <c r="F82" s="290"/>
      <c r="G82" s="291"/>
      <c r="H82" s="292" t="s">
        <v>285</v>
      </c>
      <c r="I82" s="293"/>
      <c r="J82" s="426">
        <f t="array" ref="J82">SUM(J77:J80*(($E77:$E80/(1+$E77:$E80))))</f>
        <v>3200.0000000000005</v>
      </c>
      <c r="K82" s="426">
        <f t="array" ref="K82">SUM(K77:K80*(($E77:$E80/(1+$E77:$E80))))</f>
        <v>4000.0000000000009</v>
      </c>
      <c r="L82" s="426">
        <f t="array" ref="L82">SUM(L77:L80*(($E77:$E80/(1+$E77:$E80))))</f>
        <v>4000.0000000000009</v>
      </c>
      <c r="M82" s="426">
        <f t="array" ref="M82">SUM(M77:M80*(($E77:$E80/(1+$E77:$E80))))</f>
        <v>5800.0000000000009</v>
      </c>
      <c r="N82" s="426">
        <f t="array" ref="N82">SUM(N77:N80*(($E77:$E80/(1+$E77:$E80))))</f>
        <v>5800.0000000000009</v>
      </c>
      <c r="O82" s="426">
        <f t="array" ref="O82">SUM(O77:O80*(($E77:$E80/(1+$E77:$E80))))</f>
        <v>6600.0000000000009</v>
      </c>
      <c r="P82" s="426">
        <f t="array" ref="P82">SUM(P77:P80*(($E77:$E80/(1+$E77:$E80))))</f>
        <v>7400.0000000000009</v>
      </c>
      <c r="Q82" s="426">
        <f t="array" ref="Q82">SUM(Q77:Q80*(($E77:$E80/(1+$E77:$E80))))</f>
        <v>8200.0000000000018</v>
      </c>
      <c r="R82" s="426">
        <f t="array" ref="R82">SUM(R77:R80*(($E77:$E80/(1+$E77:$E80))))</f>
        <v>13400.000000000002</v>
      </c>
      <c r="S82" s="426">
        <f t="array" ref="S82">SUM(S77:S80*(($E77:$E80/(1+$E77:$E80))))</f>
        <v>14200.000000000002</v>
      </c>
      <c r="T82" s="426">
        <f t="array" ref="T82">SUM(T77:T80*(($E77:$E80/(1+$E77:$E80))))</f>
        <v>15000.000000000002</v>
      </c>
      <c r="U82" s="426">
        <f t="array" ref="U82">SUM(U77:U80*(($E77:$E80/(1+$E77:$E80))))</f>
        <v>15800.000000000002</v>
      </c>
      <c r="V82" s="427">
        <f t="shared" si="49"/>
        <v>103400.00000000001</v>
      </c>
      <c r="W82" s="426">
        <f t="array" ref="W82">SUM(W77:W80*(($E77:$E80/(1+$E77:$E80))))</f>
        <v>18400.000000000004</v>
      </c>
      <c r="X82" s="426">
        <f t="array" ref="X82">SUM(X77:X80*(($E77:$E80/(1+$E77:$E80))))</f>
        <v>19200.000000000004</v>
      </c>
      <c r="Y82" s="426">
        <f t="array" ref="Y82">SUM(Y77:Y80*(($E77:$E80/(1+$E77:$E80))))</f>
        <v>22200.000000000004</v>
      </c>
      <c r="Z82" s="426">
        <f t="array" ref="Z82">SUM(Z77:Z80*(($E77:$E80/(1+$E77:$E80))))</f>
        <v>23000.000000000004</v>
      </c>
      <c r="AA82" s="426">
        <f t="array" ref="AA82">SUM(AA77:AA80*(($E77:$E80/(1+$E77:$E80))))</f>
        <v>24600.000000000004</v>
      </c>
      <c r="AB82" s="426">
        <f t="array" ref="AB82">SUM(AB77:AB80*(($E77:$E80/(1+$E77:$E80))))</f>
        <v>26200.000000000004</v>
      </c>
      <c r="AC82" s="426">
        <f t="array" ref="AC82">SUM(AC77:AC80*(($E77:$E80/(1+$E77:$E80))))</f>
        <v>30000.000000000004</v>
      </c>
      <c r="AD82" s="426">
        <f t="array" ref="AD82">SUM(AD77:AD80*(($E77:$E80/(1+$E77:$E80))))</f>
        <v>32600.000000000004</v>
      </c>
      <c r="AE82" s="426">
        <f t="array" ref="AE82">SUM(AE77:AE80*(($E77:$E80/(1+$E77:$E80))))</f>
        <v>35000.000000000007</v>
      </c>
      <c r="AF82" s="426">
        <f t="array" ref="AF82">SUM(AF77:AF80*(($E77:$E80/(1+$E77:$E80))))</f>
        <v>38800.000000000007</v>
      </c>
      <c r="AG82" s="426">
        <f t="array" ref="AG82">SUM(AG77:AG80*(($E77:$E80/(1+$E77:$E80))))</f>
        <v>41200.000000000007</v>
      </c>
      <c r="AH82" s="426">
        <f t="array" ref="AH82">SUM(AH77:AH80*(($E77:$E80/(1+$E77:$E80))))</f>
        <v>45000.000000000007</v>
      </c>
      <c r="AI82" s="427">
        <f t="shared" si="51"/>
        <v>356200.00000000006</v>
      </c>
    </row>
    <row r="83" spans="1:35" s="286" customFormat="1">
      <c r="B83" s="287"/>
      <c r="C83" s="288"/>
      <c r="D83" s="288"/>
      <c r="E83" s="289"/>
      <c r="F83" s="290"/>
      <c r="G83" s="291"/>
      <c r="H83" s="292" t="s">
        <v>165</v>
      </c>
      <c r="I83" s="293"/>
      <c r="J83" s="431">
        <f>COUNTIF(J77,"&gt;0")+ROUNDUP((Revenues!I$28+Revenues!I$55)/$C$78,0)+ROUNDUP((Revenues!I$80)/$C$79,0)+ROUNDUP(((ROUNDUP((Revenues!I$28+Revenues!I$55)/$C$78,0))+(ROUNDUP((Revenues!I$80)/$C$79,0)))/$C$80,0)</f>
        <v>3</v>
      </c>
      <c r="K83" s="426">
        <f>COUNTIF(K77,"&gt;0")+ROUNDUP((Revenues!J$28+Revenues!J$55)/$C$78,0)+ROUNDUP((Revenues!J$80)/$C$79,0)+ROUNDUP(((ROUNDUP((Revenues!J$28+Revenues!J$55)/$C$78,0))+(ROUNDUP((Revenues!J$80)/$C$79,0)))/$C$80,0)</f>
        <v>4</v>
      </c>
      <c r="L83" s="426">
        <f>COUNTIF(L77,"&gt;0")+ROUNDUP((Revenues!K$28+Revenues!K$55)/$C$78,0)+ROUNDUP((Revenues!K$80)/$C$79,0)+ROUNDUP(((ROUNDUP((Revenues!K$28+Revenues!K$55)/$C$78,0))+(ROUNDUP((Revenues!K$80)/$C$79,0)))/$C$80,0)</f>
        <v>4</v>
      </c>
      <c r="M83" s="426">
        <f>COUNTIF(M77,"&gt;0")+ROUNDUP((Revenues!L$28+Revenues!L$55)/$C$78,0)+ROUNDUP((Revenues!L$80)/$C$79,0)+ROUNDUP(((ROUNDUP((Revenues!L$28+Revenues!L$55)/$C$78,0))+(ROUNDUP((Revenues!L$80)/$C$79,0)))/$C$80,0)</f>
        <v>6</v>
      </c>
      <c r="N83" s="426">
        <f>COUNTIF(N77,"&gt;0")+ROUNDUP((Revenues!M$28+Revenues!M$55)/$C$78,0)+ROUNDUP((Revenues!M$80)/$C$79,0)+ROUNDUP(((ROUNDUP((Revenues!M$28+Revenues!M$55)/$C$78,0))+(ROUNDUP((Revenues!M$80)/$C$79,0)))/$C$80,0)</f>
        <v>6</v>
      </c>
      <c r="O83" s="426">
        <f>COUNTIF(O77,"&gt;0")+ROUNDUP((Revenues!N$28+Revenues!N$55)/$C$78,0)+ROUNDUP((Revenues!N$80)/$C$79,0)+ROUNDUP(((ROUNDUP((Revenues!N$28+Revenues!N$55)/$C$78,0))+(ROUNDUP((Revenues!N$80)/$C$79,0)))/$C$80,0)</f>
        <v>7</v>
      </c>
      <c r="P83" s="426">
        <f>COUNTIF(P77,"&gt;0")+ROUNDUP((Revenues!O$28+Revenues!O$55)/$C$78,0)+ROUNDUP((Revenues!O$80)/$C$79,0)+ROUNDUP(((ROUNDUP((Revenues!O$28+Revenues!O$55)/$C$78,0))+(ROUNDUP((Revenues!O$80)/$C$79,0)))/$C$80,0)</f>
        <v>8</v>
      </c>
      <c r="Q83" s="426">
        <f>COUNTIF(Q77,"&gt;0")+ROUNDUP((Revenues!P$28+Revenues!P$55)/$C$78,0)+ROUNDUP((Revenues!P$80)/$C$79,0)+ROUNDUP(((ROUNDUP((Revenues!P$28+Revenues!P$55)/$C$78,0))+(ROUNDUP((Revenues!P$80)/$C$79,0)))/$C$80,0)</f>
        <v>9</v>
      </c>
      <c r="R83" s="426">
        <f>COUNTIF(R77,"&gt;0")+ROUNDUP((Revenues!Q$28+Revenues!Q$55)/$C$78,0)+ROUNDUP((Revenues!Q$80)/$C$79,0)+ROUNDUP(((ROUNDUP((Revenues!Q$28+Revenues!Q$55)/$C$78,0))+(ROUNDUP((Revenues!Q$80)/$C$79,0)))/$C$80,0)</f>
        <v>12</v>
      </c>
      <c r="S83" s="426">
        <f>COUNTIF(S77,"&gt;0")+ROUNDUP((Revenues!R$28+Revenues!R$55)/$C$78,0)+ROUNDUP((Revenues!R$80)/$C$79,0)+ROUNDUP(((ROUNDUP((Revenues!R$28+Revenues!R$55)/$C$78,0))+(ROUNDUP((Revenues!R$80)/$C$79,0)))/$C$80,0)</f>
        <v>13</v>
      </c>
      <c r="T83" s="426">
        <f>COUNTIF(T77,"&gt;0")+ROUNDUP((Revenues!S$28+Revenues!S$55)/$C$78,0)+ROUNDUP((Revenues!S$80)/$C$79,0)+ROUNDUP(((ROUNDUP((Revenues!S$28+Revenues!S$55)/$C$78,0))+(ROUNDUP((Revenues!S$80)/$C$79,0)))/$C$80,0)</f>
        <v>14</v>
      </c>
      <c r="U83" s="432">
        <f>COUNTIF(U77,"&gt;0")+ROUNDUP((Revenues!T$28+Revenues!T$55)/$C$78,0)+ROUNDUP((Revenues!T$80)/$C$79,0)+ROUNDUP(((ROUNDUP((Revenues!T$28+Revenues!T$55)/$C$78,0))+(ROUNDUP((Revenues!T$80)/$C$79,0)))/$C$80,0)</f>
        <v>15</v>
      </c>
      <c r="V83" s="427"/>
      <c r="W83" s="431">
        <f>COUNTIF(W77,"&gt;0")+ROUNDUP((Revenues!V$28+Revenues!V$55)/$C$78,0)+ROUNDUP((Revenues!V$80)/$C$79,0)+ROUNDUP(((ROUNDUP((Revenues!V$28+Revenues!V$55)/$C$78,0))+(ROUNDUP((Revenues!V$80)/$C$79,0)))/$C$80,0)</f>
        <v>18</v>
      </c>
      <c r="X83" s="426">
        <f>COUNTIF(X77,"&gt;0")+ROUNDUP((Revenues!W$28+Revenues!W$55)/$C$78,0)+ROUNDUP((Revenues!W$80)/$C$79,0)+ROUNDUP(((ROUNDUP((Revenues!W$28+Revenues!W$55)/$C$78,0))+(ROUNDUP((Revenues!W$80)/$C$79,0)))/$C$80,0)</f>
        <v>19</v>
      </c>
      <c r="Y83" s="426">
        <f>COUNTIF(Y77,"&gt;0")+ROUNDUP((Revenues!X$28+Revenues!X$55)/$C$78,0)+ROUNDUP((Revenues!X$80)/$C$79,0)+ROUNDUP(((ROUNDUP((Revenues!X$28+Revenues!X$55)/$C$78,0))+(ROUNDUP((Revenues!X$80)/$C$79,0)))/$C$80,0)</f>
        <v>22</v>
      </c>
      <c r="Z83" s="426">
        <f>COUNTIF(Z77,"&gt;0")+ROUNDUP((Revenues!Y$28+Revenues!Y$55)/$C$78,0)+ROUNDUP((Revenues!Y$80)/$C$79,0)+ROUNDUP(((ROUNDUP((Revenues!Y$28+Revenues!Y$55)/$C$78,0))+(ROUNDUP((Revenues!Y$80)/$C$79,0)))/$C$80,0)</f>
        <v>23</v>
      </c>
      <c r="AA83" s="426">
        <f>COUNTIF(AA77,"&gt;0")+ROUNDUP((Revenues!Z$28+Revenues!Z$55)/$C$78,0)+ROUNDUP((Revenues!Z$80)/$C$79,0)+ROUNDUP(((ROUNDUP((Revenues!Z$28+Revenues!Z$55)/$C$78,0))+(ROUNDUP((Revenues!Z$80)/$C$79,0)))/$C$80,0)</f>
        <v>25</v>
      </c>
      <c r="AB83" s="426">
        <f>COUNTIF(AB77,"&gt;0")+ROUNDUP((Revenues!AA$28+Revenues!AA$55)/$C$78,0)+ROUNDUP((Revenues!AA$80)/$C$79,0)+ROUNDUP(((ROUNDUP((Revenues!AA$28+Revenues!AA$55)/$C$78,0))+(ROUNDUP((Revenues!AA$80)/$C$79,0)))/$C$80,0)</f>
        <v>27</v>
      </c>
      <c r="AC83" s="426">
        <f>COUNTIF(AC77,"&gt;0")+ROUNDUP((Revenues!AB$28+Revenues!AB$55)/$C$78,0)+ROUNDUP((Revenues!AB$80)/$C$79,0)+ROUNDUP(((ROUNDUP((Revenues!AB$28+Revenues!AB$55)/$C$78,0))+(ROUNDUP((Revenues!AB$80)/$C$79,0)))/$C$80,0)</f>
        <v>31</v>
      </c>
      <c r="AD83" s="426">
        <f>COUNTIF(AD77,"&gt;0")+ROUNDUP((Revenues!AC$28+Revenues!AC$55)/$C$78,0)+ROUNDUP((Revenues!AC$80)/$C$79,0)+ROUNDUP(((ROUNDUP((Revenues!AC$28+Revenues!AC$55)/$C$78,0))+(ROUNDUP((Revenues!AC$80)/$C$79,0)))/$C$80,0)</f>
        <v>34</v>
      </c>
      <c r="AE83" s="426">
        <f>COUNTIF(AE77,"&gt;0")+ROUNDUP((Revenues!AD$28+Revenues!AD$55)/$C$78,0)+ROUNDUP((Revenues!AD$80)/$C$79,0)+ROUNDUP(((ROUNDUP((Revenues!AD$28+Revenues!AD$55)/$C$78,0))+(ROUNDUP((Revenues!AD$80)/$C$79,0)))/$C$80,0)</f>
        <v>37</v>
      </c>
      <c r="AF83" s="426">
        <f>COUNTIF(AF77,"&gt;0")+ROUNDUP((Revenues!AE$28+Revenues!AE$55)/$C$78,0)+ROUNDUP((Revenues!AE$80)/$C$79,0)+ROUNDUP(((ROUNDUP((Revenues!AE$28+Revenues!AE$55)/$C$78,0))+(ROUNDUP((Revenues!AE$80)/$C$79,0)))/$C$80,0)</f>
        <v>41</v>
      </c>
      <c r="AG83" s="426">
        <f>COUNTIF(AG77,"&gt;0")+ROUNDUP((Revenues!AF$28+Revenues!AF$55)/$C$78,0)+ROUNDUP((Revenues!AF$80)/$C$79,0)+ROUNDUP(((ROUNDUP((Revenues!AF$28+Revenues!AF$55)/$C$78,0))+(ROUNDUP((Revenues!AF$80)/$C$79,0)))/$C$80,0)</f>
        <v>44</v>
      </c>
      <c r="AH83" s="432">
        <f>COUNTIF(AH77,"&gt;0")+ROUNDUP((Revenues!AG$28+Revenues!AG$55)/$C$78,0)+ROUNDUP((Revenues!AG$80)/$C$79,0)+ROUNDUP(((ROUNDUP((Revenues!AG$28+Revenues!AG$55)/$C$78,0))+(ROUNDUP((Revenues!AG$80)/$C$79,0)))/$C$80,0)</f>
        <v>48</v>
      </c>
      <c r="AI83" s="427"/>
    </row>
    <row r="84" spans="1:35" s="286" customFormat="1">
      <c r="B84" s="287"/>
      <c r="C84" s="288"/>
      <c r="D84" s="288"/>
      <c r="E84" s="289"/>
      <c r="F84" s="290"/>
      <c r="G84" s="291"/>
      <c r="H84" s="292"/>
      <c r="I84" s="293"/>
      <c r="J84" s="431"/>
      <c r="K84" s="426"/>
      <c r="L84" s="426"/>
      <c r="M84" s="426"/>
      <c r="N84" s="426"/>
      <c r="O84" s="426"/>
      <c r="P84" s="426"/>
      <c r="Q84" s="426"/>
      <c r="R84" s="426"/>
      <c r="S84" s="426"/>
      <c r="T84" s="426"/>
      <c r="U84" s="432"/>
      <c r="V84" s="427"/>
      <c r="W84" s="431"/>
      <c r="X84" s="426"/>
      <c r="Y84" s="426"/>
      <c r="Z84" s="426"/>
      <c r="AA84" s="426"/>
      <c r="AB84" s="426"/>
      <c r="AC84" s="426"/>
      <c r="AD84" s="426"/>
      <c r="AE84" s="426"/>
      <c r="AF84" s="426"/>
      <c r="AG84" s="426"/>
      <c r="AH84" s="432"/>
      <c r="AI84" s="427"/>
    </row>
    <row r="85" spans="1:35" s="286" customFormat="1">
      <c r="B85" s="287"/>
      <c r="C85" s="288"/>
      <c r="D85" s="288"/>
      <c r="E85" s="289"/>
      <c r="F85" s="290"/>
      <c r="G85" s="291"/>
      <c r="H85" s="121" t="s">
        <v>180</v>
      </c>
      <c r="I85" s="268"/>
      <c r="J85" s="70">
        <f t="shared" ref="J85:U85" si="54">J16+J49+J62+J72+J81</f>
        <v>182600</v>
      </c>
      <c r="K85" s="70">
        <f t="shared" si="54"/>
        <v>301800</v>
      </c>
      <c r="L85" s="70">
        <f t="shared" si="54"/>
        <v>333000</v>
      </c>
      <c r="M85" s="70">
        <f t="shared" si="54"/>
        <v>352200</v>
      </c>
      <c r="N85" s="70">
        <f t="shared" si="54"/>
        <v>376800</v>
      </c>
      <c r="O85" s="70">
        <f t="shared" si="54"/>
        <v>388800</v>
      </c>
      <c r="P85" s="70">
        <f t="shared" si="54"/>
        <v>453000</v>
      </c>
      <c r="Q85" s="70">
        <f t="shared" si="54"/>
        <v>466200</v>
      </c>
      <c r="R85" s="70">
        <f t="shared" si="54"/>
        <v>512400</v>
      </c>
      <c r="S85" s="70">
        <f t="shared" si="54"/>
        <v>530400</v>
      </c>
      <c r="T85" s="70">
        <f t="shared" si="54"/>
        <v>548400</v>
      </c>
      <c r="U85" s="70">
        <f t="shared" si="54"/>
        <v>559800</v>
      </c>
      <c r="V85" s="315">
        <f>SUM(J85:U85)</f>
        <v>5005400</v>
      </c>
      <c r="W85" s="70">
        <f t="shared" ref="W85:AH85" si="55">W16+W49+W62+W72+W81</f>
        <v>607200</v>
      </c>
      <c r="X85" s="70">
        <f t="shared" si="55"/>
        <v>621600</v>
      </c>
      <c r="Y85" s="70">
        <f t="shared" si="55"/>
        <v>652200</v>
      </c>
      <c r="Z85" s="70">
        <f t="shared" si="55"/>
        <v>665400</v>
      </c>
      <c r="AA85" s="70">
        <f t="shared" si="55"/>
        <v>690000</v>
      </c>
      <c r="AB85" s="70">
        <f t="shared" si="55"/>
        <v>748400</v>
      </c>
      <c r="AC85" s="70">
        <f t="shared" si="55"/>
        <v>780800</v>
      </c>
      <c r="AD85" s="70">
        <f t="shared" si="55"/>
        <v>832400</v>
      </c>
      <c r="AE85" s="70">
        <f t="shared" si="55"/>
        <v>875800</v>
      </c>
      <c r="AF85" s="70">
        <f t="shared" si="55"/>
        <v>907000</v>
      </c>
      <c r="AG85" s="70">
        <f t="shared" si="55"/>
        <v>934600</v>
      </c>
      <c r="AH85" s="70">
        <f t="shared" si="55"/>
        <v>957400</v>
      </c>
      <c r="AI85" s="315">
        <f t="shared" ref="AI85:AI86" si="56">SUM(W85:AH85)</f>
        <v>9272800</v>
      </c>
    </row>
    <row r="86" spans="1:35" s="286" customFormat="1">
      <c r="B86" s="287"/>
      <c r="C86" s="288"/>
      <c r="D86" s="288"/>
      <c r="E86" s="289"/>
      <c r="F86" s="290"/>
      <c r="G86" s="291"/>
      <c r="H86" s="292" t="s">
        <v>285</v>
      </c>
      <c r="I86" s="293"/>
      <c r="J86" s="426">
        <f t="shared" ref="J86:U86" si="57">J17+J50+J63+J73+J82</f>
        <v>58100</v>
      </c>
      <c r="K86" s="426">
        <f t="shared" si="57"/>
        <v>113300</v>
      </c>
      <c r="L86" s="426">
        <f t="shared" si="57"/>
        <v>121500</v>
      </c>
      <c r="M86" s="426">
        <f t="shared" si="57"/>
        <v>124700</v>
      </c>
      <c r="N86" s="426">
        <f t="shared" si="57"/>
        <v>128800</v>
      </c>
      <c r="O86" s="426">
        <f t="shared" si="57"/>
        <v>130800</v>
      </c>
      <c r="P86" s="426">
        <f t="shared" si="57"/>
        <v>141500</v>
      </c>
      <c r="Q86" s="426">
        <f t="shared" si="57"/>
        <v>143700</v>
      </c>
      <c r="R86" s="426">
        <f t="shared" si="57"/>
        <v>151400</v>
      </c>
      <c r="S86" s="426">
        <f t="shared" si="57"/>
        <v>154400</v>
      </c>
      <c r="T86" s="426">
        <f t="shared" si="57"/>
        <v>157400</v>
      </c>
      <c r="U86" s="426">
        <f t="shared" si="57"/>
        <v>159300</v>
      </c>
      <c r="V86" s="427">
        <f t="shared" ref="V86" si="58">SUM(J86:U86)</f>
        <v>1584900</v>
      </c>
      <c r="W86" s="426">
        <f t="shared" ref="W86:AH86" si="59">W17+W50+W63+W73+W82</f>
        <v>167200</v>
      </c>
      <c r="X86" s="426">
        <f t="shared" si="59"/>
        <v>169600</v>
      </c>
      <c r="Y86" s="426">
        <f t="shared" si="59"/>
        <v>174700</v>
      </c>
      <c r="Z86" s="426">
        <f t="shared" si="59"/>
        <v>176900</v>
      </c>
      <c r="AA86" s="426">
        <f t="shared" si="59"/>
        <v>181000</v>
      </c>
      <c r="AB86" s="426">
        <f t="shared" si="59"/>
        <v>200400</v>
      </c>
      <c r="AC86" s="426">
        <f t="shared" si="59"/>
        <v>205800</v>
      </c>
      <c r="AD86" s="426">
        <f t="shared" si="59"/>
        <v>226400</v>
      </c>
      <c r="AE86" s="426">
        <f t="shared" si="59"/>
        <v>243300</v>
      </c>
      <c r="AF86" s="426">
        <f t="shared" si="59"/>
        <v>248500</v>
      </c>
      <c r="AG86" s="426">
        <f t="shared" si="59"/>
        <v>253100</v>
      </c>
      <c r="AH86" s="426">
        <f t="shared" si="59"/>
        <v>256900</v>
      </c>
      <c r="AI86" s="427">
        <f t="shared" si="56"/>
        <v>2503800</v>
      </c>
    </row>
    <row r="87" spans="1:35" s="286" customFormat="1" ht="13" thickBot="1">
      <c r="B87" s="287"/>
      <c r="C87" s="288"/>
      <c r="D87" s="288"/>
      <c r="E87" s="289"/>
      <c r="F87" s="290"/>
      <c r="G87" s="291"/>
      <c r="H87" s="310" t="s">
        <v>178</v>
      </c>
      <c r="I87" s="316"/>
      <c r="J87" s="433">
        <f t="shared" ref="J87:U87" si="60">J18+J51+J64+J74+J83</f>
        <v>21</v>
      </c>
      <c r="K87" s="434">
        <f t="shared" si="60"/>
        <v>33</v>
      </c>
      <c r="L87" s="434">
        <f t="shared" si="60"/>
        <v>36</v>
      </c>
      <c r="M87" s="434">
        <f t="shared" si="60"/>
        <v>39</v>
      </c>
      <c r="N87" s="434">
        <f t="shared" si="60"/>
        <v>41</v>
      </c>
      <c r="O87" s="434">
        <f t="shared" si="60"/>
        <v>43</v>
      </c>
      <c r="P87" s="434">
        <f t="shared" si="60"/>
        <v>49</v>
      </c>
      <c r="Q87" s="434">
        <f t="shared" si="60"/>
        <v>51</v>
      </c>
      <c r="R87" s="434">
        <f t="shared" si="60"/>
        <v>56</v>
      </c>
      <c r="S87" s="434">
        <f t="shared" si="60"/>
        <v>58</v>
      </c>
      <c r="T87" s="434">
        <f t="shared" si="60"/>
        <v>61</v>
      </c>
      <c r="U87" s="435">
        <f t="shared" si="60"/>
        <v>63</v>
      </c>
      <c r="V87" s="436"/>
      <c r="W87" s="433">
        <f t="shared" ref="W87:AH87" si="61">W18+W51+W64+W74+W83</f>
        <v>69</v>
      </c>
      <c r="X87" s="434">
        <f t="shared" si="61"/>
        <v>71</v>
      </c>
      <c r="Y87" s="434">
        <f t="shared" si="61"/>
        <v>76</v>
      </c>
      <c r="Z87" s="434">
        <f t="shared" si="61"/>
        <v>78</v>
      </c>
      <c r="AA87" s="434">
        <f t="shared" si="61"/>
        <v>82</v>
      </c>
      <c r="AB87" s="434">
        <f t="shared" si="61"/>
        <v>90</v>
      </c>
      <c r="AC87" s="434">
        <f t="shared" si="61"/>
        <v>95</v>
      </c>
      <c r="AD87" s="434">
        <f t="shared" si="61"/>
        <v>101</v>
      </c>
      <c r="AE87" s="434">
        <f t="shared" si="61"/>
        <v>107</v>
      </c>
      <c r="AF87" s="434">
        <f t="shared" si="61"/>
        <v>112</v>
      </c>
      <c r="AG87" s="434">
        <f t="shared" si="61"/>
        <v>117</v>
      </c>
      <c r="AH87" s="435">
        <f t="shared" si="61"/>
        <v>121</v>
      </c>
      <c r="AI87" s="436"/>
    </row>
    <row r="88" spans="1:35" s="7" customFormat="1">
      <c r="A88" s="95"/>
      <c r="B88" s="67"/>
      <c r="C88" s="64"/>
      <c r="D88" s="64"/>
      <c r="E88" s="88"/>
      <c r="F88" s="24"/>
      <c r="G88" s="68"/>
      <c r="H88" s="254"/>
      <c r="I88" s="254"/>
      <c r="J88" s="437"/>
      <c r="K88" s="437"/>
      <c r="L88" s="437"/>
      <c r="M88" s="437"/>
      <c r="N88" s="437"/>
      <c r="O88" s="437"/>
      <c r="P88" s="437"/>
      <c r="Q88" s="437"/>
      <c r="R88" s="437"/>
      <c r="S88" s="437"/>
      <c r="T88" s="437"/>
      <c r="U88" s="437"/>
      <c r="V88" s="438"/>
      <c r="W88" s="437"/>
      <c r="X88" s="437"/>
      <c r="Y88" s="437"/>
      <c r="Z88" s="437"/>
      <c r="AA88" s="437"/>
      <c r="AB88" s="437"/>
      <c r="AC88" s="437"/>
      <c r="AD88" s="437"/>
      <c r="AE88" s="437"/>
      <c r="AF88" s="437"/>
      <c r="AG88" s="437"/>
      <c r="AH88" s="437"/>
      <c r="AI88" s="438"/>
    </row>
    <row r="89" spans="1:35" s="7" customFormat="1">
      <c r="A89" s="95"/>
      <c r="B89" s="479"/>
      <c r="C89" s="480"/>
      <c r="D89" s="480"/>
      <c r="E89" s="481"/>
      <c r="F89" s="482"/>
      <c r="G89" s="68"/>
      <c r="H89" s="255" t="s">
        <v>258</v>
      </c>
      <c r="I89" s="263" t="s">
        <v>120</v>
      </c>
      <c r="J89" s="439"/>
      <c r="K89" s="439"/>
      <c r="L89" s="439"/>
      <c r="M89" s="439"/>
      <c r="N89" s="439"/>
      <c r="O89" s="439"/>
      <c r="P89" s="439"/>
      <c r="Q89" s="439"/>
      <c r="R89" s="439"/>
      <c r="S89" s="439"/>
      <c r="T89" s="439"/>
      <c r="U89" s="440"/>
      <c r="V89" s="440"/>
      <c r="W89" s="439"/>
      <c r="X89" s="439"/>
      <c r="Y89" s="439"/>
      <c r="Z89" s="439"/>
      <c r="AA89" s="439"/>
      <c r="AB89" s="439"/>
      <c r="AC89" s="439"/>
      <c r="AD89" s="439"/>
      <c r="AE89" s="439"/>
      <c r="AF89" s="439"/>
      <c r="AG89" s="439"/>
      <c r="AH89" s="439"/>
      <c r="AI89" s="441"/>
    </row>
    <row r="90" spans="1:35" s="7" customFormat="1">
      <c r="A90" s="95"/>
      <c r="B90" s="67"/>
      <c r="C90" s="64"/>
      <c r="D90" s="64"/>
      <c r="E90" s="88"/>
      <c r="F90" s="24"/>
      <c r="G90" s="68"/>
      <c r="H90" s="256"/>
      <c r="I90" s="258"/>
      <c r="J90" s="114"/>
      <c r="K90" s="114"/>
      <c r="L90" s="114"/>
      <c r="M90" s="114"/>
      <c r="N90" s="114"/>
      <c r="O90" s="114"/>
      <c r="P90" s="114"/>
      <c r="Q90" s="114"/>
      <c r="R90" s="114"/>
      <c r="S90" s="114"/>
      <c r="T90" s="114"/>
      <c r="U90" s="128"/>
      <c r="V90" s="442"/>
      <c r="W90" s="114"/>
      <c r="X90" s="114"/>
      <c r="Y90" s="114"/>
      <c r="Z90" s="114"/>
      <c r="AA90" s="114"/>
      <c r="AB90" s="114"/>
      <c r="AC90" s="114"/>
      <c r="AD90" s="114"/>
      <c r="AE90" s="114"/>
      <c r="AF90" s="114"/>
      <c r="AG90" s="114"/>
      <c r="AH90" s="128"/>
      <c r="AI90" s="132"/>
    </row>
    <row r="91" spans="1:35" s="7" customFormat="1">
      <c r="A91" s="95"/>
      <c r="B91" s="67"/>
      <c r="C91" s="64"/>
      <c r="D91" s="64"/>
      <c r="E91" s="88"/>
      <c r="F91" s="24"/>
      <c r="G91" s="68"/>
      <c r="H91" s="257" t="s">
        <v>154</v>
      </c>
      <c r="I91" s="259"/>
      <c r="J91" s="428"/>
      <c r="K91" s="428"/>
      <c r="L91" s="428"/>
      <c r="M91" s="428"/>
      <c r="N91" s="428"/>
      <c r="O91" s="428"/>
      <c r="P91" s="428"/>
      <c r="Q91" s="428"/>
      <c r="R91" s="428"/>
      <c r="S91" s="428"/>
      <c r="T91" s="428"/>
      <c r="U91" s="429"/>
      <c r="V91" s="430"/>
      <c r="W91" s="428"/>
      <c r="X91" s="428"/>
      <c r="Y91" s="428"/>
      <c r="Z91" s="428"/>
      <c r="AA91" s="428"/>
      <c r="AB91" s="428"/>
      <c r="AC91" s="428"/>
      <c r="AD91" s="428"/>
      <c r="AE91" s="428"/>
      <c r="AF91" s="428"/>
      <c r="AG91" s="428"/>
      <c r="AH91" s="429"/>
      <c r="AI91" s="430"/>
    </row>
    <row r="92" spans="1:35" s="7" customFormat="1">
      <c r="A92" s="95"/>
      <c r="B92" s="67"/>
      <c r="C92" s="64"/>
      <c r="D92" s="64"/>
      <c r="E92" s="88"/>
      <c r="F92" s="24"/>
      <c r="G92" s="68"/>
      <c r="H92" s="269"/>
      <c r="I92" s="258"/>
      <c r="J92" s="114"/>
      <c r="K92" s="114"/>
      <c r="L92" s="114"/>
      <c r="M92" s="114"/>
      <c r="N92" s="114"/>
      <c r="O92" s="114"/>
      <c r="P92" s="114"/>
      <c r="Q92" s="114"/>
      <c r="R92" s="114"/>
      <c r="S92" s="114"/>
      <c r="T92" s="114"/>
      <c r="U92" s="128"/>
      <c r="V92" s="132"/>
      <c r="W92" s="114"/>
      <c r="X92" s="114"/>
      <c r="Y92" s="114"/>
      <c r="Z92" s="114"/>
      <c r="AA92" s="114"/>
      <c r="AB92" s="114"/>
      <c r="AC92" s="114"/>
      <c r="AD92" s="114"/>
      <c r="AE92" s="114"/>
      <c r="AF92" s="114"/>
      <c r="AG92" s="114"/>
      <c r="AH92" s="128"/>
      <c r="AI92" s="132"/>
    </row>
    <row r="93" spans="1:35" s="7" customFormat="1">
      <c r="A93" s="95"/>
      <c r="B93" s="67"/>
      <c r="C93" s="64"/>
      <c r="D93" s="64"/>
      <c r="E93" s="88"/>
      <c r="F93" s="24"/>
      <c r="G93" s="68"/>
      <c r="H93" s="269" t="s">
        <v>155</v>
      </c>
      <c r="I93" s="258"/>
      <c r="J93" s="114"/>
      <c r="K93" s="114"/>
      <c r="L93" s="114"/>
      <c r="M93" s="114"/>
      <c r="N93" s="114"/>
      <c r="O93" s="114"/>
      <c r="P93" s="114"/>
      <c r="Q93" s="114"/>
      <c r="R93" s="114"/>
      <c r="S93" s="114"/>
      <c r="T93" s="114"/>
      <c r="U93" s="128"/>
      <c r="V93" s="132"/>
      <c r="W93" s="114"/>
      <c r="X93" s="114"/>
      <c r="Y93" s="114"/>
      <c r="Z93" s="114"/>
      <c r="AA93" s="114"/>
      <c r="AB93" s="114"/>
      <c r="AC93" s="114"/>
      <c r="AD93" s="114"/>
      <c r="AE93" s="114"/>
      <c r="AF93" s="114"/>
      <c r="AG93" s="114"/>
      <c r="AH93" s="128"/>
      <c r="AI93" s="132"/>
    </row>
    <row r="94" spans="1:35" s="7" customFormat="1">
      <c r="A94" s="95"/>
      <c r="B94" s="67"/>
      <c r="C94" s="561" t="s">
        <v>240</v>
      </c>
      <c r="D94" s="561"/>
      <c r="E94" s="421">
        <v>2000</v>
      </c>
      <c r="F94" s="24"/>
      <c r="G94" s="68"/>
      <c r="H94" s="270" t="s">
        <v>156</v>
      </c>
      <c r="I94" s="271" t="s">
        <v>41</v>
      </c>
      <c r="J94" s="114">
        <f t="shared" ref="J94:U94" si="62">J18*$E$94</f>
        <v>6000</v>
      </c>
      <c r="K94" s="114">
        <f t="shared" si="62"/>
        <v>6000</v>
      </c>
      <c r="L94" s="114">
        <f t="shared" si="62"/>
        <v>6000</v>
      </c>
      <c r="M94" s="114">
        <f t="shared" si="62"/>
        <v>6000</v>
      </c>
      <c r="N94" s="114">
        <f t="shared" si="62"/>
        <v>6000</v>
      </c>
      <c r="O94" s="114">
        <f t="shared" si="62"/>
        <v>6000</v>
      </c>
      <c r="P94" s="114">
        <f t="shared" si="62"/>
        <v>10000</v>
      </c>
      <c r="Q94" s="114">
        <f t="shared" si="62"/>
        <v>10000</v>
      </c>
      <c r="R94" s="114">
        <f t="shared" si="62"/>
        <v>10000</v>
      </c>
      <c r="S94" s="114">
        <f t="shared" si="62"/>
        <v>12000</v>
      </c>
      <c r="T94" s="114">
        <f t="shared" si="62"/>
        <v>14000</v>
      </c>
      <c r="U94" s="114">
        <f t="shared" si="62"/>
        <v>14000</v>
      </c>
      <c r="V94" s="104">
        <f t="shared" ref="V94:V99" si="63">SUM(J94:U94)</f>
        <v>106000</v>
      </c>
      <c r="W94" s="114">
        <f t="shared" ref="W94:AH94" si="64">W18*$E$94</f>
        <v>14000</v>
      </c>
      <c r="X94" s="114">
        <f t="shared" si="64"/>
        <v>14000</v>
      </c>
      <c r="Y94" s="114">
        <f t="shared" si="64"/>
        <v>14000</v>
      </c>
      <c r="Z94" s="114">
        <f t="shared" si="64"/>
        <v>14000</v>
      </c>
      <c r="AA94" s="114">
        <f t="shared" si="64"/>
        <v>16000</v>
      </c>
      <c r="AB94" s="114">
        <f t="shared" si="64"/>
        <v>16000</v>
      </c>
      <c r="AC94" s="114">
        <f t="shared" si="64"/>
        <v>16000</v>
      </c>
      <c r="AD94" s="114">
        <f t="shared" si="64"/>
        <v>16000</v>
      </c>
      <c r="AE94" s="114">
        <f t="shared" si="64"/>
        <v>16000</v>
      </c>
      <c r="AF94" s="114">
        <f t="shared" si="64"/>
        <v>16000</v>
      </c>
      <c r="AG94" s="114">
        <f t="shared" si="64"/>
        <v>18000</v>
      </c>
      <c r="AH94" s="114">
        <f t="shared" si="64"/>
        <v>18000</v>
      </c>
      <c r="AI94" s="104">
        <f t="shared" ref="AI94:AI99" si="65">SUM(W94:AH94)</f>
        <v>188000</v>
      </c>
    </row>
    <row r="95" spans="1:35" s="7" customFormat="1">
      <c r="A95" s="95"/>
      <c r="B95" s="67"/>
      <c r="C95" s="561" t="s">
        <v>241</v>
      </c>
      <c r="D95" s="561"/>
      <c r="E95" s="421">
        <v>500</v>
      </c>
      <c r="F95" s="24"/>
      <c r="G95" s="68"/>
      <c r="H95" s="270" t="s">
        <v>157</v>
      </c>
      <c r="I95" s="271" t="s">
        <v>49</v>
      </c>
      <c r="J95" s="114">
        <f t="shared" ref="J95:U95" si="66">J51*$E$95</f>
        <v>3000</v>
      </c>
      <c r="K95" s="114">
        <f t="shared" si="66"/>
        <v>3000</v>
      </c>
      <c r="L95" s="114">
        <f t="shared" si="66"/>
        <v>4000</v>
      </c>
      <c r="M95" s="114">
        <f t="shared" si="66"/>
        <v>4500</v>
      </c>
      <c r="N95" s="114">
        <f t="shared" si="66"/>
        <v>5000</v>
      </c>
      <c r="O95" s="114">
        <f t="shared" si="66"/>
        <v>5000</v>
      </c>
      <c r="P95" s="114">
        <f t="shared" si="66"/>
        <v>6500</v>
      </c>
      <c r="Q95" s="114">
        <f t="shared" si="66"/>
        <v>7000</v>
      </c>
      <c r="R95" s="114">
        <f t="shared" si="66"/>
        <v>8000</v>
      </c>
      <c r="S95" s="114">
        <f t="shared" si="66"/>
        <v>8000</v>
      </c>
      <c r="T95" s="114">
        <f t="shared" si="66"/>
        <v>8500</v>
      </c>
      <c r="U95" s="114">
        <f t="shared" si="66"/>
        <v>9000</v>
      </c>
      <c r="V95" s="104">
        <f t="shared" si="63"/>
        <v>71500</v>
      </c>
      <c r="W95" s="114">
        <f t="shared" ref="W95:AH95" si="67">W51*$E$95</f>
        <v>10500</v>
      </c>
      <c r="X95" s="114">
        <f t="shared" si="67"/>
        <v>10500</v>
      </c>
      <c r="Y95" s="114">
        <f t="shared" si="67"/>
        <v>11000</v>
      </c>
      <c r="Z95" s="114">
        <f t="shared" si="67"/>
        <v>11500</v>
      </c>
      <c r="AA95" s="114">
        <f t="shared" si="67"/>
        <v>12000</v>
      </c>
      <c r="AB95" s="114">
        <f t="shared" si="67"/>
        <v>13000</v>
      </c>
      <c r="AC95" s="114">
        <f t="shared" si="67"/>
        <v>13500</v>
      </c>
      <c r="AD95" s="114">
        <f t="shared" si="67"/>
        <v>13500</v>
      </c>
      <c r="AE95" s="114">
        <f t="shared" si="67"/>
        <v>13500</v>
      </c>
      <c r="AF95" s="114">
        <f t="shared" si="67"/>
        <v>13500</v>
      </c>
      <c r="AG95" s="114">
        <f t="shared" si="67"/>
        <v>14000</v>
      </c>
      <c r="AH95" s="114">
        <f t="shared" si="67"/>
        <v>14000</v>
      </c>
      <c r="AI95" s="104">
        <f t="shared" si="65"/>
        <v>150500</v>
      </c>
    </row>
    <row r="96" spans="1:35" s="7" customFormat="1">
      <c r="A96" s="95"/>
      <c r="B96" s="67"/>
      <c r="C96" s="561" t="s">
        <v>242</v>
      </c>
      <c r="D96" s="561"/>
      <c r="E96" s="421">
        <v>1000</v>
      </c>
      <c r="F96" s="24"/>
      <c r="G96" s="68"/>
      <c r="H96" s="270" t="s">
        <v>158</v>
      </c>
      <c r="I96" s="271" t="s">
        <v>121</v>
      </c>
      <c r="J96" s="114">
        <f t="shared" ref="J96:U96" si="68">J64*$E$96</f>
        <v>1000</v>
      </c>
      <c r="K96" s="114">
        <f t="shared" si="68"/>
        <v>2000</v>
      </c>
      <c r="L96" s="114">
        <f t="shared" si="68"/>
        <v>2000</v>
      </c>
      <c r="M96" s="114">
        <f t="shared" si="68"/>
        <v>2000</v>
      </c>
      <c r="N96" s="114">
        <f t="shared" si="68"/>
        <v>3000</v>
      </c>
      <c r="O96" s="114">
        <f t="shared" si="68"/>
        <v>4000</v>
      </c>
      <c r="P96" s="114">
        <f t="shared" si="68"/>
        <v>4000</v>
      </c>
      <c r="Q96" s="114">
        <f t="shared" si="68"/>
        <v>4000</v>
      </c>
      <c r="R96" s="114">
        <f t="shared" si="68"/>
        <v>4000</v>
      </c>
      <c r="S96" s="114">
        <f t="shared" si="68"/>
        <v>4000</v>
      </c>
      <c r="T96" s="114">
        <f t="shared" si="68"/>
        <v>4000</v>
      </c>
      <c r="U96" s="114">
        <f t="shared" si="68"/>
        <v>4000</v>
      </c>
      <c r="V96" s="104">
        <f t="shared" si="63"/>
        <v>38000</v>
      </c>
      <c r="W96" s="114">
        <f t="shared" ref="W96:AH96" si="69">W64*$E$96</f>
        <v>4000</v>
      </c>
      <c r="X96" s="114">
        <f t="shared" si="69"/>
        <v>5000</v>
      </c>
      <c r="Y96" s="114">
        <f t="shared" si="69"/>
        <v>6000</v>
      </c>
      <c r="Z96" s="114">
        <f t="shared" si="69"/>
        <v>6000</v>
      </c>
      <c r="AA96" s="114">
        <f t="shared" si="69"/>
        <v>6000</v>
      </c>
      <c r="AB96" s="114">
        <f t="shared" si="69"/>
        <v>7000</v>
      </c>
      <c r="AC96" s="114">
        <f t="shared" si="69"/>
        <v>7000</v>
      </c>
      <c r="AD96" s="114">
        <f t="shared" si="69"/>
        <v>7000</v>
      </c>
      <c r="AE96" s="114">
        <f t="shared" si="69"/>
        <v>7000</v>
      </c>
      <c r="AF96" s="114">
        <f t="shared" si="69"/>
        <v>8000</v>
      </c>
      <c r="AG96" s="114">
        <f t="shared" si="69"/>
        <v>8000</v>
      </c>
      <c r="AH96" s="114">
        <f t="shared" si="69"/>
        <v>8000</v>
      </c>
      <c r="AI96" s="104">
        <f t="shared" si="65"/>
        <v>79000</v>
      </c>
    </row>
    <row r="97" spans="1:35" s="7" customFormat="1">
      <c r="A97" s="95"/>
      <c r="B97" s="67"/>
      <c r="C97" s="561" t="s">
        <v>243</v>
      </c>
      <c r="D97" s="561"/>
      <c r="E97" s="421">
        <v>1000</v>
      </c>
      <c r="F97" s="24"/>
      <c r="G97" s="68"/>
      <c r="H97" s="270" t="s">
        <v>159</v>
      </c>
      <c r="I97" s="271" t="s">
        <v>121</v>
      </c>
      <c r="J97" s="114">
        <f t="shared" ref="J97:U97" si="70">J74*$E$97</f>
        <v>8000</v>
      </c>
      <c r="K97" s="114">
        <f t="shared" si="70"/>
        <v>18000</v>
      </c>
      <c r="L97" s="114">
        <f t="shared" si="70"/>
        <v>19000</v>
      </c>
      <c r="M97" s="114">
        <f t="shared" si="70"/>
        <v>19000</v>
      </c>
      <c r="N97" s="114">
        <f t="shared" si="70"/>
        <v>19000</v>
      </c>
      <c r="O97" s="114">
        <f t="shared" si="70"/>
        <v>19000</v>
      </c>
      <c r="P97" s="114">
        <f t="shared" si="70"/>
        <v>19000</v>
      </c>
      <c r="Q97" s="114">
        <f t="shared" si="70"/>
        <v>19000</v>
      </c>
      <c r="R97" s="114">
        <f t="shared" si="70"/>
        <v>19000</v>
      </c>
      <c r="S97" s="114">
        <f t="shared" si="70"/>
        <v>19000</v>
      </c>
      <c r="T97" s="114">
        <f t="shared" si="70"/>
        <v>19000</v>
      </c>
      <c r="U97" s="114">
        <f t="shared" si="70"/>
        <v>19000</v>
      </c>
      <c r="V97" s="104">
        <f t="shared" si="63"/>
        <v>216000</v>
      </c>
      <c r="W97" s="114">
        <f t="shared" ref="W97:AH97" si="71">W74*$E$97</f>
        <v>19000</v>
      </c>
      <c r="X97" s="114">
        <f t="shared" si="71"/>
        <v>19000</v>
      </c>
      <c r="Y97" s="114">
        <f t="shared" si="71"/>
        <v>19000</v>
      </c>
      <c r="Z97" s="114">
        <f t="shared" si="71"/>
        <v>19000</v>
      </c>
      <c r="AA97" s="114">
        <f t="shared" si="71"/>
        <v>19000</v>
      </c>
      <c r="AB97" s="114">
        <f t="shared" si="71"/>
        <v>22000</v>
      </c>
      <c r="AC97" s="114">
        <f t="shared" si="71"/>
        <v>22000</v>
      </c>
      <c r="AD97" s="114">
        <f t="shared" si="71"/>
        <v>25000</v>
      </c>
      <c r="AE97" s="114">
        <f t="shared" si="71"/>
        <v>28000</v>
      </c>
      <c r="AF97" s="114">
        <f t="shared" si="71"/>
        <v>28000</v>
      </c>
      <c r="AG97" s="114">
        <f t="shared" si="71"/>
        <v>28000</v>
      </c>
      <c r="AH97" s="114">
        <f t="shared" si="71"/>
        <v>28000</v>
      </c>
      <c r="AI97" s="104">
        <f t="shared" si="65"/>
        <v>276000</v>
      </c>
    </row>
    <row r="98" spans="1:35" s="7" customFormat="1">
      <c r="A98" s="95"/>
      <c r="B98" s="67"/>
      <c r="C98" s="561" t="s">
        <v>244</v>
      </c>
      <c r="D98" s="561"/>
      <c r="E98" s="421">
        <v>500</v>
      </c>
      <c r="F98" s="24"/>
      <c r="G98" s="68"/>
      <c r="H98" s="270" t="s">
        <v>160</v>
      </c>
      <c r="I98" s="271" t="s">
        <v>122</v>
      </c>
      <c r="J98" s="114">
        <f>J83*$E$98</f>
        <v>1500</v>
      </c>
      <c r="K98" s="114">
        <f t="shared" ref="K98:U98" si="72">K83*$E$98</f>
        <v>2000</v>
      </c>
      <c r="L98" s="114">
        <f t="shared" si="72"/>
        <v>2000</v>
      </c>
      <c r="M98" s="114">
        <f t="shared" si="72"/>
        <v>3000</v>
      </c>
      <c r="N98" s="114">
        <f t="shared" si="72"/>
        <v>3000</v>
      </c>
      <c r="O98" s="114">
        <f t="shared" si="72"/>
        <v>3500</v>
      </c>
      <c r="P98" s="114">
        <f t="shared" si="72"/>
        <v>4000</v>
      </c>
      <c r="Q98" s="114">
        <f t="shared" si="72"/>
        <v>4500</v>
      </c>
      <c r="R98" s="114">
        <f t="shared" si="72"/>
        <v>6000</v>
      </c>
      <c r="S98" s="114">
        <f t="shared" si="72"/>
        <v>6500</v>
      </c>
      <c r="T98" s="114">
        <f t="shared" si="72"/>
        <v>7000</v>
      </c>
      <c r="U98" s="114">
        <f t="shared" si="72"/>
        <v>7500</v>
      </c>
      <c r="V98" s="104">
        <f t="shared" si="63"/>
        <v>50500</v>
      </c>
      <c r="W98" s="114">
        <f>W83*$E$98</f>
        <v>9000</v>
      </c>
      <c r="X98" s="114">
        <f t="shared" ref="X98:AH98" si="73">X83*$E$98</f>
        <v>9500</v>
      </c>
      <c r="Y98" s="114">
        <f t="shared" si="73"/>
        <v>11000</v>
      </c>
      <c r="Z98" s="114">
        <f t="shared" si="73"/>
        <v>11500</v>
      </c>
      <c r="AA98" s="114">
        <f t="shared" si="73"/>
        <v>12500</v>
      </c>
      <c r="AB98" s="114">
        <f t="shared" si="73"/>
        <v>13500</v>
      </c>
      <c r="AC98" s="114">
        <f t="shared" si="73"/>
        <v>15500</v>
      </c>
      <c r="AD98" s="114">
        <f t="shared" si="73"/>
        <v>17000</v>
      </c>
      <c r="AE98" s="114">
        <f t="shared" si="73"/>
        <v>18500</v>
      </c>
      <c r="AF98" s="114">
        <f t="shared" si="73"/>
        <v>20500</v>
      </c>
      <c r="AG98" s="114">
        <f t="shared" si="73"/>
        <v>22000</v>
      </c>
      <c r="AH98" s="114">
        <f t="shared" si="73"/>
        <v>24000</v>
      </c>
      <c r="AI98" s="104">
        <f t="shared" si="65"/>
        <v>184500</v>
      </c>
    </row>
    <row r="99" spans="1:35" s="7" customFormat="1">
      <c r="A99" s="95"/>
      <c r="B99" s="67"/>
      <c r="C99" s="64"/>
      <c r="D99" s="64"/>
      <c r="E99" s="425"/>
      <c r="F99" s="24"/>
      <c r="G99" s="68"/>
      <c r="H99" s="281" t="s">
        <v>166</v>
      </c>
      <c r="I99" s="282"/>
      <c r="J99" s="443">
        <f>SUM(J94:J98)</f>
        <v>19500</v>
      </c>
      <c r="K99" s="443">
        <f t="shared" ref="K99:U99" si="74">SUM(K94:K98)</f>
        <v>31000</v>
      </c>
      <c r="L99" s="443">
        <f t="shared" si="74"/>
        <v>33000</v>
      </c>
      <c r="M99" s="443">
        <f t="shared" si="74"/>
        <v>34500</v>
      </c>
      <c r="N99" s="443">
        <f t="shared" si="74"/>
        <v>36000</v>
      </c>
      <c r="O99" s="443">
        <f t="shared" si="74"/>
        <v>37500</v>
      </c>
      <c r="P99" s="443">
        <f t="shared" si="74"/>
        <v>43500</v>
      </c>
      <c r="Q99" s="443">
        <f t="shared" si="74"/>
        <v>44500</v>
      </c>
      <c r="R99" s="443">
        <f t="shared" si="74"/>
        <v>47000</v>
      </c>
      <c r="S99" s="443">
        <f t="shared" si="74"/>
        <v>49500</v>
      </c>
      <c r="T99" s="443">
        <f t="shared" si="74"/>
        <v>52500</v>
      </c>
      <c r="U99" s="443">
        <f t="shared" si="74"/>
        <v>53500</v>
      </c>
      <c r="V99" s="444">
        <f t="shared" si="63"/>
        <v>482000</v>
      </c>
      <c r="W99" s="443">
        <f>SUM(W94:W98)</f>
        <v>56500</v>
      </c>
      <c r="X99" s="443">
        <f t="shared" ref="X99" si="75">SUM(X94:X98)</f>
        <v>58000</v>
      </c>
      <c r="Y99" s="443">
        <f t="shared" ref="Y99" si="76">SUM(Y94:Y98)</f>
        <v>61000</v>
      </c>
      <c r="Z99" s="443">
        <f t="shared" ref="Z99" si="77">SUM(Z94:Z98)</f>
        <v>62000</v>
      </c>
      <c r="AA99" s="443">
        <f t="shared" ref="AA99" si="78">SUM(AA94:AA98)</f>
        <v>65500</v>
      </c>
      <c r="AB99" s="443">
        <f t="shared" ref="AB99" si="79">SUM(AB94:AB98)</f>
        <v>71500</v>
      </c>
      <c r="AC99" s="443">
        <f t="shared" ref="AC99" si="80">SUM(AC94:AC98)</f>
        <v>74000</v>
      </c>
      <c r="AD99" s="443">
        <f t="shared" ref="AD99" si="81">SUM(AD94:AD98)</f>
        <v>78500</v>
      </c>
      <c r="AE99" s="443">
        <f t="shared" ref="AE99" si="82">SUM(AE94:AE98)</f>
        <v>83000</v>
      </c>
      <c r="AF99" s="443">
        <f t="shared" ref="AF99" si="83">SUM(AF94:AF98)</f>
        <v>86000</v>
      </c>
      <c r="AG99" s="443">
        <f t="shared" ref="AG99" si="84">SUM(AG94:AG98)</f>
        <v>90000</v>
      </c>
      <c r="AH99" s="443">
        <f t="shared" ref="AH99" si="85">SUM(AH94:AH98)</f>
        <v>92000</v>
      </c>
      <c r="AI99" s="444">
        <f t="shared" si="65"/>
        <v>878000</v>
      </c>
    </row>
    <row r="100" spans="1:35" s="7" customFormat="1">
      <c r="A100" s="95"/>
      <c r="B100" s="67"/>
      <c r="C100" s="64"/>
      <c r="D100" s="64"/>
      <c r="E100" s="425"/>
      <c r="F100" s="24"/>
      <c r="G100" s="68"/>
      <c r="H100" s="256"/>
      <c r="I100" s="258"/>
      <c r="J100" s="114"/>
      <c r="K100" s="114"/>
      <c r="L100" s="114"/>
      <c r="M100" s="114"/>
      <c r="N100" s="114"/>
      <c r="O100" s="114"/>
      <c r="P100" s="114"/>
      <c r="Q100" s="114"/>
      <c r="R100" s="114"/>
      <c r="S100" s="114"/>
      <c r="T100" s="114"/>
      <c r="U100" s="128"/>
      <c r="V100" s="132"/>
      <c r="W100" s="114"/>
      <c r="X100" s="114"/>
      <c r="Y100" s="114"/>
      <c r="Z100" s="114"/>
      <c r="AA100" s="114"/>
      <c r="AB100" s="114"/>
      <c r="AC100" s="114"/>
      <c r="AD100" s="114"/>
      <c r="AE100" s="114"/>
      <c r="AF100" s="114"/>
      <c r="AG100" s="114"/>
      <c r="AH100" s="128"/>
      <c r="AI100" s="132"/>
    </row>
    <row r="101" spans="1:35" s="7" customFormat="1">
      <c r="A101" s="95"/>
      <c r="B101" s="67"/>
      <c r="C101" s="64"/>
      <c r="D101" s="64"/>
      <c r="E101" s="425"/>
      <c r="F101" s="24"/>
      <c r="G101" s="68"/>
      <c r="H101" s="269" t="s">
        <v>167</v>
      </c>
      <c r="I101" s="258"/>
      <c r="J101" s="114"/>
      <c r="K101" s="114"/>
      <c r="L101" s="114"/>
      <c r="M101" s="114"/>
      <c r="N101" s="114"/>
      <c r="O101" s="114"/>
      <c r="P101" s="114"/>
      <c r="Q101" s="114"/>
      <c r="R101" s="114"/>
      <c r="S101" s="114"/>
      <c r="T101" s="114"/>
      <c r="U101" s="128"/>
      <c r="V101" s="132"/>
      <c r="W101" s="114"/>
      <c r="X101" s="114"/>
      <c r="Y101" s="114"/>
      <c r="Z101" s="114"/>
      <c r="AA101" s="114"/>
      <c r="AB101" s="114"/>
      <c r="AC101" s="114"/>
      <c r="AD101" s="114"/>
      <c r="AE101" s="114"/>
      <c r="AF101" s="114"/>
      <c r="AG101" s="114"/>
      <c r="AH101" s="128"/>
      <c r="AI101" s="132"/>
    </row>
    <row r="102" spans="1:35" s="7" customFormat="1">
      <c r="A102" s="95"/>
      <c r="B102" s="67"/>
      <c r="C102" s="561" t="s">
        <v>245</v>
      </c>
      <c r="D102" s="561"/>
      <c r="E102" s="421">
        <v>250</v>
      </c>
      <c r="F102" s="24"/>
      <c r="G102" s="68"/>
      <c r="H102" s="270" t="s">
        <v>156</v>
      </c>
      <c r="I102" s="271" t="s">
        <v>41</v>
      </c>
      <c r="J102" s="114">
        <f t="shared" ref="J102:U102" si="86">J18*$E$102</f>
        <v>750</v>
      </c>
      <c r="K102" s="114">
        <f t="shared" si="86"/>
        <v>750</v>
      </c>
      <c r="L102" s="114">
        <f t="shared" si="86"/>
        <v>750</v>
      </c>
      <c r="M102" s="114">
        <f t="shared" si="86"/>
        <v>750</v>
      </c>
      <c r="N102" s="114">
        <f t="shared" si="86"/>
        <v>750</v>
      </c>
      <c r="O102" s="114">
        <f t="shared" si="86"/>
        <v>750</v>
      </c>
      <c r="P102" s="114">
        <f t="shared" si="86"/>
        <v>1250</v>
      </c>
      <c r="Q102" s="114">
        <f t="shared" si="86"/>
        <v>1250</v>
      </c>
      <c r="R102" s="114">
        <f t="shared" si="86"/>
        <v>1250</v>
      </c>
      <c r="S102" s="114">
        <f t="shared" si="86"/>
        <v>1500</v>
      </c>
      <c r="T102" s="114">
        <f t="shared" si="86"/>
        <v>1750</v>
      </c>
      <c r="U102" s="114">
        <f t="shared" si="86"/>
        <v>1750</v>
      </c>
      <c r="V102" s="104">
        <f t="shared" ref="V102:V107" si="87">SUM(J102:U102)</f>
        <v>13250</v>
      </c>
      <c r="W102" s="114">
        <f t="shared" ref="W102:AH102" si="88">W18*$E$102</f>
        <v>1750</v>
      </c>
      <c r="X102" s="114">
        <f t="shared" si="88"/>
        <v>1750</v>
      </c>
      <c r="Y102" s="114">
        <f t="shared" si="88"/>
        <v>1750</v>
      </c>
      <c r="Z102" s="114">
        <f t="shared" si="88"/>
        <v>1750</v>
      </c>
      <c r="AA102" s="114">
        <f t="shared" si="88"/>
        <v>2000</v>
      </c>
      <c r="AB102" s="114">
        <f t="shared" si="88"/>
        <v>2000</v>
      </c>
      <c r="AC102" s="114">
        <f t="shared" si="88"/>
        <v>2000</v>
      </c>
      <c r="AD102" s="114">
        <f t="shared" si="88"/>
        <v>2000</v>
      </c>
      <c r="AE102" s="114">
        <f t="shared" si="88"/>
        <v>2000</v>
      </c>
      <c r="AF102" s="114">
        <f t="shared" si="88"/>
        <v>2000</v>
      </c>
      <c r="AG102" s="114">
        <f t="shared" si="88"/>
        <v>2250</v>
      </c>
      <c r="AH102" s="114">
        <f t="shared" si="88"/>
        <v>2250</v>
      </c>
      <c r="AI102" s="104">
        <f t="shared" ref="AI102:AI107" si="89">SUM(W102:AH102)</f>
        <v>23500</v>
      </c>
    </row>
    <row r="103" spans="1:35" s="7" customFormat="1">
      <c r="A103" s="95"/>
      <c r="B103" s="67"/>
      <c r="C103" s="561" t="s">
        <v>246</v>
      </c>
      <c r="D103" s="561"/>
      <c r="E103" s="421">
        <v>250</v>
      </c>
      <c r="F103" s="24"/>
      <c r="G103" s="68"/>
      <c r="H103" s="270" t="s">
        <v>157</v>
      </c>
      <c r="I103" s="271" t="s">
        <v>49</v>
      </c>
      <c r="J103" s="114">
        <f t="shared" ref="J103:U103" si="90">J51*$E$103</f>
        <v>1500</v>
      </c>
      <c r="K103" s="114">
        <f t="shared" si="90"/>
        <v>1500</v>
      </c>
      <c r="L103" s="114">
        <f t="shared" si="90"/>
        <v>2000</v>
      </c>
      <c r="M103" s="114">
        <f t="shared" si="90"/>
        <v>2250</v>
      </c>
      <c r="N103" s="114">
        <f t="shared" si="90"/>
        <v>2500</v>
      </c>
      <c r="O103" s="114">
        <f t="shared" si="90"/>
        <v>2500</v>
      </c>
      <c r="P103" s="114">
        <f t="shared" si="90"/>
        <v>3250</v>
      </c>
      <c r="Q103" s="114">
        <f t="shared" si="90"/>
        <v>3500</v>
      </c>
      <c r="R103" s="114">
        <f t="shared" si="90"/>
        <v>4000</v>
      </c>
      <c r="S103" s="114">
        <f t="shared" si="90"/>
        <v>4000</v>
      </c>
      <c r="T103" s="114">
        <f t="shared" si="90"/>
        <v>4250</v>
      </c>
      <c r="U103" s="114">
        <f t="shared" si="90"/>
        <v>4500</v>
      </c>
      <c r="V103" s="104">
        <f t="shared" si="87"/>
        <v>35750</v>
      </c>
      <c r="W103" s="114">
        <f t="shared" ref="W103:AH103" si="91">W51*$E$103</f>
        <v>5250</v>
      </c>
      <c r="X103" s="114">
        <f t="shared" si="91"/>
        <v>5250</v>
      </c>
      <c r="Y103" s="114">
        <f t="shared" si="91"/>
        <v>5500</v>
      </c>
      <c r="Z103" s="114">
        <f t="shared" si="91"/>
        <v>5750</v>
      </c>
      <c r="AA103" s="114">
        <f t="shared" si="91"/>
        <v>6000</v>
      </c>
      <c r="AB103" s="114">
        <f t="shared" si="91"/>
        <v>6500</v>
      </c>
      <c r="AC103" s="114">
        <f t="shared" si="91"/>
        <v>6750</v>
      </c>
      <c r="AD103" s="114">
        <f t="shared" si="91"/>
        <v>6750</v>
      </c>
      <c r="AE103" s="114">
        <f t="shared" si="91"/>
        <v>6750</v>
      </c>
      <c r="AF103" s="114">
        <f t="shared" si="91"/>
        <v>6750</v>
      </c>
      <c r="AG103" s="114">
        <f t="shared" si="91"/>
        <v>7000</v>
      </c>
      <c r="AH103" s="114">
        <f t="shared" si="91"/>
        <v>7000</v>
      </c>
      <c r="AI103" s="104">
        <f t="shared" si="89"/>
        <v>75250</v>
      </c>
    </row>
    <row r="104" spans="1:35" s="7" customFormat="1">
      <c r="A104" s="95"/>
      <c r="B104" s="67"/>
      <c r="C104" s="561" t="s">
        <v>247</v>
      </c>
      <c r="D104" s="561"/>
      <c r="E104" s="421">
        <v>250</v>
      </c>
      <c r="F104" s="24"/>
      <c r="G104" s="68"/>
      <c r="H104" s="270" t="s">
        <v>158</v>
      </c>
      <c r="I104" s="271" t="s">
        <v>121</v>
      </c>
      <c r="J104" s="114">
        <f t="shared" ref="J104:U104" si="92">J64*$E$104</f>
        <v>250</v>
      </c>
      <c r="K104" s="114">
        <f t="shared" si="92"/>
        <v>500</v>
      </c>
      <c r="L104" s="114">
        <f t="shared" si="92"/>
        <v>500</v>
      </c>
      <c r="M104" s="114">
        <f t="shared" si="92"/>
        <v>500</v>
      </c>
      <c r="N104" s="114">
        <f t="shared" si="92"/>
        <v>750</v>
      </c>
      <c r="O104" s="114">
        <f t="shared" si="92"/>
        <v>1000</v>
      </c>
      <c r="P104" s="114">
        <f t="shared" si="92"/>
        <v>1000</v>
      </c>
      <c r="Q104" s="114">
        <f t="shared" si="92"/>
        <v>1000</v>
      </c>
      <c r="R104" s="114">
        <f t="shared" si="92"/>
        <v>1000</v>
      </c>
      <c r="S104" s="114">
        <f t="shared" si="92"/>
        <v>1000</v>
      </c>
      <c r="T104" s="114">
        <f t="shared" si="92"/>
        <v>1000</v>
      </c>
      <c r="U104" s="114">
        <f t="shared" si="92"/>
        <v>1000</v>
      </c>
      <c r="V104" s="104">
        <f t="shared" si="87"/>
        <v>9500</v>
      </c>
      <c r="W104" s="114">
        <f t="shared" ref="W104:AH104" si="93">W64*$E$104</f>
        <v>1000</v>
      </c>
      <c r="X104" s="114">
        <f t="shared" si="93"/>
        <v>1250</v>
      </c>
      <c r="Y104" s="114">
        <f t="shared" si="93"/>
        <v>1500</v>
      </c>
      <c r="Z104" s="114">
        <f t="shared" si="93"/>
        <v>1500</v>
      </c>
      <c r="AA104" s="114">
        <f t="shared" si="93"/>
        <v>1500</v>
      </c>
      <c r="AB104" s="114">
        <f t="shared" si="93"/>
        <v>1750</v>
      </c>
      <c r="AC104" s="114">
        <f t="shared" si="93"/>
        <v>1750</v>
      </c>
      <c r="AD104" s="114">
        <f t="shared" si="93"/>
        <v>1750</v>
      </c>
      <c r="AE104" s="114">
        <f t="shared" si="93"/>
        <v>1750</v>
      </c>
      <c r="AF104" s="114">
        <f t="shared" si="93"/>
        <v>2000</v>
      </c>
      <c r="AG104" s="114">
        <f t="shared" si="93"/>
        <v>2000</v>
      </c>
      <c r="AH104" s="114">
        <f t="shared" si="93"/>
        <v>2000</v>
      </c>
      <c r="AI104" s="104">
        <f t="shared" si="89"/>
        <v>19750</v>
      </c>
    </row>
    <row r="105" spans="1:35" s="7" customFormat="1">
      <c r="A105" s="95"/>
      <c r="B105" s="67"/>
      <c r="C105" s="561" t="s">
        <v>248</v>
      </c>
      <c r="D105" s="561"/>
      <c r="E105" s="421">
        <v>250</v>
      </c>
      <c r="F105" s="24"/>
      <c r="G105" s="68"/>
      <c r="H105" s="270" t="s">
        <v>159</v>
      </c>
      <c r="I105" s="271" t="s">
        <v>121</v>
      </c>
      <c r="J105" s="114">
        <f t="shared" ref="J105:U105" si="94">J74*$E$105</f>
        <v>2000</v>
      </c>
      <c r="K105" s="114">
        <f t="shared" si="94"/>
        <v>4500</v>
      </c>
      <c r="L105" s="114">
        <f t="shared" si="94"/>
        <v>4750</v>
      </c>
      <c r="M105" s="114">
        <f t="shared" si="94"/>
        <v>4750</v>
      </c>
      <c r="N105" s="114">
        <f t="shared" si="94"/>
        <v>4750</v>
      </c>
      <c r="O105" s="114">
        <f t="shared" si="94"/>
        <v>4750</v>
      </c>
      <c r="P105" s="114">
        <f t="shared" si="94"/>
        <v>4750</v>
      </c>
      <c r="Q105" s="114">
        <f t="shared" si="94"/>
        <v>4750</v>
      </c>
      <c r="R105" s="114">
        <f t="shared" si="94"/>
        <v>4750</v>
      </c>
      <c r="S105" s="114">
        <f t="shared" si="94"/>
        <v>4750</v>
      </c>
      <c r="T105" s="114">
        <f t="shared" si="94"/>
        <v>4750</v>
      </c>
      <c r="U105" s="114">
        <f t="shared" si="94"/>
        <v>4750</v>
      </c>
      <c r="V105" s="104">
        <f t="shared" si="87"/>
        <v>54000</v>
      </c>
      <c r="W105" s="114">
        <f t="shared" ref="W105:AH105" si="95">W74*$E$105</f>
        <v>4750</v>
      </c>
      <c r="X105" s="114">
        <f t="shared" si="95"/>
        <v>4750</v>
      </c>
      <c r="Y105" s="114">
        <f t="shared" si="95"/>
        <v>4750</v>
      </c>
      <c r="Z105" s="114">
        <f t="shared" si="95"/>
        <v>4750</v>
      </c>
      <c r="AA105" s="114">
        <f t="shared" si="95"/>
        <v>4750</v>
      </c>
      <c r="AB105" s="114">
        <f t="shared" si="95"/>
        <v>5500</v>
      </c>
      <c r="AC105" s="114">
        <f t="shared" si="95"/>
        <v>5500</v>
      </c>
      <c r="AD105" s="114">
        <f t="shared" si="95"/>
        <v>6250</v>
      </c>
      <c r="AE105" s="114">
        <f t="shared" si="95"/>
        <v>7000</v>
      </c>
      <c r="AF105" s="114">
        <f t="shared" si="95"/>
        <v>7000</v>
      </c>
      <c r="AG105" s="114">
        <f t="shared" si="95"/>
        <v>7000</v>
      </c>
      <c r="AH105" s="114">
        <f t="shared" si="95"/>
        <v>7000</v>
      </c>
      <c r="AI105" s="104">
        <f t="shared" si="89"/>
        <v>69000</v>
      </c>
    </row>
    <row r="106" spans="1:35" s="7" customFormat="1">
      <c r="A106" s="95"/>
      <c r="B106" s="67"/>
      <c r="C106" s="561" t="s">
        <v>249</v>
      </c>
      <c r="D106" s="561"/>
      <c r="E106" s="421">
        <v>250</v>
      </c>
      <c r="F106" s="24"/>
      <c r="G106" s="68"/>
      <c r="H106" s="270" t="s">
        <v>160</v>
      </c>
      <c r="I106" s="271" t="s">
        <v>122</v>
      </c>
      <c r="J106" s="114">
        <f>J83*$E$106</f>
        <v>750</v>
      </c>
      <c r="K106" s="114">
        <f t="shared" ref="K106:U106" si="96">K83*$E$106</f>
        <v>1000</v>
      </c>
      <c r="L106" s="114">
        <f t="shared" si="96"/>
        <v>1000</v>
      </c>
      <c r="M106" s="114">
        <f t="shared" si="96"/>
        <v>1500</v>
      </c>
      <c r="N106" s="114">
        <f t="shared" si="96"/>
        <v>1500</v>
      </c>
      <c r="O106" s="114">
        <f t="shared" si="96"/>
        <v>1750</v>
      </c>
      <c r="P106" s="114">
        <f t="shared" si="96"/>
        <v>2000</v>
      </c>
      <c r="Q106" s="114">
        <f t="shared" si="96"/>
        <v>2250</v>
      </c>
      <c r="R106" s="114">
        <f t="shared" si="96"/>
        <v>3000</v>
      </c>
      <c r="S106" s="114">
        <f t="shared" si="96"/>
        <v>3250</v>
      </c>
      <c r="T106" s="114">
        <f t="shared" si="96"/>
        <v>3500</v>
      </c>
      <c r="U106" s="114">
        <f t="shared" si="96"/>
        <v>3750</v>
      </c>
      <c r="V106" s="104">
        <f t="shared" si="87"/>
        <v>25250</v>
      </c>
      <c r="W106" s="114">
        <f>W83*$E$106</f>
        <v>4500</v>
      </c>
      <c r="X106" s="114">
        <f t="shared" ref="X106:AH106" si="97">X83*$E$106</f>
        <v>4750</v>
      </c>
      <c r="Y106" s="114">
        <f t="shared" si="97"/>
        <v>5500</v>
      </c>
      <c r="Z106" s="114">
        <f t="shared" si="97"/>
        <v>5750</v>
      </c>
      <c r="AA106" s="114">
        <f t="shared" si="97"/>
        <v>6250</v>
      </c>
      <c r="AB106" s="114">
        <f t="shared" si="97"/>
        <v>6750</v>
      </c>
      <c r="AC106" s="114">
        <f t="shared" si="97"/>
        <v>7750</v>
      </c>
      <c r="AD106" s="114">
        <f t="shared" si="97"/>
        <v>8500</v>
      </c>
      <c r="AE106" s="114">
        <f t="shared" si="97"/>
        <v>9250</v>
      </c>
      <c r="AF106" s="114">
        <f t="shared" si="97"/>
        <v>10250</v>
      </c>
      <c r="AG106" s="114">
        <f t="shared" si="97"/>
        <v>11000</v>
      </c>
      <c r="AH106" s="114">
        <f t="shared" si="97"/>
        <v>12000</v>
      </c>
      <c r="AI106" s="104">
        <f t="shared" si="89"/>
        <v>92250</v>
      </c>
    </row>
    <row r="107" spans="1:35" s="7" customFormat="1">
      <c r="A107" s="95"/>
      <c r="B107" s="67"/>
      <c r="C107" s="64"/>
      <c r="D107" s="64"/>
      <c r="E107" s="425"/>
      <c r="F107" s="24"/>
      <c r="G107" s="68"/>
      <c r="H107" s="281" t="s">
        <v>169</v>
      </c>
      <c r="I107" s="282"/>
      <c r="J107" s="443">
        <f>SUM(J102:J106)</f>
        <v>5250</v>
      </c>
      <c r="K107" s="443">
        <f t="shared" ref="K107" si="98">SUM(K102:K106)</f>
        <v>8250</v>
      </c>
      <c r="L107" s="443">
        <f t="shared" ref="L107" si="99">SUM(L102:L106)</f>
        <v>9000</v>
      </c>
      <c r="M107" s="443">
        <f t="shared" ref="M107" si="100">SUM(M102:M106)</f>
        <v>9750</v>
      </c>
      <c r="N107" s="443">
        <f t="shared" ref="N107" si="101">SUM(N102:N106)</f>
        <v>10250</v>
      </c>
      <c r="O107" s="443">
        <f t="shared" ref="O107" si="102">SUM(O102:O106)</f>
        <v>10750</v>
      </c>
      <c r="P107" s="443">
        <f t="shared" ref="P107" si="103">SUM(P102:P106)</f>
        <v>12250</v>
      </c>
      <c r="Q107" s="443">
        <f t="shared" ref="Q107" si="104">SUM(Q102:Q106)</f>
        <v>12750</v>
      </c>
      <c r="R107" s="443">
        <f t="shared" ref="R107" si="105">SUM(R102:R106)</f>
        <v>14000</v>
      </c>
      <c r="S107" s="443">
        <f t="shared" ref="S107" si="106">SUM(S102:S106)</f>
        <v>14500</v>
      </c>
      <c r="T107" s="443">
        <f t="shared" ref="T107" si="107">SUM(T102:T106)</f>
        <v>15250</v>
      </c>
      <c r="U107" s="443">
        <f t="shared" ref="U107" si="108">SUM(U102:U106)</f>
        <v>15750</v>
      </c>
      <c r="V107" s="444">
        <f t="shared" si="87"/>
        <v>137750</v>
      </c>
      <c r="W107" s="443">
        <f>SUM(W102:W106)</f>
        <v>17250</v>
      </c>
      <c r="X107" s="443">
        <f t="shared" ref="X107" si="109">SUM(X102:X106)</f>
        <v>17750</v>
      </c>
      <c r="Y107" s="443">
        <f t="shared" ref="Y107" si="110">SUM(Y102:Y106)</f>
        <v>19000</v>
      </c>
      <c r="Z107" s="443">
        <f t="shared" ref="Z107" si="111">SUM(Z102:Z106)</f>
        <v>19500</v>
      </c>
      <c r="AA107" s="443">
        <f t="shared" ref="AA107" si="112">SUM(AA102:AA106)</f>
        <v>20500</v>
      </c>
      <c r="AB107" s="443">
        <f t="shared" ref="AB107" si="113">SUM(AB102:AB106)</f>
        <v>22500</v>
      </c>
      <c r="AC107" s="443">
        <f t="shared" ref="AC107" si="114">SUM(AC102:AC106)</f>
        <v>23750</v>
      </c>
      <c r="AD107" s="443">
        <f t="shared" ref="AD107" si="115">SUM(AD102:AD106)</f>
        <v>25250</v>
      </c>
      <c r="AE107" s="443">
        <f t="shared" ref="AE107" si="116">SUM(AE102:AE106)</f>
        <v>26750</v>
      </c>
      <c r="AF107" s="443">
        <f t="shared" ref="AF107" si="117">SUM(AF102:AF106)</f>
        <v>28000</v>
      </c>
      <c r="AG107" s="443">
        <f t="shared" ref="AG107" si="118">SUM(AG102:AG106)</f>
        <v>29250</v>
      </c>
      <c r="AH107" s="443">
        <f t="shared" ref="AH107" si="119">SUM(AH102:AH106)</f>
        <v>30250</v>
      </c>
      <c r="AI107" s="444">
        <f t="shared" si="89"/>
        <v>279750</v>
      </c>
    </row>
    <row r="108" spans="1:35" s="7" customFormat="1">
      <c r="A108" s="95"/>
      <c r="B108" s="67"/>
      <c r="C108" s="64"/>
      <c r="D108" s="64"/>
      <c r="E108" s="425"/>
      <c r="F108" s="24"/>
      <c r="G108" s="68"/>
      <c r="H108" s="269"/>
      <c r="I108" s="258"/>
      <c r="J108" s="114"/>
      <c r="K108" s="114"/>
      <c r="L108" s="114"/>
      <c r="M108" s="114"/>
      <c r="N108" s="114"/>
      <c r="O108" s="114"/>
      <c r="P108" s="114"/>
      <c r="Q108" s="114"/>
      <c r="R108" s="114"/>
      <c r="S108" s="114"/>
      <c r="T108" s="114"/>
      <c r="U108" s="114"/>
      <c r="V108" s="104"/>
      <c r="W108" s="114"/>
      <c r="X108" s="114"/>
      <c r="Y108" s="114"/>
      <c r="Z108" s="114"/>
      <c r="AA108" s="114"/>
      <c r="AB108" s="114"/>
      <c r="AC108" s="114"/>
      <c r="AD108" s="114"/>
      <c r="AE108" s="114"/>
      <c r="AF108" s="114"/>
      <c r="AG108" s="114"/>
      <c r="AH108" s="114"/>
      <c r="AI108" s="104"/>
    </row>
    <row r="109" spans="1:35" s="7" customFormat="1">
      <c r="A109" s="95"/>
      <c r="B109" s="67"/>
      <c r="C109" s="64"/>
      <c r="D109" s="64"/>
      <c r="E109" s="425"/>
      <c r="F109" s="24"/>
      <c r="G109" s="68"/>
      <c r="H109" s="269" t="s">
        <v>168</v>
      </c>
      <c r="I109" s="258"/>
      <c r="J109" s="114"/>
      <c r="K109" s="114"/>
      <c r="L109" s="114"/>
      <c r="M109" s="114"/>
      <c r="N109" s="114"/>
      <c r="O109" s="114"/>
      <c r="P109" s="114"/>
      <c r="Q109" s="114"/>
      <c r="R109" s="114"/>
      <c r="S109" s="114"/>
      <c r="T109" s="114"/>
      <c r="U109" s="114"/>
      <c r="V109" s="104"/>
      <c r="W109" s="114"/>
      <c r="X109" s="114"/>
      <c r="Y109" s="114"/>
      <c r="Z109" s="114"/>
      <c r="AA109" s="114"/>
      <c r="AB109" s="114"/>
      <c r="AC109" s="114"/>
      <c r="AD109" s="114"/>
      <c r="AE109" s="114"/>
      <c r="AF109" s="114"/>
      <c r="AG109" s="114"/>
      <c r="AH109" s="114"/>
      <c r="AI109" s="104"/>
    </row>
    <row r="110" spans="1:35" s="7" customFormat="1">
      <c r="A110" s="95"/>
      <c r="B110" s="67"/>
      <c r="C110" s="561" t="s">
        <v>250</v>
      </c>
      <c r="D110" s="561"/>
      <c r="E110" s="421">
        <v>4000</v>
      </c>
      <c r="F110" s="24"/>
      <c r="G110" s="68"/>
      <c r="H110" s="270" t="s">
        <v>156</v>
      </c>
      <c r="I110" s="271" t="s">
        <v>41</v>
      </c>
      <c r="J110" s="114">
        <v>0</v>
      </c>
      <c r="K110" s="114">
        <f t="shared" ref="K110:U110" si="120">(K18-J18)*$E$110</f>
        <v>0</v>
      </c>
      <c r="L110" s="114">
        <f t="shared" si="120"/>
        <v>0</v>
      </c>
      <c r="M110" s="114">
        <f t="shared" si="120"/>
        <v>0</v>
      </c>
      <c r="N110" s="114">
        <f t="shared" si="120"/>
        <v>0</v>
      </c>
      <c r="O110" s="114">
        <f t="shared" si="120"/>
        <v>0</v>
      </c>
      <c r="P110" s="114">
        <f t="shared" si="120"/>
        <v>8000</v>
      </c>
      <c r="Q110" s="114">
        <f t="shared" si="120"/>
        <v>0</v>
      </c>
      <c r="R110" s="114">
        <f t="shared" si="120"/>
        <v>0</v>
      </c>
      <c r="S110" s="114">
        <f t="shared" si="120"/>
        <v>4000</v>
      </c>
      <c r="T110" s="114">
        <f t="shared" si="120"/>
        <v>4000</v>
      </c>
      <c r="U110" s="114">
        <f t="shared" si="120"/>
        <v>0</v>
      </c>
      <c r="V110" s="104">
        <f t="shared" ref="V110:V115" si="121">SUM(J110:U110)</f>
        <v>16000</v>
      </c>
      <c r="W110" s="114">
        <f>(W18-U18)*$E$110</f>
        <v>0</v>
      </c>
      <c r="X110" s="114">
        <f t="shared" ref="X110:AH110" si="122">(X18-W18)*$E$110</f>
        <v>0</v>
      </c>
      <c r="Y110" s="114">
        <f t="shared" si="122"/>
        <v>0</v>
      </c>
      <c r="Z110" s="114">
        <f t="shared" si="122"/>
        <v>0</v>
      </c>
      <c r="AA110" s="114">
        <f t="shared" si="122"/>
        <v>4000</v>
      </c>
      <c r="AB110" s="114">
        <f t="shared" si="122"/>
        <v>0</v>
      </c>
      <c r="AC110" s="114">
        <f t="shared" si="122"/>
        <v>0</v>
      </c>
      <c r="AD110" s="114">
        <f t="shared" si="122"/>
        <v>0</v>
      </c>
      <c r="AE110" s="114">
        <f t="shared" si="122"/>
        <v>0</v>
      </c>
      <c r="AF110" s="114">
        <f t="shared" si="122"/>
        <v>0</v>
      </c>
      <c r="AG110" s="114">
        <f t="shared" si="122"/>
        <v>4000</v>
      </c>
      <c r="AH110" s="114">
        <f t="shared" si="122"/>
        <v>0</v>
      </c>
      <c r="AI110" s="104">
        <f t="shared" ref="AI110:AI115" si="123">SUM(W110:AH110)</f>
        <v>8000</v>
      </c>
    </row>
    <row r="111" spans="1:35" s="7" customFormat="1">
      <c r="A111" s="95"/>
      <c r="B111" s="67"/>
      <c r="C111" s="561" t="s">
        <v>251</v>
      </c>
      <c r="D111" s="561"/>
      <c r="E111" s="421">
        <v>4000</v>
      </c>
      <c r="F111" s="24"/>
      <c r="G111" s="68"/>
      <c r="H111" s="270" t="s">
        <v>157</v>
      </c>
      <c r="I111" s="271" t="s">
        <v>49</v>
      </c>
      <c r="J111" s="114">
        <v>0</v>
      </c>
      <c r="K111" s="114">
        <f t="shared" ref="K111:U111" si="124">(K51-J51)*$E111</f>
        <v>0</v>
      </c>
      <c r="L111" s="114">
        <f t="shared" si="124"/>
        <v>8000</v>
      </c>
      <c r="M111" s="114">
        <f t="shared" si="124"/>
        <v>4000</v>
      </c>
      <c r="N111" s="114">
        <f t="shared" si="124"/>
        <v>4000</v>
      </c>
      <c r="O111" s="114">
        <f t="shared" si="124"/>
        <v>0</v>
      </c>
      <c r="P111" s="114">
        <f t="shared" si="124"/>
        <v>12000</v>
      </c>
      <c r="Q111" s="114">
        <f t="shared" si="124"/>
        <v>4000</v>
      </c>
      <c r="R111" s="114">
        <f t="shared" si="124"/>
        <v>8000</v>
      </c>
      <c r="S111" s="114">
        <f t="shared" si="124"/>
        <v>0</v>
      </c>
      <c r="T111" s="114">
        <f t="shared" si="124"/>
        <v>4000</v>
      </c>
      <c r="U111" s="114">
        <f t="shared" si="124"/>
        <v>4000</v>
      </c>
      <c r="V111" s="104">
        <f t="shared" si="121"/>
        <v>48000</v>
      </c>
      <c r="W111" s="114">
        <f>(W51-U51)*$E111</f>
        <v>12000</v>
      </c>
      <c r="X111" s="114">
        <f t="shared" ref="X111:AH111" si="125">(X51-W51)*$E111</f>
        <v>0</v>
      </c>
      <c r="Y111" s="114">
        <f t="shared" si="125"/>
        <v>4000</v>
      </c>
      <c r="Z111" s="114">
        <f t="shared" si="125"/>
        <v>4000</v>
      </c>
      <c r="AA111" s="114">
        <f t="shared" si="125"/>
        <v>4000</v>
      </c>
      <c r="AB111" s="114">
        <f t="shared" si="125"/>
        <v>8000</v>
      </c>
      <c r="AC111" s="114">
        <f t="shared" si="125"/>
        <v>4000</v>
      </c>
      <c r="AD111" s="114">
        <f t="shared" si="125"/>
        <v>0</v>
      </c>
      <c r="AE111" s="114">
        <f t="shared" si="125"/>
        <v>0</v>
      </c>
      <c r="AF111" s="114">
        <f t="shared" si="125"/>
        <v>0</v>
      </c>
      <c r="AG111" s="114">
        <f t="shared" si="125"/>
        <v>4000</v>
      </c>
      <c r="AH111" s="114">
        <f t="shared" si="125"/>
        <v>0</v>
      </c>
      <c r="AI111" s="104">
        <f t="shared" si="123"/>
        <v>40000</v>
      </c>
    </row>
    <row r="112" spans="1:35" s="7" customFormat="1">
      <c r="A112" s="95"/>
      <c r="B112" s="67"/>
      <c r="C112" s="561" t="s">
        <v>252</v>
      </c>
      <c r="D112" s="561"/>
      <c r="E112" s="421">
        <v>4000</v>
      </c>
      <c r="F112" s="24"/>
      <c r="G112" s="68"/>
      <c r="H112" s="270" t="s">
        <v>158</v>
      </c>
      <c r="I112" s="271" t="s">
        <v>121</v>
      </c>
      <c r="J112" s="114">
        <v>0</v>
      </c>
      <c r="K112" s="114">
        <f t="shared" ref="K112:U112" si="126">(K64-J64)*$E112</f>
        <v>4000</v>
      </c>
      <c r="L112" s="114">
        <f t="shared" si="126"/>
        <v>0</v>
      </c>
      <c r="M112" s="114">
        <f t="shared" si="126"/>
        <v>0</v>
      </c>
      <c r="N112" s="114">
        <f t="shared" si="126"/>
        <v>4000</v>
      </c>
      <c r="O112" s="114">
        <f t="shared" si="126"/>
        <v>4000</v>
      </c>
      <c r="P112" s="114">
        <f t="shared" si="126"/>
        <v>0</v>
      </c>
      <c r="Q112" s="114">
        <f t="shared" si="126"/>
        <v>0</v>
      </c>
      <c r="R112" s="114">
        <f t="shared" si="126"/>
        <v>0</v>
      </c>
      <c r="S112" s="114">
        <f t="shared" si="126"/>
        <v>0</v>
      </c>
      <c r="T112" s="114">
        <f t="shared" si="126"/>
        <v>0</v>
      </c>
      <c r="U112" s="114">
        <f t="shared" si="126"/>
        <v>0</v>
      </c>
      <c r="V112" s="104">
        <f t="shared" si="121"/>
        <v>12000</v>
      </c>
      <c r="W112" s="114">
        <f>(W64-U64)*$E112</f>
        <v>0</v>
      </c>
      <c r="X112" s="114">
        <f t="shared" ref="X112:AH112" si="127">(X64-W64)*$E112</f>
        <v>4000</v>
      </c>
      <c r="Y112" s="114">
        <f t="shared" si="127"/>
        <v>4000</v>
      </c>
      <c r="Z112" s="114">
        <f t="shared" si="127"/>
        <v>0</v>
      </c>
      <c r="AA112" s="114">
        <f t="shared" si="127"/>
        <v>0</v>
      </c>
      <c r="AB112" s="114">
        <f t="shared" si="127"/>
        <v>4000</v>
      </c>
      <c r="AC112" s="114">
        <f t="shared" si="127"/>
        <v>0</v>
      </c>
      <c r="AD112" s="114">
        <f t="shared" si="127"/>
        <v>0</v>
      </c>
      <c r="AE112" s="114">
        <f t="shared" si="127"/>
        <v>0</v>
      </c>
      <c r="AF112" s="114">
        <f t="shared" si="127"/>
        <v>4000</v>
      </c>
      <c r="AG112" s="114">
        <f t="shared" si="127"/>
        <v>0</v>
      </c>
      <c r="AH112" s="114">
        <f t="shared" si="127"/>
        <v>0</v>
      </c>
      <c r="AI112" s="104">
        <f t="shared" si="123"/>
        <v>16000</v>
      </c>
    </row>
    <row r="113" spans="1:35" s="7" customFormat="1">
      <c r="A113" s="95"/>
      <c r="B113" s="67"/>
      <c r="C113" s="561" t="s">
        <v>253</v>
      </c>
      <c r="D113" s="561"/>
      <c r="E113" s="421">
        <v>4000</v>
      </c>
      <c r="F113" s="24"/>
      <c r="G113" s="68"/>
      <c r="H113" s="270" t="s">
        <v>159</v>
      </c>
      <c r="I113" s="271" t="s">
        <v>121</v>
      </c>
      <c r="J113" s="114">
        <v>0</v>
      </c>
      <c r="K113" s="114">
        <f t="shared" ref="K113:U113" si="128">(K74-J74)*$E113</f>
        <v>40000</v>
      </c>
      <c r="L113" s="114">
        <f t="shared" si="128"/>
        <v>4000</v>
      </c>
      <c r="M113" s="114">
        <f t="shared" si="128"/>
        <v>0</v>
      </c>
      <c r="N113" s="114">
        <f t="shared" si="128"/>
        <v>0</v>
      </c>
      <c r="O113" s="114">
        <f t="shared" si="128"/>
        <v>0</v>
      </c>
      <c r="P113" s="114">
        <f t="shared" si="128"/>
        <v>0</v>
      </c>
      <c r="Q113" s="114">
        <f t="shared" si="128"/>
        <v>0</v>
      </c>
      <c r="R113" s="114">
        <f t="shared" si="128"/>
        <v>0</v>
      </c>
      <c r="S113" s="114">
        <f t="shared" si="128"/>
        <v>0</v>
      </c>
      <c r="T113" s="114">
        <f t="shared" si="128"/>
        <v>0</v>
      </c>
      <c r="U113" s="114">
        <f t="shared" si="128"/>
        <v>0</v>
      </c>
      <c r="V113" s="104">
        <f t="shared" si="121"/>
        <v>44000</v>
      </c>
      <c r="W113" s="114">
        <f>(W74-U74)*$E113</f>
        <v>0</v>
      </c>
      <c r="X113" s="114">
        <f t="shared" ref="X113:AH113" si="129">(X74-W74)*$E113</f>
        <v>0</v>
      </c>
      <c r="Y113" s="114">
        <f t="shared" si="129"/>
        <v>0</v>
      </c>
      <c r="Z113" s="114">
        <f t="shared" si="129"/>
        <v>0</v>
      </c>
      <c r="AA113" s="114">
        <f t="shared" si="129"/>
        <v>0</v>
      </c>
      <c r="AB113" s="114">
        <f t="shared" si="129"/>
        <v>12000</v>
      </c>
      <c r="AC113" s="114">
        <f t="shared" si="129"/>
        <v>0</v>
      </c>
      <c r="AD113" s="114">
        <f t="shared" si="129"/>
        <v>12000</v>
      </c>
      <c r="AE113" s="114">
        <f t="shared" si="129"/>
        <v>12000</v>
      </c>
      <c r="AF113" s="114">
        <f t="shared" si="129"/>
        <v>0</v>
      </c>
      <c r="AG113" s="114">
        <f t="shared" si="129"/>
        <v>0</v>
      </c>
      <c r="AH113" s="114">
        <f t="shared" si="129"/>
        <v>0</v>
      </c>
      <c r="AI113" s="104">
        <f t="shared" si="123"/>
        <v>36000</v>
      </c>
    </row>
    <row r="114" spans="1:35" s="7" customFormat="1">
      <c r="A114" s="95"/>
      <c r="B114" s="67"/>
      <c r="C114" s="561" t="s">
        <v>254</v>
      </c>
      <c r="D114" s="561"/>
      <c r="E114" s="421">
        <v>4000</v>
      </c>
      <c r="F114" s="24"/>
      <c r="G114" s="68"/>
      <c r="H114" s="270" t="s">
        <v>160</v>
      </c>
      <c r="I114" s="271" t="s">
        <v>122</v>
      </c>
      <c r="J114" s="114">
        <v>0</v>
      </c>
      <c r="K114" s="114">
        <f>(K83-J83)*$E114</f>
        <v>4000</v>
      </c>
      <c r="L114" s="114">
        <f t="shared" ref="L114:U114" si="130">(L83-K83)*$E114</f>
        <v>0</v>
      </c>
      <c r="M114" s="114">
        <f t="shared" si="130"/>
        <v>8000</v>
      </c>
      <c r="N114" s="114">
        <f t="shared" si="130"/>
        <v>0</v>
      </c>
      <c r="O114" s="114">
        <f t="shared" si="130"/>
        <v>4000</v>
      </c>
      <c r="P114" s="114">
        <f t="shared" si="130"/>
        <v>4000</v>
      </c>
      <c r="Q114" s="114">
        <f t="shared" si="130"/>
        <v>4000</v>
      </c>
      <c r="R114" s="114">
        <f t="shared" si="130"/>
        <v>12000</v>
      </c>
      <c r="S114" s="114">
        <f t="shared" si="130"/>
        <v>4000</v>
      </c>
      <c r="T114" s="114">
        <f t="shared" si="130"/>
        <v>4000</v>
      </c>
      <c r="U114" s="114">
        <f t="shared" si="130"/>
        <v>4000</v>
      </c>
      <c r="V114" s="104">
        <f t="shared" si="121"/>
        <v>48000</v>
      </c>
      <c r="W114" s="114">
        <f>(W83-U83)*$E114</f>
        <v>12000</v>
      </c>
      <c r="X114" s="114">
        <f>(X83-W83)*$E114</f>
        <v>4000</v>
      </c>
      <c r="Y114" s="114">
        <f t="shared" ref="Y114:AH114" si="131">(Y83-X83)*$E114</f>
        <v>12000</v>
      </c>
      <c r="Z114" s="114">
        <f t="shared" si="131"/>
        <v>4000</v>
      </c>
      <c r="AA114" s="114">
        <f t="shared" si="131"/>
        <v>8000</v>
      </c>
      <c r="AB114" s="114">
        <f t="shared" si="131"/>
        <v>8000</v>
      </c>
      <c r="AC114" s="114">
        <f t="shared" si="131"/>
        <v>16000</v>
      </c>
      <c r="AD114" s="114">
        <f t="shared" si="131"/>
        <v>12000</v>
      </c>
      <c r="AE114" s="114">
        <f t="shared" si="131"/>
        <v>12000</v>
      </c>
      <c r="AF114" s="114">
        <f t="shared" si="131"/>
        <v>16000</v>
      </c>
      <c r="AG114" s="114">
        <f t="shared" si="131"/>
        <v>12000</v>
      </c>
      <c r="AH114" s="114">
        <f t="shared" si="131"/>
        <v>16000</v>
      </c>
      <c r="AI114" s="104">
        <f t="shared" si="123"/>
        <v>132000</v>
      </c>
    </row>
    <row r="115" spans="1:35" s="7" customFormat="1">
      <c r="A115" s="95"/>
      <c r="B115" s="67"/>
      <c r="C115" s="64"/>
      <c r="D115" s="64"/>
      <c r="E115" s="88"/>
      <c r="F115" s="24"/>
      <c r="G115" s="68"/>
      <c r="H115" s="281" t="s">
        <v>170</v>
      </c>
      <c r="I115" s="282"/>
      <c r="J115" s="443">
        <f>SUM(J110:J114)</f>
        <v>0</v>
      </c>
      <c r="K115" s="443">
        <f t="shared" ref="K115" si="132">SUM(K110:K114)</f>
        <v>48000</v>
      </c>
      <c r="L115" s="443">
        <f t="shared" ref="L115" si="133">SUM(L110:L114)</f>
        <v>12000</v>
      </c>
      <c r="M115" s="443">
        <f t="shared" ref="M115" si="134">SUM(M110:M114)</f>
        <v>12000</v>
      </c>
      <c r="N115" s="443">
        <f t="shared" ref="N115" si="135">SUM(N110:N114)</f>
        <v>8000</v>
      </c>
      <c r="O115" s="443">
        <f t="shared" ref="O115" si="136">SUM(O110:O114)</f>
        <v>8000</v>
      </c>
      <c r="P115" s="443">
        <f t="shared" ref="P115" si="137">SUM(P110:P114)</f>
        <v>24000</v>
      </c>
      <c r="Q115" s="443">
        <f t="shared" ref="Q115" si="138">SUM(Q110:Q114)</f>
        <v>8000</v>
      </c>
      <c r="R115" s="443">
        <f t="shared" ref="R115" si="139">SUM(R110:R114)</f>
        <v>20000</v>
      </c>
      <c r="S115" s="443">
        <f t="shared" ref="S115" si="140">SUM(S110:S114)</f>
        <v>8000</v>
      </c>
      <c r="T115" s="443">
        <f t="shared" ref="T115" si="141">SUM(T110:T114)</f>
        <v>12000</v>
      </c>
      <c r="U115" s="443">
        <f t="shared" ref="U115" si="142">SUM(U110:U114)</f>
        <v>8000</v>
      </c>
      <c r="V115" s="444">
        <f t="shared" si="121"/>
        <v>168000</v>
      </c>
      <c r="W115" s="443">
        <f>SUM(W110:W114)</f>
        <v>24000</v>
      </c>
      <c r="X115" s="443">
        <f t="shared" ref="X115" si="143">SUM(X110:X114)</f>
        <v>8000</v>
      </c>
      <c r="Y115" s="443">
        <f t="shared" ref="Y115" si="144">SUM(Y110:Y114)</f>
        <v>20000</v>
      </c>
      <c r="Z115" s="443">
        <f t="shared" ref="Z115" si="145">SUM(Z110:Z114)</f>
        <v>8000</v>
      </c>
      <c r="AA115" s="443">
        <f t="shared" ref="AA115" si="146">SUM(AA110:AA114)</f>
        <v>16000</v>
      </c>
      <c r="AB115" s="443">
        <f t="shared" ref="AB115" si="147">SUM(AB110:AB114)</f>
        <v>32000</v>
      </c>
      <c r="AC115" s="443">
        <f t="shared" ref="AC115" si="148">SUM(AC110:AC114)</f>
        <v>20000</v>
      </c>
      <c r="AD115" s="443">
        <f t="shared" ref="AD115" si="149">SUM(AD110:AD114)</f>
        <v>24000</v>
      </c>
      <c r="AE115" s="443">
        <f t="shared" ref="AE115" si="150">SUM(AE110:AE114)</f>
        <v>24000</v>
      </c>
      <c r="AF115" s="443">
        <f t="shared" ref="AF115" si="151">SUM(AF110:AF114)</f>
        <v>20000</v>
      </c>
      <c r="AG115" s="443">
        <f t="shared" ref="AG115" si="152">SUM(AG110:AG114)</f>
        <v>20000</v>
      </c>
      <c r="AH115" s="443">
        <f t="shared" ref="AH115" si="153">SUM(AH110:AH114)</f>
        <v>16000</v>
      </c>
      <c r="AI115" s="444">
        <f t="shared" si="123"/>
        <v>232000</v>
      </c>
    </row>
    <row r="116" spans="1:35" s="7" customFormat="1">
      <c r="A116" s="95"/>
      <c r="B116" s="67"/>
      <c r="C116" s="64"/>
      <c r="D116" s="64"/>
      <c r="E116" s="88"/>
      <c r="F116" s="24"/>
      <c r="G116" s="68"/>
      <c r="H116" s="269"/>
      <c r="I116" s="258"/>
      <c r="J116" s="114"/>
      <c r="K116" s="114"/>
      <c r="L116" s="114"/>
      <c r="M116" s="114"/>
      <c r="N116" s="114"/>
      <c r="O116" s="114"/>
      <c r="P116" s="114"/>
      <c r="Q116" s="114"/>
      <c r="R116" s="114"/>
      <c r="S116" s="114"/>
      <c r="T116" s="114"/>
      <c r="U116" s="114"/>
      <c r="V116" s="104"/>
      <c r="W116" s="114"/>
      <c r="X116" s="114"/>
      <c r="Y116" s="114"/>
      <c r="Z116" s="114"/>
      <c r="AA116" s="114"/>
      <c r="AB116" s="114"/>
      <c r="AC116" s="114"/>
      <c r="AD116" s="114"/>
      <c r="AE116" s="114"/>
      <c r="AF116" s="114"/>
      <c r="AG116" s="114"/>
      <c r="AH116" s="114"/>
      <c r="AI116" s="104"/>
    </row>
    <row r="117" spans="1:35" s="7" customFormat="1">
      <c r="A117" s="95"/>
      <c r="B117" s="67"/>
      <c r="C117" s="64"/>
      <c r="D117" s="64"/>
      <c r="E117" s="88"/>
      <c r="F117" s="24"/>
      <c r="G117" s="68"/>
      <c r="H117" s="121" t="s">
        <v>171</v>
      </c>
      <c r="I117" s="268"/>
      <c r="J117" s="70">
        <f>J99+J107+J115</f>
        <v>24750</v>
      </c>
      <c r="K117" s="70">
        <f t="shared" ref="K117:U117" si="154">K99+K107+K115</f>
        <v>87250</v>
      </c>
      <c r="L117" s="70">
        <f t="shared" si="154"/>
        <v>54000</v>
      </c>
      <c r="M117" s="70">
        <f t="shared" si="154"/>
        <v>56250</v>
      </c>
      <c r="N117" s="70">
        <f t="shared" si="154"/>
        <v>54250</v>
      </c>
      <c r="O117" s="70">
        <f t="shared" si="154"/>
        <v>56250</v>
      </c>
      <c r="P117" s="70">
        <f t="shared" si="154"/>
        <v>79750</v>
      </c>
      <c r="Q117" s="70">
        <f t="shared" si="154"/>
        <v>65250</v>
      </c>
      <c r="R117" s="70">
        <f t="shared" si="154"/>
        <v>81000</v>
      </c>
      <c r="S117" s="70">
        <f t="shared" si="154"/>
        <v>72000</v>
      </c>
      <c r="T117" s="70">
        <f t="shared" si="154"/>
        <v>79750</v>
      </c>
      <c r="U117" s="70">
        <f t="shared" si="154"/>
        <v>77250</v>
      </c>
      <c r="V117" s="315">
        <f t="shared" ref="V117" si="155">SUM(J117:U117)</f>
        <v>787750</v>
      </c>
      <c r="W117" s="70">
        <f>W99+W107+W115</f>
        <v>97750</v>
      </c>
      <c r="X117" s="70">
        <f t="shared" ref="X117:AH117" si="156">X99+X107+X115</f>
        <v>83750</v>
      </c>
      <c r="Y117" s="70">
        <f t="shared" si="156"/>
        <v>100000</v>
      </c>
      <c r="Z117" s="70">
        <f t="shared" si="156"/>
        <v>89500</v>
      </c>
      <c r="AA117" s="70">
        <f t="shared" si="156"/>
        <v>102000</v>
      </c>
      <c r="AB117" s="70">
        <f t="shared" si="156"/>
        <v>126000</v>
      </c>
      <c r="AC117" s="70">
        <f t="shared" si="156"/>
        <v>117750</v>
      </c>
      <c r="AD117" s="70">
        <f t="shared" si="156"/>
        <v>127750</v>
      </c>
      <c r="AE117" s="70">
        <f t="shared" si="156"/>
        <v>133750</v>
      </c>
      <c r="AF117" s="70">
        <f t="shared" si="156"/>
        <v>134000</v>
      </c>
      <c r="AG117" s="70">
        <f t="shared" si="156"/>
        <v>139250</v>
      </c>
      <c r="AH117" s="70">
        <f t="shared" si="156"/>
        <v>138250</v>
      </c>
      <c r="AI117" s="315">
        <f t="shared" ref="AI117" si="157">SUM(W117:AH117)</f>
        <v>1389750</v>
      </c>
    </row>
    <row r="118" spans="1:35" s="7" customFormat="1">
      <c r="A118" s="95"/>
      <c r="B118" s="67"/>
      <c r="C118" s="64"/>
      <c r="D118" s="64"/>
      <c r="E118" s="88"/>
      <c r="F118" s="24"/>
      <c r="G118" s="68"/>
      <c r="H118" s="256"/>
      <c r="I118" s="258"/>
      <c r="J118" s="114"/>
      <c r="K118" s="114"/>
      <c r="L118" s="114"/>
      <c r="M118" s="114"/>
      <c r="N118" s="114"/>
      <c r="O118" s="114"/>
      <c r="P118" s="114"/>
      <c r="Q118" s="114"/>
      <c r="R118" s="114"/>
      <c r="S118" s="114"/>
      <c r="T118" s="114"/>
      <c r="U118" s="128"/>
      <c r="V118" s="132"/>
      <c r="W118" s="114"/>
      <c r="X118" s="114"/>
      <c r="Y118" s="114"/>
      <c r="Z118" s="114"/>
      <c r="AA118" s="114"/>
      <c r="AB118" s="114"/>
      <c r="AC118" s="114"/>
      <c r="AD118" s="114"/>
      <c r="AE118" s="114"/>
      <c r="AF118" s="114"/>
      <c r="AG118" s="114"/>
      <c r="AH118" s="128"/>
      <c r="AI118" s="132"/>
    </row>
    <row r="119" spans="1:35" s="7" customFormat="1">
      <c r="A119" s="95"/>
      <c r="B119" s="67"/>
      <c r="C119" s="64"/>
      <c r="D119" s="64"/>
      <c r="E119" s="88"/>
      <c r="F119" s="24"/>
      <c r="G119" s="68"/>
      <c r="H119" s="257" t="s">
        <v>153</v>
      </c>
      <c r="I119" s="259"/>
      <c r="J119" s="428"/>
      <c r="K119" s="428"/>
      <c r="L119" s="428"/>
      <c r="M119" s="428"/>
      <c r="N119" s="428"/>
      <c r="O119" s="428"/>
      <c r="P119" s="428"/>
      <c r="Q119" s="428"/>
      <c r="R119" s="428"/>
      <c r="S119" s="428"/>
      <c r="T119" s="428"/>
      <c r="U119" s="429"/>
      <c r="V119" s="430"/>
      <c r="W119" s="428"/>
      <c r="X119" s="428"/>
      <c r="Y119" s="428"/>
      <c r="Z119" s="428"/>
      <c r="AA119" s="428"/>
      <c r="AB119" s="428"/>
      <c r="AC119" s="428"/>
      <c r="AD119" s="428"/>
      <c r="AE119" s="428"/>
      <c r="AF119" s="428"/>
      <c r="AG119" s="428"/>
      <c r="AH119" s="429"/>
      <c r="AI119" s="430"/>
    </row>
    <row r="120" spans="1:35" s="7" customFormat="1">
      <c r="A120" s="95"/>
      <c r="B120" s="67"/>
      <c r="C120" s="283" t="s">
        <v>143</v>
      </c>
      <c r="D120" s="64"/>
      <c r="E120" s="266">
        <v>1.4999999999999999E-2</v>
      </c>
      <c r="F120" s="24"/>
      <c r="G120" s="68"/>
      <c r="H120" s="118" t="s">
        <v>123</v>
      </c>
      <c r="I120" s="261" t="s">
        <v>122</v>
      </c>
      <c r="J120" s="52">
        <f>$E$120*Revenues!I123</f>
        <v>4943.25</v>
      </c>
      <c r="K120" s="52">
        <f>$E$120*Revenues!J123</f>
        <v>5935.0162499999997</v>
      </c>
      <c r="L120" s="52">
        <f>$E$120*Revenues!K123</f>
        <v>6039.8138812499992</v>
      </c>
      <c r="M120" s="52">
        <f>$E$120*Revenues!L123</f>
        <v>6162.3993529687496</v>
      </c>
      <c r="N120" s="52">
        <f>$E$120*Revenues!M123</f>
        <v>6303.0316673179686</v>
      </c>
      <c r="O120" s="52">
        <f>$E$120*Revenues!N123</f>
        <v>7362.7413289433143</v>
      </c>
      <c r="P120" s="52">
        <f>$E$120*Revenues!O123</f>
        <v>7534.8489752418664</v>
      </c>
      <c r="Q120" s="52">
        <f>$E$120*Revenues!P123</f>
        <v>7735.8382761398743</v>
      </c>
      <c r="R120" s="52">
        <f>$E$120*Revenues!Q123</f>
        <v>8859.8854164619715</v>
      </c>
      <c r="S120" s="52">
        <f>$E$120*Revenues!R123</f>
        <v>9108.1057543924326</v>
      </c>
      <c r="T120" s="52">
        <f>$E$120*Revenues!S123</f>
        <v>7402.4219515377026</v>
      </c>
      <c r="U120" s="52">
        <f>$E$120*Revenues!T123</f>
        <v>7715.0914673642264</v>
      </c>
      <c r="V120" s="104">
        <f t="shared" ref="V120:V129" si="158">SUM(J120:U120)</f>
        <v>85102.44432161811</v>
      </c>
      <c r="W120" s="52">
        <f>$E$120*Revenues!V123</f>
        <v>11121.891693797263</v>
      </c>
      <c r="X120" s="52">
        <f>$E$120*Revenues!W123</f>
        <v>13394.111631235659</v>
      </c>
      <c r="Y120" s="52">
        <f>$E$120*Revenues!X123</f>
        <v>13809.844132167109</v>
      </c>
      <c r="Z120" s="52">
        <f>$E$120*Revenues!Y123</f>
        <v>14264.413123604309</v>
      </c>
      <c r="AA120" s="52">
        <f>$E$120*Revenues!Z123</f>
        <v>14755.933443390855</v>
      </c>
      <c r="AB120" s="52">
        <f>$E$120*Revenues!AA123</f>
        <v>17183.905714941167</v>
      </c>
      <c r="AC120" s="52">
        <f>$E$120*Revenues!AB123</f>
        <v>17764.067662581303</v>
      </c>
      <c r="AD120" s="52">
        <f>$E$120*Revenues!AC123</f>
        <v>19296.082372594115</v>
      </c>
      <c r="AE120" s="52">
        <f>$E$120*Revenues!AD123</f>
        <v>20885.656772354669</v>
      </c>
      <c r="AF120" s="52">
        <f>$E$120*Revenues!AE123</f>
        <v>21636.10599173831</v>
      </c>
      <c r="AG120" s="52">
        <f>$E$120*Revenues!AF123</f>
        <v>21458.292204469693</v>
      </c>
      <c r="AH120" s="52">
        <f>$E$120*Revenues!AG123</f>
        <v>23246.544661658176</v>
      </c>
      <c r="AI120" s="104">
        <f t="shared" ref="AI120:AI129" si="159">SUM(W120:AH120)</f>
        <v>208816.84940453267</v>
      </c>
    </row>
    <row r="121" spans="1:35" s="7" customFormat="1">
      <c r="A121" s="95"/>
      <c r="B121" s="67"/>
      <c r="C121" s="283" t="s">
        <v>145</v>
      </c>
      <c r="D121" s="64"/>
      <c r="E121" s="266">
        <v>7.0000000000000007E-2</v>
      </c>
      <c r="F121" s="24"/>
      <c r="G121" s="68"/>
      <c r="H121" s="118" t="s">
        <v>144</v>
      </c>
      <c r="I121" s="261" t="s">
        <v>122</v>
      </c>
      <c r="J121" s="52">
        <f>Revenues!I112*$E$121</f>
        <v>12498.500000000002</v>
      </c>
      <c r="K121" s="52">
        <f>Revenues!J112*$E$121</f>
        <v>14046.742500000002</v>
      </c>
      <c r="L121" s="52">
        <f>Revenues!K112*$E$121</f>
        <v>15655.798112500002</v>
      </c>
      <c r="M121" s="52">
        <f>Revenues!L112*$E$121</f>
        <v>17347.863647187503</v>
      </c>
      <c r="N121" s="52">
        <f>Revenues!M112*$E$121</f>
        <v>19124.147780817188</v>
      </c>
      <c r="O121" s="52">
        <f>Revenues!N112*$E$121</f>
        <v>21339.459535068807</v>
      </c>
      <c r="P121" s="52">
        <f>Revenues!O112*$E$121</f>
        <v>23612.628551128721</v>
      </c>
      <c r="Q121" s="52">
        <f>Revenues!P112*$E$121</f>
        <v>26020.578621986089</v>
      </c>
      <c r="R121" s="52">
        <f>Revenues!Q112*$E$121</f>
        <v>28886.131943489207</v>
      </c>
      <c r="S121" s="52">
        <f>Revenues!R112*$E$121</f>
        <v>31864.493520498025</v>
      </c>
      <c r="T121" s="52">
        <f>Revenues!S112*$E$121</f>
        <v>35244.635773842623</v>
      </c>
      <c r="U121" s="52">
        <f>Revenues!T112*$E$121</f>
        <v>38803.760181033067</v>
      </c>
      <c r="V121" s="104">
        <f t="shared" si="158"/>
        <v>284444.74016755127</v>
      </c>
      <c r="W121" s="52">
        <f>Revenues!V112*$E$121</f>
        <v>41962.16123772056</v>
      </c>
      <c r="X121" s="52">
        <f>Revenues!W112*$E$121</f>
        <v>45670.854279099753</v>
      </c>
      <c r="Y121" s="52">
        <f>Revenues!X112*$E$121</f>
        <v>49535.939283446511</v>
      </c>
      <c r="Z121" s="52">
        <f>Revenues!Y112*$E$121</f>
        <v>53582.261243486777</v>
      </c>
      <c r="AA121" s="52">
        <f>Revenues!Z112*$E$121</f>
        <v>57801.022735823994</v>
      </c>
      <c r="AB121" s="52">
        <f>Revenues!AA112*$E$121</f>
        <v>62621.560003058781</v>
      </c>
      <c r="AC121" s="52">
        <f>Revenues!AB112*$E$121</f>
        <v>67638.982425379421</v>
      </c>
      <c r="AD121" s="52">
        <f>Revenues!AC112*$E$121</f>
        <v>73248.38440543921</v>
      </c>
      <c r="AE121" s="52">
        <f>Revenues!AD112*$E$121</f>
        <v>79126.398270988502</v>
      </c>
      <c r="AF121" s="52">
        <f>Revenues!AE112*$E$121</f>
        <v>85288.494628112137</v>
      </c>
      <c r="AG121" s="52">
        <f>Revenues!AF112*$E$121</f>
        <v>92053.696954191924</v>
      </c>
      <c r="AH121" s="52">
        <f>Revenues!AG112*$E$121</f>
        <v>99523.875087738183</v>
      </c>
      <c r="AI121" s="104">
        <f t="shared" si="159"/>
        <v>808053.63055448583</v>
      </c>
    </row>
    <row r="122" spans="1:35" s="7" customFormat="1">
      <c r="A122" s="95"/>
      <c r="B122" s="67"/>
      <c r="C122" s="283"/>
      <c r="D122" s="64"/>
      <c r="E122" s="88"/>
      <c r="F122" s="24"/>
      <c r="G122" s="68"/>
      <c r="H122" s="118" t="s">
        <v>146</v>
      </c>
      <c r="I122" s="261" t="s">
        <v>121</v>
      </c>
      <c r="J122" s="52">
        <f>Revenues!I10</f>
        <v>20000</v>
      </c>
      <c r="K122" s="52">
        <f>Revenues!J10</f>
        <v>30000</v>
      </c>
      <c r="L122" s="52">
        <f>Revenues!K10</f>
        <v>40000</v>
      </c>
      <c r="M122" s="52">
        <f>Revenues!L10</f>
        <v>50000</v>
      </c>
      <c r="N122" s="52">
        <f>Revenues!M10</f>
        <v>60000</v>
      </c>
      <c r="O122" s="52">
        <f>Revenues!N10</f>
        <v>70000</v>
      </c>
      <c r="P122" s="52">
        <f>Revenues!O10</f>
        <v>80000</v>
      </c>
      <c r="Q122" s="52">
        <f>Revenues!P10</f>
        <v>90000</v>
      </c>
      <c r="R122" s="52">
        <f>Revenues!Q10</f>
        <v>100000</v>
      </c>
      <c r="S122" s="52">
        <f>Revenues!R10</f>
        <v>110000</v>
      </c>
      <c r="T122" s="52">
        <f>Revenues!S10</f>
        <v>120000</v>
      </c>
      <c r="U122" s="52">
        <f>Revenues!T10</f>
        <v>130000</v>
      </c>
      <c r="V122" s="104">
        <f t="shared" si="158"/>
        <v>900000</v>
      </c>
      <c r="W122" s="52">
        <f>Revenues!V10</f>
        <v>140000</v>
      </c>
      <c r="X122" s="52">
        <f>Revenues!W10</f>
        <v>150000</v>
      </c>
      <c r="Y122" s="52">
        <f>Revenues!X10</f>
        <v>160000</v>
      </c>
      <c r="Z122" s="52">
        <f>Revenues!Y10</f>
        <v>170000</v>
      </c>
      <c r="AA122" s="52">
        <f>Revenues!Z10</f>
        <v>180000</v>
      </c>
      <c r="AB122" s="52">
        <f>Revenues!AA10</f>
        <v>190000</v>
      </c>
      <c r="AC122" s="52">
        <f>Revenues!AB10</f>
        <v>200000</v>
      </c>
      <c r="AD122" s="52">
        <f>Revenues!AC10</f>
        <v>210000</v>
      </c>
      <c r="AE122" s="52">
        <f>Revenues!AD10</f>
        <v>220000</v>
      </c>
      <c r="AF122" s="52">
        <f>Revenues!AE10</f>
        <v>230000</v>
      </c>
      <c r="AG122" s="52">
        <f>Revenues!AF10</f>
        <v>240000</v>
      </c>
      <c r="AH122" s="52">
        <f>Revenues!AG10</f>
        <v>250000</v>
      </c>
      <c r="AI122" s="104">
        <f t="shared" si="159"/>
        <v>2340000</v>
      </c>
    </row>
    <row r="123" spans="1:35" s="7" customFormat="1">
      <c r="A123" s="95"/>
      <c r="B123" s="67"/>
      <c r="C123" s="283" t="s">
        <v>255</v>
      </c>
      <c r="D123" s="421">
        <v>15000</v>
      </c>
      <c r="E123" s="421">
        <v>30000</v>
      </c>
      <c r="F123" s="24"/>
      <c r="G123" s="68"/>
      <c r="H123" s="118" t="s">
        <v>175</v>
      </c>
      <c r="I123" s="261" t="s">
        <v>41</v>
      </c>
      <c r="J123" s="52">
        <f t="shared" ref="J123:U123" si="160">$D$123</f>
        <v>15000</v>
      </c>
      <c r="K123" s="52">
        <f t="shared" si="160"/>
        <v>15000</v>
      </c>
      <c r="L123" s="52">
        <f t="shared" si="160"/>
        <v>15000</v>
      </c>
      <c r="M123" s="52">
        <f t="shared" si="160"/>
        <v>15000</v>
      </c>
      <c r="N123" s="52">
        <f t="shared" si="160"/>
        <v>15000</v>
      </c>
      <c r="O123" s="52">
        <f t="shared" si="160"/>
        <v>15000</v>
      </c>
      <c r="P123" s="52">
        <f t="shared" si="160"/>
        <v>15000</v>
      </c>
      <c r="Q123" s="52">
        <f t="shared" si="160"/>
        <v>15000</v>
      </c>
      <c r="R123" s="52">
        <f t="shared" si="160"/>
        <v>15000</v>
      </c>
      <c r="S123" s="52">
        <f t="shared" si="160"/>
        <v>15000</v>
      </c>
      <c r="T123" s="52">
        <f t="shared" si="160"/>
        <v>15000</v>
      </c>
      <c r="U123" s="52">
        <f t="shared" si="160"/>
        <v>15000</v>
      </c>
      <c r="V123" s="104">
        <f t="shared" si="158"/>
        <v>180000</v>
      </c>
      <c r="W123" s="52">
        <f>$E$123</f>
        <v>30000</v>
      </c>
      <c r="X123" s="52">
        <f t="shared" ref="X123:AH123" si="161">$E$123</f>
        <v>30000</v>
      </c>
      <c r="Y123" s="52">
        <f t="shared" si="161"/>
        <v>30000</v>
      </c>
      <c r="Z123" s="52">
        <f t="shared" si="161"/>
        <v>30000</v>
      </c>
      <c r="AA123" s="52">
        <f t="shared" si="161"/>
        <v>30000</v>
      </c>
      <c r="AB123" s="52">
        <f t="shared" si="161"/>
        <v>30000</v>
      </c>
      <c r="AC123" s="52">
        <f t="shared" si="161"/>
        <v>30000</v>
      </c>
      <c r="AD123" s="52">
        <f t="shared" si="161"/>
        <v>30000</v>
      </c>
      <c r="AE123" s="52">
        <f t="shared" si="161"/>
        <v>30000</v>
      </c>
      <c r="AF123" s="52">
        <f t="shared" si="161"/>
        <v>30000</v>
      </c>
      <c r="AG123" s="52">
        <f t="shared" si="161"/>
        <v>30000</v>
      </c>
      <c r="AH123" s="52">
        <f t="shared" si="161"/>
        <v>30000</v>
      </c>
      <c r="AI123" s="104">
        <f t="shared" si="159"/>
        <v>360000</v>
      </c>
    </row>
    <row r="124" spans="1:35" s="7" customFormat="1">
      <c r="A124" s="95"/>
      <c r="B124" s="67"/>
      <c r="C124" s="283" t="s">
        <v>256</v>
      </c>
      <c r="D124" s="422"/>
      <c r="E124" s="421">
        <v>15000</v>
      </c>
      <c r="F124" s="24"/>
      <c r="G124" s="68"/>
      <c r="H124" s="118" t="s">
        <v>172</v>
      </c>
      <c r="I124" s="261" t="s">
        <v>41</v>
      </c>
      <c r="J124" s="52">
        <f>(K87-J87)*$E$124</f>
        <v>180000</v>
      </c>
      <c r="K124" s="52">
        <f t="shared" ref="K124:T124" si="162">(L87-K87)*$E$124</f>
        <v>45000</v>
      </c>
      <c r="L124" s="52">
        <f t="shared" si="162"/>
        <v>45000</v>
      </c>
      <c r="M124" s="52">
        <f t="shared" si="162"/>
        <v>30000</v>
      </c>
      <c r="N124" s="52">
        <f t="shared" si="162"/>
        <v>30000</v>
      </c>
      <c r="O124" s="52">
        <f t="shared" si="162"/>
        <v>90000</v>
      </c>
      <c r="P124" s="52">
        <f t="shared" si="162"/>
        <v>30000</v>
      </c>
      <c r="Q124" s="52">
        <f t="shared" si="162"/>
        <v>75000</v>
      </c>
      <c r="R124" s="52">
        <f t="shared" si="162"/>
        <v>30000</v>
      </c>
      <c r="S124" s="52">
        <f t="shared" si="162"/>
        <v>45000</v>
      </c>
      <c r="T124" s="52">
        <f t="shared" si="162"/>
        <v>30000</v>
      </c>
      <c r="U124" s="52">
        <f>(W87-U87)*$E$124</f>
        <v>90000</v>
      </c>
      <c r="V124" s="104">
        <f t="shared" si="158"/>
        <v>720000</v>
      </c>
      <c r="W124" s="52">
        <f>(X87-W87)*$E$124</f>
        <v>30000</v>
      </c>
      <c r="X124" s="52">
        <f t="shared" ref="X124:AG124" si="163">(Y87-X87)*$E$124</f>
        <v>75000</v>
      </c>
      <c r="Y124" s="52">
        <f t="shared" si="163"/>
        <v>30000</v>
      </c>
      <c r="Z124" s="52">
        <f t="shared" si="163"/>
        <v>60000</v>
      </c>
      <c r="AA124" s="52">
        <f t="shared" si="163"/>
        <v>120000</v>
      </c>
      <c r="AB124" s="52">
        <f t="shared" si="163"/>
        <v>75000</v>
      </c>
      <c r="AC124" s="52">
        <f t="shared" si="163"/>
        <v>90000</v>
      </c>
      <c r="AD124" s="52">
        <f t="shared" si="163"/>
        <v>90000</v>
      </c>
      <c r="AE124" s="52">
        <f t="shared" si="163"/>
        <v>75000</v>
      </c>
      <c r="AF124" s="52">
        <f t="shared" si="163"/>
        <v>75000</v>
      </c>
      <c r="AG124" s="52">
        <f t="shared" si="163"/>
        <v>60000</v>
      </c>
      <c r="AH124" s="52">
        <v>0</v>
      </c>
      <c r="AI124" s="104">
        <f t="shared" si="159"/>
        <v>780000</v>
      </c>
    </row>
    <row r="125" spans="1:35" s="7" customFormat="1">
      <c r="A125" s="95"/>
      <c r="B125" s="67"/>
      <c r="C125" s="283" t="s">
        <v>257</v>
      </c>
      <c r="D125" s="421">
        <v>10000</v>
      </c>
      <c r="E125" s="421">
        <v>15000</v>
      </c>
      <c r="F125" s="24"/>
      <c r="G125" s="68"/>
      <c r="H125" s="118" t="s">
        <v>173</v>
      </c>
      <c r="I125" s="261" t="s">
        <v>41</v>
      </c>
      <c r="J125" s="52">
        <f>$D$125</f>
        <v>10000</v>
      </c>
      <c r="K125" s="52">
        <f t="shared" ref="K125:U125" si="164">$D$125</f>
        <v>10000</v>
      </c>
      <c r="L125" s="52">
        <f t="shared" si="164"/>
        <v>10000</v>
      </c>
      <c r="M125" s="52">
        <f t="shared" si="164"/>
        <v>10000</v>
      </c>
      <c r="N125" s="52">
        <f t="shared" si="164"/>
        <v>10000</v>
      </c>
      <c r="O125" s="52">
        <f t="shared" si="164"/>
        <v>10000</v>
      </c>
      <c r="P125" s="52">
        <f t="shared" si="164"/>
        <v>10000</v>
      </c>
      <c r="Q125" s="52">
        <f t="shared" si="164"/>
        <v>10000</v>
      </c>
      <c r="R125" s="52">
        <f t="shared" si="164"/>
        <v>10000</v>
      </c>
      <c r="S125" s="52">
        <f t="shared" si="164"/>
        <v>10000</v>
      </c>
      <c r="T125" s="52">
        <f t="shared" si="164"/>
        <v>10000</v>
      </c>
      <c r="U125" s="52">
        <f t="shared" si="164"/>
        <v>10000</v>
      </c>
      <c r="V125" s="104">
        <f t="shared" si="158"/>
        <v>120000</v>
      </c>
      <c r="W125" s="52">
        <f>$E$125</f>
        <v>15000</v>
      </c>
      <c r="X125" s="52">
        <f t="shared" ref="X125:AH125" si="165">$E$125</f>
        <v>15000</v>
      </c>
      <c r="Y125" s="52">
        <f t="shared" si="165"/>
        <v>15000</v>
      </c>
      <c r="Z125" s="52">
        <f t="shared" si="165"/>
        <v>15000</v>
      </c>
      <c r="AA125" s="52">
        <f t="shared" si="165"/>
        <v>15000</v>
      </c>
      <c r="AB125" s="52">
        <f t="shared" si="165"/>
        <v>15000</v>
      </c>
      <c r="AC125" s="52">
        <f t="shared" si="165"/>
        <v>15000</v>
      </c>
      <c r="AD125" s="52">
        <f t="shared" si="165"/>
        <v>15000</v>
      </c>
      <c r="AE125" s="52">
        <f t="shared" si="165"/>
        <v>15000</v>
      </c>
      <c r="AF125" s="52">
        <f t="shared" si="165"/>
        <v>15000</v>
      </c>
      <c r="AG125" s="52">
        <f t="shared" si="165"/>
        <v>15000</v>
      </c>
      <c r="AH125" s="52">
        <f t="shared" si="165"/>
        <v>15000</v>
      </c>
      <c r="AI125" s="104">
        <f t="shared" si="159"/>
        <v>180000</v>
      </c>
    </row>
    <row r="126" spans="1:35" s="7" customFormat="1">
      <c r="A126" s="95"/>
      <c r="B126" s="67"/>
      <c r="C126" s="283" t="s">
        <v>176</v>
      </c>
      <c r="D126" s="64"/>
      <c r="E126" s="266">
        <v>0.05</v>
      </c>
      <c r="F126" s="24"/>
      <c r="G126" s="68"/>
      <c r="H126" s="118" t="s">
        <v>174</v>
      </c>
      <c r="I126" s="261" t="s">
        <v>41</v>
      </c>
      <c r="J126" s="52">
        <f>$E$126*Revenues!I112</f>
        <v>8927.5</v>
      </c>
      <c r="K126" s="52">
        <f>$E$126*Revenues!J112</f>
        <v>10033.387500000001</v>
      </c>
      <c r="L126" s="52">
        <f>$E$126*Revenues!K112</f>
        <v>11182.7129375</v>
      </c>
      <c r="M126" s="52">
        <f>$E$126*Revenues!L112</f>
        <v>12391.331176562502</v>
      </c>
      <c r="N126" s="52">
        <f>$E$126*Revenues!M112</f>
        <v>13660.105557726563</v>
      </c>
      <c r="O126" s="52">
        <f>$E$126*Revenues!N112</f>
        <v>15242.471096477719</v>
      </c>
      <c r="P126" s="52">
        <f>$E$126*Revenues!O112</f>
        <v>16866.163250806228</v>
      </c>
      <c r="Q126" s="52">
        <f>$E$126*Revenues!P112</f>
        <v>18586.12758713292</v>
      </c>
      <c r="R126" s="52">
        <f>$E$126*Revenues!Q112</f>
        <v>20632.951388206577</v>
      </c>
      <c r="S126" s="52">
        <f>$E$126*Revenues!R112</f>
        <v>22760.352514641447</v>
      </c>
      <c r="T126" s="52">
        <f>$E$126*Revenues!S112</f>
        <v>25174.739838459016</v>
      </c>
      <c r="U126" s="52">
        <f>$E$126*Revenues!T112</f>
        <v>27716.971557880759</v>
      </c>
      <c r="V126" s="104">
        <f t="shared" si="158"/>
        <v>203174.81440539373</v>
      </c>
      <c r="W126" s="52">
        <f>$E$126*Revenues!V112</f>
        <v>29972.972312657541</v>
      </c>
      <c r="X126" s="52">
        <f>$E$126*Revenues!W112</f>
        <v>32622.038770785533</v>
      </c>
      <c r="Y126" s="52">
        <f>$E$126*Revenues!X112</f>
        <v>35382.813773890368</v>
      </c>
      <c r="Z126" s="52">
        <f>$E$126*Revenues!Y112</f>
        <v>38273.043745347699</v>
      </c>
      <c r="AA126" s="52">
        <f>$E$126*Revenues!Z112</f>
        <v>41286.444811302848</v>
      </c>
      <c r="AB126" s="52">
        <f>$E$126*Revenues!AA112</f>
        <v>44729.685716470558</v>
      </c>
      <c r="AC126" s="52">
        <f>$E$126*Revenues!AB112</f>
        <v>48313.55887527101</v>
      </c>
      <c r="AD126" s="52">
        <f>$E$126*Revenues!AC112</f>
        <v>52320.274575313721</v>
      </c>
      <c r="AE126" s="52">
        <f>$E$126*Revenues!AD112</f>
        <v>56518.85590784892</v>
      </c>
      <c r="AF126" s="52">
        <f>$E$126*Revenues!AE112</f>
        <v>60920.353305794386</v>
      </c>
      <c r="AG126" s="52">
        <f>$E$126*Revenues!AF112</f>
        <v>65752.640681565666</v>
      </c>
      <c r="AH126" s="52">
        <f>$E$126*Revenues!AG112</f>
        <v>71088.482205527267</v>
      </c>
      <c r="AI126" s="104">
        <f t="shared" si="159"/>
        <v>577181.16468177561</v>
      </c>
    </row>
    <row r="127" spans="1:35" s="7" customFormat="1" ht="13" thickBot="1">
      <c r="A127" s="95"/>
      <c r="B127" s="67"/>
      <c r="C127" s="64"/>
      <c r="D127" s="64"/>
      <c r="E127" s="88"/>
      <c r="F127" s="24"/>
      <c r="G127" s="68"/>
      <c r="H127" s="124" t="s">
        <v>177</v>
      </c>
      <c r="I127" s="285"/>
      <c r="J127" s="376">
        <f t="shared" ref="J127:U127" si="166">SUM(J120:J126)</f>
        <v>251369.25</v>
      </c>
      <c r="K127" s="376">
        <f t="shared" si="166"/>
        <v>130015.14625000001</v>
      </c>
      <c r="L127" s="376">
        <f t="shared" si="166"/>
        <v>142878.32493125001</v>
      </c>
      <c r="M127" s="376">
        <f t="shared" si="166"/>
        <v>140901.59417671876</v>
      </c>
      <c r="N127" s="376">
        <f t="shared" si="166"/>
        <v>154087.28500586169</v>
      </c>
      <c r="O127" s="376">
        <f t="shared" si="166"/>
        <v>228944.67196048982</v>
      </c>
      <c r="P127" s="376">
        <f t="shared" si="166"/>
        <v>183013.6407771768</v>
      </c>
      <c r="Q127" s="376">
        <f t="shared" si="166"/>
        <v>242342.54448525887</v>
      </c>
      <c r="R127" s="376">
        <f t="shared" si="166"/>
        <v>213378.96874815773</v>
      </c>
      <c r="S127" s="376">
        <f t="shared" si="166"/>
        <v>243732.95178953189</v>
      </c>
      <c r="T127" s="376">
        <f t="shared" si="166"/>
        <v>242821.79756383933</v>
      </c>
      <c r="U127" s="376">
        <f t="shared" si="166"/>
        <v>319235.82320627803</v>
      </c>
      <c r="V127" s="397">
        <f t="shared" si="158"/>
        <v>2492721.9988945629</v>
      </c>
      <c r="W127" s="376">
        <f t="shared" ref="W127:AH127" si="167">SUM(W120:W126)</f>
        <v>298057.02524417534</v>
      </c>
      <c r="X127" s="376">
        <f t="shared" si="167"/>
        <v>361687.00468112098</v>
      </c>
      <c r="Y127" s="376">
        <f t="shared" si="167"/>
        <v>333728.59718950401</v>
      </c>
      <c r="Z127" s="376">
        <f t="shared" si="167"/>
        <v>381119.7181124388</v>
      </c>
      <c r="AA127" s="376">
        <f t="shared" si="167"/>
        <v>458843.40099051769</v>
      </c>
      <c r="AB127" s="376">
        <f t="shared" si="167"/>
        <v>434535.15143447055</v>
      </c>
      <c r="AC127" s="376">
        <f t="shared" si="167"/>
        <v>468716.60896323173</v>
      </c>
      <c r="AD127" s="376">
        <f t="shared" si="167"/>
        <v>489864.74135334702</v>
      </c>
      <c r="AE127" s="376">
        <f t="shared" si="167"/>
        <v>496530.91095119208</v>
      </c>
      <c r="AF127" s="376">
        <f t="shared" si="167"/>
        <v>517844.95392564486</v>
      </c>
      <c r="AG127" s="376">
        <f t="shared" si="167"/>
        <v>524264.62984022731</v>
      </c>
      <c r="AH127" s="376">
        <f t="shared" si="167"/>
        <v>488858.90195492364</v>
      </c>
      <c r="AI127" s="397">
        <f t="shared" si="159"/>
        <v>5254051.6446407931</v>
      </c>
    </row>
    <row r="128" spans="1:35" s="7" customFormat="1" ht="13" thickBot="1">
      <c r="A128" s="95"/>
      <c r="B128" s="67"/>
      <c r="C128" s="64"/>
      <c r="D128" s="64"/>
      <c r="E128" s="88"/>
      <c r="F128" s="24"/>
      <c r="G128" s="68"/>
      <c r="H128" s="101"/>
      <c r="I128" s="101"/>
      <c r="J128" s="52"/>
      <c r="K128" s="52"/>
      <c r="L128" s="52"/>
      <c r="M128" s="52"/>
      <c r="N128" s="52"/>
      <c r="O128" s="52"/>
      <c r="P128" s="52"/>
      <c r="Q128" s="52"/>
      <c r="R128" s="52"/>
      <c r="S128" s="52"/>
      <c r="T128" s="52"/>
      <c r="U128" s="52"/>
      <c r="V128" s="35"/>
      <c r="W128" s="52"/>
      <c r="X128" s="52"/>
      <c r="Y128" s="52"/>
      <c r="Z128" s="52"/>
      <c r="AA128" s="52"/>
      <c r="AB128" s="52"/>
      <c r="AC128" s="52"/>
      <c r="AD128" s="52"/>
      <c r="AE128" s="52"/>
      <c r="AF128" s="52"/>
      <c r="AG128" s="52"/>
      <c r="AH128" s="52"/>
      <c r="AI128" s="35"/>
    </row>
    <row r="129" spans="1:35" s="7" customFormat="1" ht="13" thickBot="1">
      <c r="A129" s="95"/>
      <c r="B129" s="67"/>
      <c r="C129" s="64"/>
      <c r="D129" s="64"/>
      <c r="E129" s="88"/>
      <c r="F129" s="24"/>
      <c r="G129" s="68"/>
      <c r="H129" s="318" t="s">
        <v>179</v>
      </c>
      <c r="I129" s="319"/>
      <c r="J129" s="445">
        <f>J85+J117+J127</f>
        <v>458719.25</v>
      </c>
      <c r="K129" s="446">
        <f t="shared" ref="K129:U129" si="168">K85+K117+K127</f>
        <v>519065.14624999999</v>
      </c>
      <c r="L129" s="446">
        <f t="shared" si="168"/>
        <v>529878.32493124995</v>
      </c>
      <c r="M129" s="446">
        <f t="shared" si="168"/>
        <v>549351.59417671873</v>
      </c>
      <c r="N129" s="446">
        <f t="shared" si="168"/>
        <v>585137.28500586166</v>
      </c>
      <c r="O129" s="446">
        <f t="shared" si="168"/>
        <v>673994.67196048982</v>
      </c>
      <c r="P129" s="446">
        <f t="shared" si="168"/>
        <v>715763.64077717683</v>
      </c>
      <c r="Q129" s="446">
        <f t="shared" si="168"/>
        <v>773792.54448525887</v>
      </c>
      <c r="R129" s="446">
        <f t="shared" si="168"/>
        <v>806778.96874815773</v>
      </c>
      <c r="S129" s="446">
        <f t="shared" si="168"/>
        <v>846132.95178953186</v>
      </c>
      <c r="T129" s="446">
        <f t="shared" si="168"/>
        <v>870971.79756383935</v>
      </c>
      <c r="U129" s="446">
        <f t="shared" si="168"/>
        <v>956285.82320627803</v>
      </c>
      <c r="V129" s="447">
        <f t="shared" si="158"/>
        <v>8285871.9988945629</v>
      </c>
      <c r="W129" s="445">
        <f>W85+W117+W127</f>
        <v>1003007.0252441753</v>
      </c>
      <c r="X129" s="446">
        <f t="shared" ref="X129:AH129" si="169">X85+X117+X127</f>
        <v>1067037.0046811211</v>
      </c>
      <c r="Y129" s="446">
        <f t="shared" si="169"/>
        <v>1085928.597189504</v>
      </c>
      <c r="Z129" s="446">
        <f t="shared" si="169"/>
        <v>1136019.7181124389</v>
      </c>
      <c r="AA129" s="446">
        <f t="shared" si="169"/>
        <v>1250843.4009905178</v>
      </c>
      <c r="AB129" s="446">
        <f t="shared" si="169"/>
        <v>1308935.1514344704</v>
      </c>
      <c r="AC129" s="446">
        <f t="shared" si="169"/>
        <v>1367266.6089632318</v>
      </c>
      <c r="AD129" s="446">
        <f t="shared" si="169"/>
        <v>1450014.741353347</v>
      </c>
      <c r="AE129" s="446">
        <f t="shared" si="169"/>
        <v>1506080.910951192</v>
      </c>
      <c r="AF129" s="446">
        <f t="shared" si="169"/>
        <v>1558844.953925645</v>
      </c>
      <c r="AG129" s="446">
        <f t="shared" si="169"/>
        <v>1598114.6298402273</v>
      </c>
      <c r="AH129" s="446">
        <f t="shared" si="169"/>
        <v>1584508.9019549238</v>
      </c>
      <c r="AI129" s="447">
        <f t="shared" si="159"/>
        <v>15916601.644640792</v>
      </c>
    </row>
    <row r="130" spans="1:35" s="138" customFormat="1">
      <c r="B130" s="275"/>
      <c r="C130" s="276"/>
      <c r="D130" s="276"/>
      <c r="E130" s="277"/>
      <c r="F130" s="278"/>
      <c r="G130" s="279"/>
      <c r="H130" s="136"/>
      <c r="I130" s="136"/>
      <c r="J130" s="420"/>
      <c r="K130" s="420"/>
      <c r="L130" s="420"/>
      <c r="M130" s="420"/>
      <c r="N130" s="420"/>
      <c r="O130" s="420"/>
      <c r="P130" s="420"/>
      <c r="Q130" s="420"/>
      <c r="R130" s="420"/>
      <c r="S130" s="420"/>
      <c r="T130" s="420"/>
      <c r="U130" s="420"/>
      <c r="V130" s="420"/>
      <c r="W130" s="420"/>
      <c r="X130" s="420"/>
      <c r="Y130" s="420"/>
      <c r="Z130" s="420"/>
      <c r="AA130" s="420"/>
      <c r="AB130" s="420"/>
      <c r="AC130" s="420"/>
      <c r="AD130" s="420"/>
      <c r="AE130" s="420"/>
      <c r="AF130" s="420"/>
      <c r="AG130" s="420"/>
      <c r="AH130" s="420"/>
      <c r="AI130" s="420"/>
    </row>
    <row r="131" spans="1:35" s="138" customFormat="1">
      <c r="B131" s="479"/>
      <c r="C131" s="480"/>
      <c r="D131" s="480"/>
      <c r="E131" s="481"/>
      <c r="F131" s="482"/>
      <c r="G131" s="279"/>
      <c r="H131" s="255" t="s">
        <v>260</v>
      </c>
      <c r="I131" s="109"/>
      <c r="J131" s="439"/>
      <c r="K131" s="439"/>
      <c r="L131" s="439"/>
      <c r="M131" s="439"/>
      <c r="N131" s="439"/>
      <c r="O131" s="439"/>
      <c r="P131" s="439"/>
      <c r="Q131" s="439"/>
      <c r="R131" s="439"/>
      <c r="S131" s="439"/>
      <c r="T131" s="439"/>
      <c r="U131" s="440"/>
      <c r="V131" s="440"/>
      <c r="W131" s="439"/>
      <c r="X131" s="439"/>
      <c r="Y131" s="439"/>
      <c r="Z131" s="439"/>
      <c r="AA131" s="439"/>
      <c r="AB131" s="439"/>
      <c r="AC131" s="439"/>
      <c r="AD131" s="439"/>
      <c r="AE131" s="439"/>
      <c r="AF131" s="439"/>
      <c r="AG131" s="439"/>
      <c r="AH131" s="439"/>
      <c r="AI131" s="441"/>
    </row>
    <row r="132" spans="1:35" s="138" customFormat="1">
      <c r="B132" s="275"/>
      <c r="C132" s="276"/>
      <c r="D132" s="276"/>
      <c r="E132" s="277"/>
      <c r="F132" s="278"/>
      <c r="G132" s="279"/>
      <c r="H132" s="320" t="s">
        <v>147</v>
      </c>
      <c r="I132" s="322"/>
      <c r="J132" s="114">
        <f>J85-J86</f>
        <v>124500</v>
      </c>
      <c r="K132" s="114">
        <f t="shared" ref="K132:U132" si="170">K85-K86</f>
        <v>188500</v>
      </c>
      <c r="L132" s="114">
        <f t="shared" si="170"/>
        <v>211500</v>
      </c>
      <c r="M132" s="114">
        <f t="shared" si="170"/>
        <v>227500</v>
      </c>
      <c r="N132" s="114">
        <f t="shared" si="170"/>
        <v>248000</v>
      </c>
      <c r="O132" s="114">
        <f t="shared" si="170"/>
        <v>258000</v>
      </c>
      <c r="P132" s="114">
        <f t="shared" si="170"/>
        <v>311500</v>
      </c>
      <c r="Q132" s="114">
        <f t="shared" si="170"/>
        <v>322500</v>
      </c>
      <c r="R132" s="114">
        <f t="shared" si="170"/>
        <v>361000</v>
      </c>
      <c r="S132" s="114">
        <f t="shared" si="170"/>
        <v>376000</v>
      </c>
      <c r="T132" s="114">
        <f t="shared" si="170"/>
        <v>391000</v>
      </c>
      <c r="U132" s="114">
        <f t="shared" si="170"/>
        <v>400500</v>
      </c>
      <c r="V132" s="105">
        <f>SUM(J132:U132)</f>
        <v>3420500</v>
      </c>
      <c r="W132" s="114">
        <f>W85-W86</f>
        <v>440000</v>
      </c>
      <c r="X132" s="114">
        <f t="shared" ref="X132:AH132" si="171">X85-X86</f>
        <v>452000</v>
      </c>
      <c r="Y132" s="114">
        <f t="shared" si="171"/>
        <v>477500</v>
      </c>
      <c r="Z132" s="114">
        <f t="shared" si="171"/>
        <v>488500</v>
      </c>
      <c r="AA132" s="114">
        <f t="shared" si="171"/>
        <v>509000</v>
      </c>
      <c r="AB132" s="114">
        <f t="shared" si="171"/>
        <v>548000</v>
      </c>
      <c r="AC132" s="114">
        <f t="shared" si="171"/>
        <v>575000</v>
      </c>
      <c r="AD132" s="114">
        <f t="shared" si="171"/>
        <v>606000</v>
      </c>
      <c r="AE132" s="114">
        <f t="shared" si="171"/>
        <v>632500</v>
      </c>
      <c r="AF132" s="114">
        <f t="shared" si="171"/>
        <v>658500</v>
      </c>
      <c r="AG132" s="114">
        <f t="shared" si="171"/>
        <v>681500</v>
      </c>
      <c r="AH132" s="114">
        <f t="shared" si="171"/>
        <v>700500</v>
      </c>
      <c r="AI132" s="105">
        <f>SUM(W132:AH132)</f>
        <v>6769000</v>
      </c>
    </row>
    <row r="133" spans="1:35" s="138" customFormat="1">
      <c r="B133" s="275"/>
      <c r="C133" s="276"/>
      <c r="D133" s="276"/>
      <c r="E133" s="277"/>
      <c r="F133" s="278"/>
      <c r="G133" s="279"/>
      <c r="H133" s="326" t="s">
        <v>184</v>
      </c>
      <c r="I133" s="322"/>
      <c r="J133" s="114">
        <v>0</v>
      </c>
      <c r="K133" s="114">
        <v>0</v>
      </c>
      <c r="L133" s="114">
        <f>SUM(J73:L73)</f>
        <v>236500</v>
      </c>
      <c r="M133" s="114">
        <v>0</v>
      </c>
      <c r="N133" s="114">
        <v>0</v>
      </c>
      <c r="O133" s="114">
        <f>SUM(M73:O73)</f>
        <v>301500</v>
      </c>
      <c r="P133" s="114">
        <v>0</v>
      </c>
      <c r="Q133" s="114">
        <v>0</v>
      </c>
      <c r="R133" s="114">
        <f>SUM(P73:R73)</f>
        <v>301500</v>
      </c>
      <c r="S133" s="114">
        <v>0</v>
      </c>
      <c r="T133" s="114">
        <v>0</v>
      </c>
      <c r="U133" s="114">
        <f>SUM(S73:U73)</f>
        <v>301500</v>
      </c>
      <c r="V133" s="105">
        <f>SUM(J133:U133)</f>
        <v>1141000</v>
      </c>
      <c r="W133" s="114">
        <v>0</v>
      </c>
      <c r="X133" s="114">
        <v>0</v>
      </c>
      <c r="Y133" s="114">
        <f>SUM(W73:Y73)</f>
        <v>301500</v>
      </c>
      <c r="Z133" s="114">
        <v>0</v>
      </c>
      <c r="AA133" s="114">
        <v>0</v>
      </c>
      <c r="AB133" s="114">
        <f>SUM(Z73:AB73)</f>
        <v>316000</v>
      </c>
      <c r="AC133" s="114">
        <v>0</v>
      </c>
      <c r="AD133" s="114">
        <v>0</v>
      </c>
      <c r="AE133" s="114">
        <f>SUM(AC73:AE73)</f>
        <v>395500</v>
      </c>
      <c r="AF133" s="114">
        <v>0</v>
      </c>
      <c r="AG133" s="114">
        <v>0</v>
      </c>
      <c r="AH133" s="114">
        <f>SUM(AF73:AH73)</f>
        <v>442500</v>
      </c>
      <c r="AI133" s="105">
        <f>SUM(W133:AH133)</f>
        <v>1455500</v>
      </c>
    </row>
    <row r="134" spans="1:35" s="95" customFormat="1">
      <c r="B134" s="67"/>
      <c r="C134" s="284"/>
      <c r="D134" s="284"/>
      <c r="E134" s="324"/>
      <c r="F134" s="325"/>
      <c r="G134" s="68"/>
      <c r="H134" s="326" t="s">
        <v>185</v>
      </c>
      <c r="I134" s="327"/>
      <c r="J134" s="448">
        <v>0</v>
      </c>
      <c r="K134" s="448">
        <v>0</v>
      </c>
      <c r="L134" s="448">
        <v>0</v>
      </c>
      <c r="M134" s="448">
        <v>0</v>
      </c>
      <c r="N134" s="448">
        <v>0</v>
      </c>
      <c r="O134" s="448">
        <v>0</v>
      </c>
      <c r="P134" s="448">
        <v>0</v>
      </c>
      <c r="Q134" s="448">
        <v>0</v>
      </c>
      <c r="R134" s="448">
        <v>0</v>
      </c>
      <c r="S134" s="448">
        <v>0</v>
      </c>
      <c r="T134" s="448">
        <v>0</v>
      </c>
      <c r="U134" s="449">
        <f>SUM(J17:U17)+SUM(J50:U50)+SUM(J63:U63)+SUM(J82:U82)</f>
        <v>443900.00000000006</v>
      </c>
      <c r="V134" s="105">
        <f>SUM(J134:U134)</f>
        <v>443900.00000000006</v>
      </c>
      <c r="W134" s="448">
        <v>0</v>
      </c>
      <c r="X134" s="448">
        <v>0</v>
      </c>
      <c r="Y134" s="448">
        <v>0</v>
      </c>
      <c r="Z134" s="448">
        <v>0</v>
      </c>
      <c r="AA134" s="448">
        <v>0</v>
      </c>
      <c r="AB134" s="448">
        <v>0</v>
      </c>
      <c r="AC134" s="448">
        <v>0</v>
      </c>
      <c r="AD134" s="448">
        <v>0</v>
      </c>
      <c r="AE134" s="448">
        <v>0</v>
      </c>
      <c r="AF134" s="448">
        <v>0</v>
      </c>
      <c r="AG134" s="448">
        <v>0</v>
      </c>
      <c r="AH134" s="449">
        <f>SUM(W17:AH17)+SUM(W50:AH50)+SUM(W63:AH63)+SUM(W82:AH82)</f>
        <v>1048300.0000000002</v>
      </c>
      <c r="AI134" s="105">
        <f>SUM(W134:AH134)</f>
        <v>1048300.0000000002</v>
      </c>
    </row>
    <row r="135" spans="1:35" s="138" customFormat="1">
      <c r="B135" s="275"/>
      <c r="C135" s="276"/>
      <c r="D135" s="276"/>
      <c r="E135" s="277"/>
      <c r="F135" s="278"/>
      <c r="G135" s="279"/>
      <c r="H135" s="320" t="s">
        <v>174</v>
      </c>
      <c r="I135" s="322"/>
      <c r="J135" s="114">
        <f>J117+J127</f>
        <v>276119.25</v>
      </c>
      <c r="K135" s="114">
        <f t="shared" ref="K135:U135" si="172">K117+K127</f>
        <v>217265.14624999999</v>
      </c>
      <c r="L135" s="114">
        <f t="shared" si="172"/>
        <v>196878.32493125001</v>
      </c>
      <c r="M135" s="114">
        <f t="shared" si="172"/>
        <v>197151.59417671876</v>
      </c>
      <c r="N135" s="114">
        <f t="shared" si="172"/>
        <v>208337.28500586169</v>
      </c>
      <c r="O135" s="114">
        <f t="shared" si="172"/>
        <v>285194.67196048982</v>
      </c>
      <c r="P135" s="114">
        <f t="shared" si="172"/>
        <v>262763.64077717683</v>
      </c>
      <c r="Q135" s="114">
        <f t="shared" si="172"/>
        <v>307592.54448525887</v>
      </c>
      <c r="R135" s="114">
        <f t="shared" si="172"/>
        <v>294378.96874815773</v>
      </c>
      <c r="S135" s="114">
        <f t="shared" si="172"/>
        <v>315732.95178953186</v>
      </c>
      <c r="T135" s="114">
        <f t="shared" si="172"/>
        <v>322571.79756383935</v>
      </c>
      <c r="U135" s="114">
        <f t="shared" si="172"/>
        <v>396485.82320627803</v>
      </c>
      <c r="V135" s="105">
        <f>SUM(J135:U135)</f>
        <v>3280471.9988945629</v>
      </c>
      <c r="W135" s="114">
        <f>W117+W127</f>
        <v>395807.02524417534</v>
      </c>
      <c r="X135" s="114">
        <f t="shared" ref="X135:AH135" si="173">X117+X127</f>
        <v>445437.00468112098</v>
      </c>
      <c r="Y135" s="114">
        <f t="shared" si="173"/>
        <v>433728.59718950401</v>
      </c>
      <c r="Z135" s="114">
        <f t="shared" si="173"/>
        <v>470619.7181124388</v>
      </c>
      <c r="AA135" s="114">
        <f t="shared" si="173"/>
        <v>560843.40099051769</v>
      </c>
      <c r="AB135" s="114">
        <f t="shared" si="173"/>
        <v>560535.15143447055</v>
      </c>
      <c r="AC135" s="114">
        <f t="shared" si="173"/>
        <v>586466.60896323179</v>
      </c>
      <c r="AD135" s="114">
        <f t="shared" si="173"/>
        <v>617614.74135334697</v>
      </c>
      <c r="AE135" s="114">
        <f t="shared" si="173"/>
        <v>630280.91095119203</v>
      </c>
      <c r="AF135" s="114">
        <f t="shared" si="173"/>
        <v>651844.95392564486</v>
      </c>
      <c r="AG135" s="114">
        <f t="shared" si="173"/>
        <v>663514.62984022731</v>
      </c>
      <c r="AH135" s="114">
        <f t="shared" si="173"/>
        <v>627108.90195492364</v>
      </c>
      <c r="AI135" s="105">
        <f>SUM(W135:AH135)</f>
        <v>6643801.6446407931</v>
      </c>
    </row>
    <row r="136" spans="1:35" s="138" customFormat="1" ht="13" thickBot="1">
      <c r="B136" s="483"/>
      <c r="C136" s="484"/>
      <c r="D136" s="484"/>
      <c r="E136" s="485"/>
      <c r="F136" s="486"/>
      <c r="G136" s="279"/>
      <c r="H136" s="321" t="s">
        <v>181</v>
      </c>
      <c r="I136" s="323"/>
      <c r="J136" s="417">
        <f t="shared" ref="J136:U136" si="174">SUM(J132:J135)</f>
        <v>400619.25</v>
      </c>
      <c r="K136" s="417">
        <f t="shared" si="174"/>
        <v>405765.14624999999</v>
      </c>
      <c r="L136" s="417">
        <f t="shared" si="174"/>
        <v>644878.32493124995</v>
      </c>
      <c r="M136" s="417">
        <f t="shared" si="174"/>
        <v>424651.59417671873</v>
      </c>
      <c r="N136" s="417">
        <f t="shared" si="174"/>
        <v>456337.28500586166</v>
      </c>
      <c r="O136" s="417">
        <f t="shared" si="174"/>
        <v>844694.67196048982</v>
      </c>
      <c r="P136" s="417">
        <f t="shared" si="174"/>
        <v>574263.64077717683</v>
      </c>
      <c r="Q136" s="417">
        <f t="shared" si="174"/>
        <v>630092.54448525887</v>
      </c>
      <c r="R136" s="417">
        <f t="shared" si="174"/>
        <v>956878.96874815773</v>
      </c>
      <c r="S136" s="417">
        <f t="shared" si="174"/>
        <v>691732.95178953186</v>
      </c>
      <c r="T136" s="417">
        <f t="shared" si="174"/>
        <v>713571.79756383935</v>
      </c>
      <c r="U136" s="417">
        <f t="shared" si="174"/>
        <v>1542385.823206278</v>
      </c>
      <c r="V136" s="418">
        <f>SUM(J136:U136)</f>
        <v>8285871.9988945629</v>
      </c>
      <c r="W136" s="417">
        <f t="shared" ref="W136:AH136" si="175">SUM(W132:W135)</f>
        <v>835807.02524417534</v>
      </c>
      <c r="X136" s="417">
        <f t="shared" si="175"/>
        <v>897437.00468112098</v>
      </c>
      <c r="Y136" s="417">
        <f t="shared" si="175"/>
        <v>1212728.597189504</v>
      </c>
      <c r="Z136" s="417">
        <f t="shared" si="175"/>
        <v>959119.7181124388</v>
      </c>
      <c r="AA136" s="417">
        <f t="shared" si="175"/>
        <v>1069843.4009905178</v>
      </c>
      <c r="AB136" s="417">
        <f t="shared" si="175"/>
        <v>1424535.1514344704</v>
      </c>
      <c r="AC136" s="417">
        <f t="shared" si="175"/>
        <v>1161466.6089632318</v>
      </c>
      <c r="AD136" s="417">
        <f t="shared" si="175"/>
        <v>1223614.741353347</v>
      </c>
      <c r="AE136" s="417">
        <f t="shared" si="175"/>
        <v>1658280.910951192</v>
      </c>
      <c r="AF136" s="417">
        <f t="shared" si="175"/>
        <v>1310344.953925645</v>
      </c>
      <c r="AG136" s="417">
        <f t="shared" si="175"/>
        <v>1345014.6298402273</v>
      </c>
      <c r="AH136" s="417">
        <f t="shared" si="175"/>
        <v>2818408.9019549238</v>
      </c>
      <c r="AI136" s="418">
        <f>SUM(W136:AH136)</f>
        <v>15916601.644640792</v>
      </c>
    </row>
    <row r="137" spans="1:35" s="138" customFormat="1">
      <c r="B137" s="491"/>
      <c r="C137" s="492"/>
      <c r="D137" s="492"/>
      <c r="E137" s="493"/>
      <c r="F137" s="494"/>
      <c r="G137" s="279"/>
      <c r="H137" s="136"/>
      <c r="I137" s="136"/>
      <c r="J137" s="420"/>
      <c r="K137" s="420"/>
      <c r="L137" s="420"/>
      <c r="M137" s="420"/>
      <c r="N137" s="420"/>
      <c r="O137" s="420"/>
      <c r="P137" s="420"/>
      <c r="Q137" s="420"/>
      <c r="R137" s="420"/>
      <c r="S137" s="420"/>
      <c r="T137" s="420"/>
      <c r="U137" s="420"/>
      <c r="V137" s="420"/>
      <c r="W137" s="420"/>
      <c r="X137" s="420"/>
      <c r="Y137" s="420"/>
      <c r="Z137" s="420"/>
      <c r="AA137" s="420"/>
      <c r="AB137" s="420"/>
      <c r="AC137" s="420"/>
      <c r="AD137" s="420"/>
      <c r="AE137" s="420"/>
      <c r="AF137" s="420"/>
      <c r="AG137" s="420"/>
      <c r="AH137" s="420"/>
      <c r="AI137" s="420"/>
    </row>
    <row r="138" spans="1:35" s="138" customFormat="1">
      <c r="B138" s="279"/>
      <c r="C138" s="487"/>
      <c r="D138" s="487"/>
      <c r="E138" s="488"/>
      <c r="F138" s="495"/>
      <c r="G138" s="279"/>
      <c r="H138" s="540" t="s">
        <v>287</v>
      </c>
      <c r="I138" s="540"/>
      <c r="J138" s="540"/>
      <c r="K138" s="540"/>
      <c r="L138" s="47"/>
      <c r="M138" s="420"/>
      <c r="N138" s="420"/>
      <c r="O138" s="420"/>
      <c r="P138" s="420"/>
      <c r="Q138" s="420"/>
      <c r="R138" s="420"/>
      <c r="S138" s="420"/>
      <c r="T138" s="420"/>
      <c r="U138" s="420"/>
      <c r="V138" s="420"/>
      <c r="W138" s="539" t="s">
        <v>288</v>
      </c>
      <c r="X138" s="539"/>
      <c r="Y138" s="539"/>
      <c r="Z138" s="539"/>
      <c r="AA138" s="539"/>
      <c r="AB138" s="539"/>
      <c r="AC138" s="539"/>
      <c r="AD138" s="539"/>
      <c r="AE138" s="539"/>
      <c r="AF138" s="539"/>
      <c r="AG138" s="539"/>
      <c r="AH138" s="539"/>
      <c r="AI138" s="539"/>
    </row>
    <row r="139" spans="1:35" s="138" customFormat="1">
      <c r="B139" s="279"/>
      <c r="C139" s="487"/>
      <c r="D139" s="487"/>
      <c r="E139" s="488"/>
      <c r="F139" s="495"/>
      <c r="G139" s="279"/>
      <c r="H139" s="541" t="s">
        <v>291</v>
      </c>
      <c r="I139" s="541"/>
      <c r="J139" s="541"/>
      <c r="K139" s="541"/>
      <c r="L139" s="541"/>
      <c r="M139" s="420"/>
      <c r="N139" s="420"/>
      <c r="O139" s="420"/>
      <c r="P139" s="420"/>
      <c r="Q139" s="420"/>
      <c r="R139" s="420"/>
      <c r="S139" s="420"/>
      <c r="T139" s="420"/>
      <c r="U139" s="420"/>
      <c r="V139" s="420"/>
      <c r="W139" s="527"/>
      <c r="X139" s="527"/>
      <c r="Y139" s="527"/>
      <c r="Z139" s="527"/>
      <c r="AA139" s="527"/>
      <c r="AB139" s="527"/>
      <c r="AC139" s="527"/>
      <c r="AD139" s="542" t="s">
        <v>286</v>
      </c>
      <c r="AE139" s="542"/>
      <c r="AF139" s="542"/>
      <c r="AG139" s="542"/>
      <c r="AH139" s="542"/>
      <c r="AI139" s="542"/>
    </row>
    <row r="140" spans="1:35" s="138" customFormat="1">
      <c r="B140" s="279"/>
      <c r="C140" s="487"/>
      <c r="D140" s="487"/>
      <c r="E140" s="488"/>
      <c r="F140" s="495"/>
      <c r="G140" s="279"/>
      <c r="H140" s="136"/>
      <c r="I140" s="136"/>
      <c r="J140" s="280"/>
      <c r="K140" s="280"/>
      <c r="L140" s="280"/>
      <c r="M140" s="280"/>
      <c r="N140" s="280"/>
      <c r="O140" s="280"/>
      <c r="P140" s="280"/>
      <c r="Q140" s="280"/>
      <c r="R140" s="280"/>
      <c r="S140" s="280"/>
      <c r="T140" s="280"/>
      <c r="U140" s="280"/>
      <c r="W140" s="280"/>
      <c r="X140" s="280"/>
      <c r="Y140" s="280"/>
      <c r="Z140" s="280"/>
      <c r="AA140" s="280"/>
      <c r="AB140" s="280"/>
      <c r="AC140" s="280"/>
      <c r="AD140" s="280"/>
      <c r="AE140" s="280"/>
      <c r="AF140" s="280"/>
      <c r="AG140" s="280"/>
      <c r="AH140" s="280"/>
    </row>
    <row r="141" spans="1:35" s="7" customFormat="1">
      <c r="A141" s="95"/>
      <c r="B141" s="68"/>
      <c r="C141" s="489"/>
      <c r="D141" s="489"/>
      <c r="E141" s="490"/>
      <c r="F141" s="496"/>
      <c r="G141" s="68"/>
      <c r="H141" s="101"/>
      <c r="I141" s="101"/>
      <c r="J141" s="47"/>
      <c r="K141" s="47"/>
      <c r="L141" s="47"/>
      <c r="M141" s="47"/>
      <c r="N141" s="47"/>
      <c r="O141" s="47"/>
      <c r="P141" s="47"/>
      <c r="Q141" s="47"/>
      <c r="R141" s="47"/>
      <c r="S141" s="47"/>
      <c r="T141" s="47"/>
      <c r="U141" s="47"/>
      <c r="W141" s="47"/>
      <c r="X141" s="47"/>
      <c r="Y141" s="47"/>
      <c r="Z141" s="47"/>
      <c r="AA141" s="47"/>
      <c r="AB141" s="47"/>
      <c r="AC141" s="47"/>
      <c r="AD141" s="47"/>
      <c r="AE141" s="47"/>
      <c r="AF141" s="47"/>
      <c r="AG141" s="47"/>
      <c r="AH141" s="47"/>
    </row>
    <row r="142" spans="1:35" s="7" customFormat="1">
      <c r="A142" s="95"/>
      <c r="B142" s="68"/>
      <c r="C142" s="489"/>
      <c r="D142" s="489"/>
      <c r="E142" s="490"/>
      <c r="F142" s="496"/>
      <c r="G142" s="68"/>
      <c r="H142" s="136"/>
      <c r="I142" s="136"/>
      <c r="J142" s="47"/>
      <c r="K142" s="47"/>
      <c r="L142" s="47"/>
      <c r="M142" s="47"/>
      <c r="N142" s="47"/>
      <c r="O142" s="47"/>
      <c r="P142" s="47"/>
      <c r="Q142" s="47"/>
      <c r="R142" s="47"/>
      <c r="S142" s="47"/>
      <c r="T142" s="47"/>
      <c r="U142" s="47"/>
      <c r="W142" s="47"/>
      <c r="X142" s="47"/>
      <c r="Y142" s="47"/>
      <c r="Z142" s="47"/>
      <c r="AA142" s="47"/>
      <c r="AB142" s="47"/>
      <c r="AC142" s="47"/>
      <c r="AD142" s="47"/>
      <c r="AE142" s="47"/>
      <c r="AF142" s="47"/>
      <c r="AG142" s="47"/>
      <c r="AH142" s="47"/>
    </row>
    <row r="143" spans="1:35" s="7" customFormat="1">
      <c r="A143" s="95"/>
      <c r="B143" s="68"/>
      <c r="C143" s="489"/>
      <c r="D143" s="489"/>
      <c r="E143" s="490"/>
      <c r="F143" s="496"/>
      <c r="G143" s="68"/>
      <c r="H143" s="136"/>
      <c r="I143" s="136"/>
      <c r="J143" s="137"/>
      <c r="K143" s="137"/>
      <c r="L143" s="137"/>
      <c r="M143" s="137"/>
      <c r="N143" s="137"/>
      <c r="O143" s="137"/>
      <c r="P143" s="137"/>
      <c r="Q143" s="137"/>
      <c r="R143" s="137"/>
      <c r="S143" s="137"/>
      <c r="T143" s="137"/>
      <c r="U143" s="137"/>
      <c r="V143" s="138"/>
      <c r="W143" s="137"/>
      <c r="X143" s="137"/>
      <c r="Y143" s="137"/>
      <c r="Z143" s="137"/>
      <c r="AA143" s="137"/>
      <c r="AB143" s="137"/>
      <c r="AC143" s="137"/>
      <c r="AD143" s="137"/>
      <c r="AE143" s="137"/>
      <c r="AF143" s="137"/>
      <c r="AG143" s="137"/>
      <c r="AH143" s="137"/>
    </row>
    <row r="144" spans="1:35" s="7" customFormat="1">
      <c r="A144" s="95"/>
      <c r="B144" s="68"/>
      <c r="C144" s="489"/>
      <c r="D144" s="489"/>
      <c r="E144" s="490"/>
      <c r="F144" s="496"/>
      <c r="G144" s="68"/>
      <c r="H144" s="101"/>
      <c r="I144" s="101"/>
      <c r="J144" s="47"/>
      <c r="K144" s="47"/>
      <c r="L144" s="47"/>
      <c r="M144" s="47"/>
      <c r="N144" s="47"/>
      <c r="O144" s="47"/>
      <c r="P144" s="47"/>
      <c r="Q144" s="47"/>
      <c r="R144" s="47"/>
      <c r="S144" s="47"/>
      <c r="T144" s="47"/>
      <c r="U144" s="47"/>
      <c r="W144" s="47"/>
      <c r="X144" s="47"/>
      <c r="Y144" s="47"/>
      <c r="Z144" s="47"/>
      <c r="AA144" s="47"/>
      <c r="AB144" s="47"/>
      <c r="AC144" s="47"/>
      <c r="AD144" s="47"/>
      <c r="AE144" s="47"/>
      <c r="AF144" s="47"/>
      <c r="AG144" s="47"/>
      <c r="AH144" s="47"/>
    </row>
    <row r="145" spans="1:35" s="7" customFormat="1">
      <c r="A145" s="95"/>
      <c r="B145" s="68"/>
      <c r="C145" s="489"/>
      <c r="D145" s="489"/>
      <c r="E145" s="490"/>
      <c r="F145" s="496"/>
      <c r="G145" s="68"/>
      <c r="H145" s="101"/>
      <c r="I145" s="101"/>
      <c r="J145" s="47"/>
      <c r="K145" s="47"/>
      <c r="L145" s="47"/>
      <c r="M145" s="47"/>
      <c r="N145" s="47"/>
      <c r="O145" s="47"/>
      <c r="P145" s="47"/>
      <c r="Q145" s="47"/>
      <c r="R145" s="47"/>
      <c r="S145" s="47"/>
      <c r="T145" s="47"/>
      <c r="U145" s="47"/>
      <c r="W145" s="47"/>
      <c r="X145" s="47"/>
      <c r="Y145" s="47"/>
      <c r="Z145" s="47"/>
      <c r="AA145" s="47"/>
      <c r="AB145" s="47"/>
      <c r="AC145" s="47"/>
      <c r="AD145" s="47"/>
      <c r="AE145" s="47"/>
      <c r="AF145" s="47"/>
      <c r="AG145" s="47"/>
      <c r="AH145" s="47"/>
    </row>
    <row r="146" spans="1:35" s="7" customFormat="1">
      <c r="A146" s="95"/>
      <c r="B146" s="68"/>
      <c r="C146" s="489"/>
      <c r="D146" s="489"/>
      <c r="E146" s="490"/>
      <c r="F146" s="496"/>
      <c r="G146" s="68"/>
      <c r="H146" s="101"/>
      <c r="I146" s="101"/>
      <c r="J146" s="47"/>
      <c r="K146" s="47"/>
      <c r="L146" s="47"/>
      <c r="M146" s="47"/>
      <c r="N146" s="47"/>
      <c r="O146" s="47"/>
      <c r="P146" s="47"/>
      <c r="Q146" s="47"/>
      <c r="R146" s="47"/>
      <c r="S146" s="47"/>
      <c r="T146" s="47"/>
      <c r="U146" s="47"/>
      <c r="W146" s="47"/>
      <c r="X146" s="47"/>
      <c r="Y146" s="47"/>
      <c r="Z146" s="47"/>
      <c r="AA146" s="47"/>
      <c r="AB146" s="47"/>
      <c r="AC146" s="47"/>
      <c r="AD146" s="47"/>
      <c r="AE146" s="47"/>
      <c r="AF146" s="47"/>
      <c r="AG146" s="47"/>
      <c r="AH146" s="47"/>
    </row>
    <row r="147" spans="1:35">
      <c r="B147" s="7"/>
      <c r="C147" s="489"/>
      <c r="D147" s="489"/>
      <c r="E147" s="490"/>
      <c r="F147" s="490"/>
      <c r="G147" s="7"/>
      <c r="H147" s="7"/>
      <c r="I147" s="7"/>
      <c r="J147" s="7"/>
      <c r="K147" s="7"/>
      <c r="L147" s="7"/>
      <c r="M147" s="7"/>
      <c r="N147" s="7"/>
      <c r="O147" s="7"/>
      <c r="P147" s="7"/>
      <c r="Q147" s="7"/>
      <c r="R147" s="7"/>
      <c r="S147" s="7"/>
      <c r="T147" s="7"/>
      <c r="U147" s="7"/>
      <c r="V147" s="7"/>
      <c r="AF147" s="7"/>
      <c r="AG147" s="7"/>
      <c r="AH147" s="7"/>
      <c r="AI147" s="7"/>
    </row>
    <row r="148" spans="1:35">
      <c r="B148" s="7"/>
      <c r="C148" s="489"/>
      <c r="D148" s="489"/>
      <c r="E148" s="490"/>
      <c r="F148" s="490"/>
      <c r="G148" s="7"/>
      <c r="H148" s="7"/>
      <c r="I148" s="7"/>
      <c r="J148" s="7"/>
      <c r="K148" s="7"/>
      <c r="L148" s="7"/>
      <c r="M148" s="7"/>
      <c r="N148" s="7"/>
      <c r="O148" s="7"/>
      <c r="P148" s="7"/>
      <c r="Q148" s="7"/>
      <c r="R148" s="7"/>
      <c r="S148" s="7"/>
      <c r="T148" s="7"/>
      <c r="U148" s="7"/>
      <c r="V148" s="7"/>
      <c r="AF148" s="7"/>
      <c r="AG148" s="7"/>
      <c r="AH148" s="7"/>
      <c r="AI148" s="7"/>
    </row>
    <row r="149" spans="1:35">
      <c r="B149" s="7"/>
      <c r="C149" s="489"/>
      <c r="D149" s="489"/>
      <c r="E149" s="490"/>
      <c r="F149" s="490"/>
      <c r="G149" s="7"/>
      <c r="H149" s="7"/>
      <c r="I149" s="7"/>
      <c r="J149" s="7"/>
      <c r="K149" s="7"/>
      <c r="L149" s="7"/>
      <c r="M149" s="7"/>
      <c r="N149" s="7"/>
      <c r="O149" s="7"/>
      <c r="P149" s="7"/>
      <c r="Q149" s="7"/>
      <c r="R149" s="7"/>
      <c r="S149" s="7"/>
      <c r="T149" s="7"/>
      <c r="U149" s="7"/>
      <c r="V149" s="7"/>
      <c r="AF149" s="7"/>
      <c r="AG149" s="7"/>
      <c r="AH149" s="7"/>
      <c r="AI149" s="7"/>
    </row>
    <row r="150" spans="1:35">
      <c r="B150" s="7"/>
      <c r="C150" s="489"/>
      <c r="D150" s="489"/>
      <c r="E150" s="490"/>
      <c r="F150" s="490"/>
      <c r="G150" s="7"/>
      <c r="H150" s="7"/>
      <c r="I150" s="7"/>
      <c r="J150" s="7"/>
      <c r="K150" s="7"/>
      <c r="L150" s="7"/>
      <c r="M150" s="7"/>
      <c r="N150" s="7"/>
      <c r="O150" s="7"/>
      <c r="P150" s="7"/>
      <c r="Q150" s="7"/>
      <c r="R150" s="7"/>
      <c r="S150" s="7"/>
      <c r="T150" s="7"/>
      <c r="U150" s="7"/>
      <c r="V150" s="7"/>
      <c r="AF150" s="7"/>
      <c r="AG150" s="7"/>
      <c r="AH150" s="7"/>
      <c r="AI150" s="7"/>
    </row>
    <row r="151" spans="1:35">
      <c r="B151" s="7"/>
      <c r="C151" s="489"/>
      <c r="D151" s="489"/>
      <c r="E151" s="490"/>
      <c r="F151" s="490"/>
      <c r="G151" s="7"/>
      <c r="H151" s="7"/>
      <c r="I151" s="7"/>
      <c r="J151" s="7"/>
      <c r="K151" s="7"/>
      <c r="L151" s="7"/>
      <c r="M151" s="7"/>
      <c r="N151" s="7"/>
      <c r="O151" s="7"/>
      <c r="P151" s="7"/>
      <c r="Q151" s="7"/>
      <c r="R151" s="7"/>
      <c r="S151" s="7"/>
      <c r="T151" s="7"/>
      <c r="U151" s="7"/>
      <c r="V151" s="7"/>
      <c r="AF151" s="7"/>
      <c r="AG151" s="7"/>
      <c r="AH151" s="7"/>
      <c r="AI151" s="7"/>
    </row>
    <row r="152" spans="1:35">
      <c r="B152" s="7"/>
      <c r="C152" s="489"/>
      <c r="D152" s="489"/>
      <c r="E152" s="490"/>
      <c r="F152" s="490"/>
      <c r="G152" s="7"/>
      <c r="H152" s="7"/>
      <c r="I152" s="7"/>
      <c r="J152" s="7"/>
      <c r="K152" s="7"/>
      <c r="L152" s="7"/>
      <c r="M152" s="7"/>
      <c r="N152" s="7"/>
      <c r="O152" s="7"/>
      <c r="P152" s="7"/>
      <c r="Q152" s="7"/>
      <c r="R152" s="7"/>
      <c r="S152" s="7"/>
      <c r="T152" s="7"/>
      <c r="U152" s="7"/>
      <c r="V152" s="7"/>
      <c r="AF152" s="7"/>
      <c r="AG152" s="7"/>
      <c r="AH152" s="7"/>
      <c r="AI152" s="7"/>
    </row>
    <row r="153" spans="1:35">
      <c r="B153" s="7"/>
      <c r="C153" s="489"/>
      <c r="D153" s="489"/>
      <c r="E153" s="490"/>
      <c r="F153" s="490"/>
      <c r="G153" s="7"/>
      <c r="H153" s="7"/>
      <c r="I153" s="7"/>
      <c r="J153" s="7"/>
      <c r="K153" s="7"/>
      <c r="L153" s="7"/>
      <c r="M153" s="7"/>
      <c r="N153" s="7"/>
      <c r="O153" s="7"/>
      <c r="P153" s="7"/>
      <c r="Q153" s="7"/>
      <c r="R153" s="7"/>
      <c r="S153" s="7"/>
      <c r="T153" s="7"/>
      <c r="U153" s="7"/>
      <c r="V153" s="7"/>
      <c r="AF153" s="7"/>
      <c r="AG153" s="7"/>
      <c r="AH153" s="7"/>
      <c r="AI153" s="7"/>
    </row>
    <row r="154" spans="1:35">
      <c r="B154" s="7"/>
      <c r="C154" s="489"/>
      <c r="D154" s="489"/>
      <c r="E154" s="490"/>
      <c r="F154" s="490"/>
      <c r="G154" s="7"/>
      <c r="H154" s="7"/>
      <c r="I154" s="7"/>
      <c r="J154" s="7"/>
      <c r="K154" s="7"/>
      <c r="L154" s="7"/>
      <c r="M154" s="7"/>
      <c r="N154" s="7"/>
      <c r="O154" s="7"/>
      <c r="P154" s="7"/>
      <c r="Q154" s="7"/>
      <c r="R154" s="7"/>
      <c r="S154" s="7"/>
      <c r="T154" s="7"/>
      <c r="U154" s="7"/>
      <c r="V154" s="7"/>
      <c r="AF154" s="7"/>
      <c r="AG154" s="7"/>
      <c r="AH154" s="7"/>
      <c r="AI154" s="7"/>
    </row>
    <row r="155" spans="1:35">
      <c r="B155" s="7"/>
      <c r="C155" s="489"/>
      <c r="D155" s="489"/>
      <c r="E155" s="490"/>
      <c r="F155" s="490"/>
      <c r="G155" s="7"/>
      <c r="H155" s="7"/>
      <c r="I155" s="7"/>
      <c r="J155" s="7"/>
      <c r="K155" s="7"/>
      <c r="L155" s="7"/>
      <c r="M155" s="7"/>
      <c r="N155" s="7"/>
      <c r="O155" s="7"/>
      <c r="P155" s="7"/>
      <c r="Q155" s="7"/>
      <c r="R155" s="7"/>
      <c r="S155" s="7"/>
      <c r="T155" s="7"/>
      <c r="U155" s="7"/>
      <c r="V155" s="7"/>
      <c r="AF155" s="7"/>
      <c r="AG155" s="7"/>
      <c r="AH155" s="7"/>
      <c r="AI155" s="7"/>
    </row>
    <row r="156" spans="1:35">
      <c r="B156" s="7"/>
      <c r="C156" s="489"/>
      <c r="D156" s="489"/>
      <c r="E156" s="490"/>
      <c r="F156" s="490"/>
      <c r="G156" s="7"/>
      <c r="H156" s="7"/>
      <c r="I156" s="7"/>
      <c r="J156" s="7"/>
      <c r="K156" s="7"/>
      <c r="L156" s="7"/>
      <c r="M156" s="7"/>
      <c r="N156" s="7"/>
      <c r="O156" s="7"/>
      <c r="P156" s="7"/>
      <c r="Q156" s="7"/>
      <c r="R156" s="7"/>
      <c r="S156" s="7"/>
      <c r="T156" s="7"/>
      <c r="U156" s="7"/>
      <c r="V156" s="7"/>
      <c r="AF156" s="7"/>
      <c r="AG156" s="7"/>
      <c r="AH156" s="7"/>
      <c r="AI156" s="7"/>
    </row>
    <row r="157" spans="1:35">
      <c r="B157" s="7"/>
      <c r="C157" s="489"/>
      <c r="D157" s="489"/>
      <c r="E157" s="490"/>
      <c r="F157" s="490"/>
      <c r="G157" s="7"/>
      <c r="H157" s="7"/>
      <c r="I157" s="7"/>
      <c r="J157" s="7"/>
      <c r="K157" s="7"/>
      <c r="L157" s="7"/>
      <c r="M157" s="7"/>
      <c r="N157" s="7"/>
      <c r="O157" s="7"/>
      <c r="P157" s="7"/>
      <c r="Q157" s="7"/>
      <c r="R157" s="7"/>
      <c r="S157" s="7"/>
      <c r="T157" s="7"/>
      <c r="U157" s="7"/>
      <c r="V157" s="7"/>
      <c r="AF157" s="7"/>
      <c r="AG157" s="7"/>
      <c r="AH157" s="7"/>
      <c r="AI157" s="7"/>
    </row>
    <row r="158" spans="1:35">
      <c r="B158" s="7"/>
      <c r="C158" s="489"/>
      <c r="D158" s="489"/>
      <c r="E158" s="490"/>
      <c r="F158" s="490"/>
      <c r="G158" s="7"/>
      <c r="H158" s="7"/>
      <c r="I158" s="7"/>
      <c r="J158" s="7"/>
      <c r="K158" s="7"/>
      <c r="L158" s="7"/>
      <c r="M158" s="7"/>
      <c r="N158" s="7"/>
      <c r="O158" s="7"/>
      <c r="P158" s="7"/>
      <c r="Q158" s="7"/>
      <c r="R158" s="7"/>
      <c r="S158" s="7"/>
      <c r="T158" s="7"/>
      <c r="U158" s="7"/>
      <c r="V158" s="7"/>
      <c r="AF158" s="7"/>
      <c r="AG158" s="7"/>
      <c r="AH158" s="7"/>
      <c r="AI158" s="7"/>
    </row>
    <row r="159" spans="1:35">
      <c r="B159" s="7"/>
      <c r="C159" s="489"/>
      <c r="D159" s="489"/>
      <c r="E159" s="490"/>
      <c r="F159" s="490"/>
      <c r="G159" s="7"/>
      <c r="H159" s="7"/>
      <c r="I159" s="7"/>
      <c r="J159" s="7"/>
      <c r="K159" s="7"/>
      <c r="L159" s="7"/>
      <c r="M159" s="7"/>
      <c r="N159" s="7"/>
      <c r="O159" s="7"/>
      <c r="P159" s="7"/>
      <c r="Q159" s="7"/>
      <c r="R159" s="7"/>
      <c r="S159" s="7"/>
      <c r="T159" s="7"/>
      <c r="U159" s="7"/>
      <c r="V159" s="7"/>
      <c r="AF159" s="7"/>
      <c r="AG159" s="7"/>
      <c r="AH159" s="7"/>
      <c r="AI159" s="7"/>
    </row>
    <row r="160" spans="1:35">
      <c r="B160" s="7"/>
      <c r="C160" s="489"/>
      <c r="D160" s="489"/>
      <c r="E160" s="490"/>
      <c r="F160" s="490"/>
      <c r="G160" s="7"/>
      <c r="H160" s="7"/>
      <c r="I160" s="7"/>
      <c r="J160" s="7"/>
      <c r="K160" s="7"/>
      <c r="L160" s="7"/>
      <c r="M160" s="7"/>
      <c r="N160" s="7"/>
      <c r="O160" s="7"/>
      <c r="P160" s="7"/>
      <c r="Q160" s="7"/>
      <c r="R160" s="7"/>
      <c r="S160" s="7"/>
      <c r="T160" s="7"/>
      <c r="U160" s="7"/>
      <c r="V160" s="7"/>
      <c r="AF160" s="7"/>
      <c r="AG160" s="7"/>
      <c r="AH160" s="7"/>
      <c r="AI160" s="7"/>
    </row>
    <row r="161" spans="2:35">
      <c r="B161" s="7"/>
      <c r="C161" s="489"/>
      <c r="D161" s="489"/>
      <c r="E161" s="490"/>
      <c r="F161" s="490"/>
      <c r="G161" s="7"/>
      <c r="H161" s="7"/>
      <c r="I161" s="7"/>
      <c r="J161" s="7"/>
      <c r="K161" s="7"/>
      <c r="L161" s="7"/>
      <c r="M161" s="7"/>
      <c r="N161" s="7"/>
      <c r="O161" s="7"/>
      <c r="P161" s="7"/>
      <c r="Q161" s="7"/>
      <c r="R161" s="7"/>
      <c r="S161" s="7"/>
      <c r="T161" s="7"/>
      <c r="U161" s="7"/>
      <c r="V161" s="7"/>
      <c r="AF161" s="7"/>
      <c r="AG161" s="7"/>
      <c r="AH161" s="7"/>
      <c r="AI161" s="7"/>
    </row>
    <row r="162" spans="2:35">
      <c r="B162" s="7"/>
      <c r="C162" s="489"/>
      <c r="D162" s="489"/>
      <c r="E162" s="490"/>
      <c r="F162" s="490"/>
      <c r="G162" s="7"/>
      <c r="H162" s="7"/>
      <c r="I162" s="7"/>
      <c r="J162" s="7"/>
      <c r="K162" s="7"/>
      <c r="L162" s="7"/>
      <c r="M162" s="7"/>
      <c r="N162" s="7"/>
      <c r="O162" s="7"/>
      <c r="P162" s="7"/>
      <c r="Q162" s="7"/>
      <c r="R162" s="7"/>
      <c r="S162" s="7"/>
      <c r="T162" s="7"/>
      <c r="U162" s="7"/>
      <c r="V162" s="7"/>
      <c r="AF162" s="7"/>
      <c r="AG162" s="7"/>
      <c r="AH162" s="7"/>
      <c r="AI162" s="7"/>
    </row>
    <row r="163" spans="2:35">
      <c r="B163" s="7"/>
      <c r="C163" s="489"/>
      <c r="D163" s="489"/>
      <c r="E163" s="490"/>
      <c r="F163" s="490"/>
      <c r="G163" s="7"/>
      <c r="H163" s="7"/>
      <c r="I163" s="7"/>
      <c r="J163" s="7"/>
      <c r="K163" s="7"/>
      <c r="L163" s="7"/>
      <c r="M163" s="7"/>
      <c r="N163" s="7"/>
      <c r="O163" s="7"/>
      <c r="P163" s="7"/>
      <c r="Q163" s="7"/>
      <c r="R163" s="7"/>
      <c r="S163" s="7"/>
      <c r="T163" s="7"/>
      <c r="U163" s="7"/>
      <c r="V163" s="7"/>
      <c r="AF163" s="7"/>
      <c r="AG163" s="7"/>
      <c r="AH163" s="7"/>
      <c r="AI163" s="7"/>
    </row>
    <row r="164" spans="2:35">
      <c r="B164" s="7"/>
      <c r="C164" s="489"/>
      <c r="D164" s="489"/>
      <c r="E164" s="490"/>
      <c r="F164" s="490"/>
      <c r="G164" s="7"/>
      <c r="H164" s="7"/>
      <c r="I164" s="7"/>
      <c r="J164" s="7"/>
      <c r="K164" s="7"/>
      <c r="L164" s="7"/>
      <c r="M164" s="7"/>
      <c r="N164" s="7"/>
      <c r="O164" s="7"/>
      <c r="P164" s="7"/>
      <c r="Q164" s="7"/>
      <c r="R164" s="7"/>
      <c r="S164" s="7"/>
      <c r="T164" s="7"/>
      <c r="U164" s="7"/>
      <c r="V164" s="7"/>
      <c r="AF164" s="7"/>
      <c r="AG164" s="7"/>
      <c r="AH164" s="7"/>
      <c r="AI164" s="7"/>
    </row>
    <row r="165" spans="2:35">
      <c r="B165" s="7"/>
      <c r="C165" s="489"/>
      <c r="D165" s="489"/>
      <c r="E165" s="490"/>
      <c r="F165" s="490"/>
      <c r="G165" s="7"/>
      <c r="H165" s="7"/>
      <c r="I165" s="7"/>
      <c r="J165" s="7"/>
      <c r="K165" s="7"/>
      <c r="L165" s="7"/>
      <c r="M165" s="7"/>
      <c r="N165" s="7"/>
      <c r="O165" s="7"/>
      <c r="P165" s="7"/>
      <c r="Q165" s="7"/>
      <c r="R165" s="7"/>
      <c r="S165" s="7"/>
      <c r="T165" s="7"/>
      <c r="U165" s="7"/>
      <c r="V165" s="7"/>
      <c r="AF165" s="7"/>
      <c r="AG165" s="7"/>
      <c r="AH165" s="7"/>
      <c r="AI165" s="7"/>
    </row>
    <row r="166" spans="2:35">
      <c r="B166" s="7"/>
      <c r="C166" s="489"/>
      <c r="D166" s="489"/>
      <c r="E166" s="490"/>
      <c r="F166" s="490"/>
      <c r="G166" s="7"/>
      <c r="H166" s="7"/>
      <c r="I166" s="7"/>
      <c r="J166" s="7"/>
      <c r="K166" s="7"/>
      <c r="L166" s="7"/>
      <c r="M166" s="7"/>
      <c r="N166" s="7"/>
      <c r="O166" s="7"/>
      <c r="P166" s="7"/>
      <c r="Q166" s="7"/>
      <c r="R166" s="7"/>
      <c r="S166" s="7"/>
      <c r="T166" s="7"/>
      <c r="U166" s="7"/>
      <c r="V166" s="7"/>
      <c r="AF166" s="7"/>
      <c r="AG166" s="7"/>
      <c r="AH166" s="7"/>
      <c r="AI166" s="7"/>
    </row>
    <row r="167" spans="2:35">
      <c r="B167" s="7"/>
      <c r="C167" s="489"/>
      <c r="D167" s="489"/>
      <c r="E167" s="490"/>
      <c r="F167" s="490"/>
      <c r="G167" s="7"/>
      <c r="H167" s="7"/>
      <c r="I167" s="7"/>
      <c r="J167" s="7"/>
      <c r="K167" s="7"/>
      <c r="L167" s="7"/>
      <c r="M167" s="7"/>
      <c r="N167" s="7"/>
      <c r="O167" s="7"/>
      <c r="P167" s="7"/>
      <c r="Q167" s="7"/>
      <c r="R167" s="7"/>
      <c r="S167" s="7"/>
      <c r="T167" s="7"/>
      <c r="U167" s="7"/>
      <c r="V167" s="7"/>
      <c r="AF167" s="7"/>
      <c r="AG167" s="7"/>
      <c r="AH167" s="7"/>
      <c r="AI167" s="7"/>
    </row>
    <row r="168" spans="2:35">
      <c r="B168" s="7"/>
      <c r="C168" s="489"/>
      <c r="D168" s="489"/>
      <c r="E168" s="490"/>
      <c r="F168" s="490"/>
      <c r="G168" s="7"/>
      <c r="H168" s="7"/>
      <c r="I168" s="7"/>
      <c r="J168" s="7"/>
      <c r="K168" s="7"/>
      <c r="L168" s="7"/>
      <c r="M168" s="7"/>
      <c r="N168" s="7"/>
      <c r="O168" s="7"/>
      <c r="P168" s="7"/>
      <c r="Q168" s="7"/>
      <c r="R168" s="7"/>
      <c r="S168" s="7"/>
      <c r="T168" s="7"/>
      <c r="U168" s="7"/>
      <c r="V168" s="7"/>
      <c r="AF168" s="7"/>
      <c r="AG168" s="7"/>
      <c r="AH168" s="7"/>
      <c r="AI168" s="7"/>
    </row>
    <row r="169" spans="2:35">
      <c r="B169" s="7"/>
      <c r="C169" s="489"/>
      <c r="D169" s="489"/>
      <c r="E169" s="490"/>
      <c r="F169" s="490"/>
      <c r="G169" s="7"/>
      <c r="H169" s="7"/>
      <c r="I169" s="7"/>
      <c r="J169" s="7"/>
      <c r="K169" s="7"/>
      <c r="L169" s="7"/>
      <c r="M169" s="7"/>
      <c r="N169" s="7"/>
      <c r="O169" s="7"/>
      <c r="P169" s="7"/>
      <c r="Q169" s="7"/>
      <c r="R169" s="7"/>
      <c r="S169" s="7"/>
      <c r="T169" s="7"/>
      <c r="U169" s="7"/>
      <c r="V169" s="7"/>
      <c r="AF169" s="7"/>
      <c r="AG169" s="7"/>
      <c r="AH169" s="7"/>
      <c r="AI169" s="7"/>
    </row>
    <row r="170" spans="2:35">
      <c r="B170" s="7"/>
      <c r="C170" s="489"/>
      <c r="D170" s="489"/>
      <c r="E170" s="490"/>
      <c r="F170" s="490"/>
      <c r="G170" s="7"/>
      <c r="H170" s="7"/>
      <c r="I170" s="7"/>
      <c r="J170" s="7"/>
      <c r="K170" s="7"/>
      <c r="L170" s="7"/>
      <c r="M170" s="7"/>
      <c r="N170" s="7"/>
      <c r="O170" s="7"/>
      <c r="P170" s="7"/>
      <c r="Q170" s="7"/>
      <c r="R170" s="7"/>
      <c r="S170" s="7"/>
      <c r="T170" s="7"/>
      <c r="U170" s="7"/>
      <c r="V170" s="7"/>
      <c r="AF170" s="7"/>
      <c r="AG170" s="7"/>
      <c r="AH170" s="7"/>
      <c r="AI170" s="7"/>
    </row>
    <row r="171" spans="2:35">
      <c r="B171" s="7"/>
      <c r="C171" s="489"/>
      <c r="D171" s="489"/>
      <c r="E171" s="490"/>
      <c r="F171" s="490"/>
      <c r="G171" s="7"/>
      <c r="H171" s="7"/>
      <c r="I171" s="7"/>
      <c r="J171" s="7"/>
      <c r="K171" s="7"/>
      <c r="L171" s="7"/>
      <c r="M171" s="7"/>
      <c r="N171" s="7"/>
      <c r="O171" s="7"/>
      <c r="P171" s="7"/>
      <c r="Q171" s="7"/>
      <c r="R171" s="7"/>
      <c r="S171" s="7"/>
      <c r="T171" s="7"/>
      <c r="U171" s="7"/>
      <c r="V171" s="7"/>
      <c r="AF171" s="7"/>
      <c r="AG171" s="7"/>
      <c r="AH171" s="7"/>
      <c r="AI171" s="7"/>
    </row>
    <row r="172" spans="2:35" s="138" customFormat="1">
      <c r="B172" s="279"/>
      <c r="C172" s="487"/>
      <c r="D172" s="487"/>
      <c r="E172" s="488"/>
      <c r="F172" s="495"/>
      <c r="G172" s="279"/>
      <c r="H172" s="136" t="s">
        <v>202</v>
      </c>
      <c r="I172" s="47"/>
      <c r="J172" s="52"/>
      <c r="K172" s="52"/>
      <c r="L172" s="52"/>
      <c r="M172" s="52"/>
      <c r="N172" s="52"/>
      <c r="O172" s="52"/>
      <c r="P172" s="52"/>
      <c r="Q172" s="52"/>
      <c r="R172" s="52"/>
      <c r="S172" s="52"/>
      <c r="T172" s="52"/>
      <c r="U172" s="35"/>
      <c r="V172" s="52"/>
      <c r="W172" s="52"/>
      <c r="X172" s="52"/>
      <c r="Y172" s="52"/>
      <c r="Z172" s="52"/>
      <c r="AA172" s="52"/>
      <c r="AB172" s="52"/>
      <c r="AC172" s="52"/>
      <c r="AD172" s="52"/>
      <c r="AE172" s="52"/>
      <c r="AF172" s="52"/>
      <c r="AG172" s="52"/>
      <c r="AH172" s="35"/>
      <c r="AI172" s="420"/>
    </row>
    <row r="173" spans="2:35" s="138" customFormat="1">
      <c r="B173" s="279"/>
      <c r="C173" s="487"/>
      <c r="D173" s="487"/>
      <c r="E173" s="488"/>
      <c r="F173" s="495"/>
      <c r="G173" s="279"/>
      <c r="H173" s="136" t="s">
        <v>261</v>
      </c>
      <c r="I173" s="137"/>
      <c r="J173" s="420">
        <f t="shared" ref="J173:U173" si="176">J81+J98+J106+J114+J120+J121</f>
        <v>38891.75</v>
      </c>
      <c r="K173" s="420">
        <f t="shared" si="176"/>
        <v>50981.758750000001</v>
      </c>
      <c r="L173" s="420">
        <f t="shared" si="176"/>
        <v>48695.611993749997</v>
      </c>
      <c r="M173" s="420">
        <f t="shared" si="176"/>
        <v>70810.26300015625</v>
      </c>
      <c r="N173" s="420">
        <f t="shared" si="176"/>
        <v>64727.179448135154</v>
      </c>
      <c r="O173" s="420">
        <f t="shared" si="176"/>
        <v>77552.20086401212</v>
      </c>
      <c r="P173" s="420">
        <f t="shared" si="176"/>
        <v>85547.477526370581</v>
      </c>
      <c r="Q173" s="420">
        <f t="shared" si="176"/>
        <v>93706.416898125957</v>
      </c>
      <c r="R173" s="420">
        <f t="shared" si="176"/>
        <v>139146.01735995116</v>
      </c>
      <c r="S173" s="420">
        <f t="shared" si="176"/>
        <v>139922.59927489044</v>
      </c>
      <c r="T173" s="420">
        <f t="shared" si="176"/>
        <v>147147.05772538032</v>
      </c>
      <c r="U173" s="420">
        <f t="shared" si="176"/>
        <v>156568.85164839728</v>
      </c>
      <c r="V173" s="420"/>
      <c r="W173" s="420">
        <f t="shared" ref="W173:AH173" si="177">W81+W98+W106+W114+W120+W121</f>
        <v>188984.05293151783</v>
      </c>
      <c r="X173" s="420">
        <f t="shared" si="177"/>
        <v>192514.96591033542</v>
      </c>
      <c r="Y173" s="420">
        <f t="shared" si="177"/>
        <v>225045.78341561364</v>
      </c>
      <c r="Z173" s="420">
        <f t="shared" si="177"/>
        <v>227096.67436709109</v>
      </c>
      <c r="AA173" s="420">
        <f t="shared" si="177"/>
        <v>246906.95617921485</v>
      </c>
      <c r="AB173" s="420">
        <f t="shared" si="177"/>
        <v>265255.46571799996</v>
      </c>
      <c r="AC173" s="420">
        <f t="shared" si="177"/>
        <v>304653.05008796073</v>
      </c>
      <c r="AD173" s="420">
        <f t="shared" si="177"/>
        <v>325644.4667780333</v>
      </c>
      <c r="AE173" s="420">
        <f t="shared" si="177"/>
        <v>349762.05504334316</v>
      </c>
      <c r="AF173" s="420">
        <f t="shared" si="177"/>
        <v>386474.60061985045</v>
      </c>
      <c r="AG173" s="420">
        <f t="shared" si="177"/>
        <v>405711.98915866157</v>
      </c>
      <c r="AH173" s="420">
        <f t="shared" si="177"/>
        <v>444770.41974939639</v>
      </c>
      <c r="AI173" s="420"/>
    </row>
    <row r="174" spans="2:35" s="138" customFormat="1">
      <c r="B174" s="279"/>
      <c r="C174" s="487"/>
      <c r="D174" s="487"/>
      <c r="E174" s="488"/>
      <c r="F174" s="495"/>
      <c r="G174" s="279"/>
      <c r="H174" s="136" t="s">
        <v>262</v>
      </c>
      <c r="I174" s="136"/>
      <c r="J174" s="420">
        <f t="shared" ref="J174:U174" si="178">J49+J95+J103+J111</f>
        <v>54900</v>
      </c>
      <c r="K174" s="420">
        <f t="shared" si="178"/>
        <v>54900</v>
      </c>
      <c r="L174" s="420">
        <f t="shared" si="178"/>
        <v>77600</v>
      </c>
      <c r="M174" s="420">
        <f t="shared" si="178"/>
        <v>82750</v>
      </c>
      <c r="N174" s="420">
        <f t="shared" si="178"/>
        <v>90100</v>
      </c>
      <c r="O174" s="420">
        <f t="shared" si="178"/>
        <v>86100</v>
      </c>
      <c r="P174" s="420">
        <f t="shared" si="178"/>
        <v>134550</v>
      </c>
      <c r="Q174" s="420">
        <f t="shared" si="178"/>
        <v>135700</v>
      </c>
      <c r="R174" s="420">
        <f t="shared" si="178"/>
        <v>156200</v>
      </c>
      <c r="S174" s="420">
        <f t="shared" si="178"/>
        <v>148200</v>
      </c>
      <c r="T174" s="420">
        <f t="shared" si="178"/>
        <v>159550</v>
      </c>
      <c r="U174" s="420">
        <f t="shared" si="178"/>
        <v>166900</v>
      </c>
      <c r="V174" s="420"/>
      <c r="W174" s="420">
        <f t="shared" ref="W174:AH174" si="179">W49+W95+W103+W111</f>
        <v>208950</v>
      </c>
      <c r="X174" s="420">
        <f t="shared" si="179"/>
        <v>196950</v>
      </c>
      <c r="Y174" s="420">
        <f t="shared" si="179"/>
        <v>208300</v>
      </c>
      <c r="Z174" s="420">
        <f t="shared" si="179"/>
        <v>217450</v>
      </c>
      <c r="AA174" s="420">
        <f t="shared" si="179"/>
        <v>224800</v>
      </c>
      <c r="AB174" s="420">
        <f t="shared" si="179"/>
        <v>244100</v>
      </c>
      <c r="AC174" s="420">
        <f t="shared" si="179"/>
        <v>250450</v>
      </c>
      <c r="AD174" s="420">
        <f t="shared" si="179"/>
        <v>246450</v>
      </c>
      <c r="AE174" s="420">
        <f t="shared" si="179"/>
        <v>246450</v>
      </c>
      <c r="AF174" s="420">
        <f t="shared" si="179"/>
        <v>246450</v>
      </c>
      <c r="AG174" s="420">
        <f t="shared" si="179"/>
        <v>259600</v>
      </c>
      <c r="AH174" s="420">
        <f t="shared" si="179"/>
        <v>255600</v>
      </c>
      <c r="AI174" s="420"/>
    </row>
    <row r="175" spans="2:35" s="138" customFormat="1">
      <c r="B175" s="279"/>
      <c r="C175" s="487"/>
      <c r="D175" s="487"/>
      <c r="E175" s="488"/>
      <c r="F175" s="495"/>
      <c r="G175" s="279"/>
      <c r="H175" s="136" t="s">
        <v>263</v>
      </c>
      <c r="I175" s="136"/>
      <c r="J175" s="420">
        <f t="shared" ref="J175:U175" si="180">J62+J96+J97+J104+J105+J112+J113+J122+J72</f>
        <v>120250</v>
      </c>
      <c r="K175" s="420">
        <f t="shared" si="180"/>
        <v>302400</v>
      </c>
      <c r="L175" s="420">
        <f t="shared" si="180"/>
        <v>291650</v>
      </c>
      <c r="M175" s="420">
        <f t="shared" si="180"/>
        <v>297650</v>
      </c>
      <c r="N175" s="420">
        <f t="shared" si="180"/>
        <v>330900</v>
      </c>
      <c r="O175" s="420">
        <f t="shared" si="180"/>
        <v>349350</v>
      </c>
      <c r="P175" s="420">
        <f t="shared" si="180"/>
        <v>355350</v>
      </c>
      <c r="Q175" s="420">
        <f t="shared" si="180"/>
        <v>365350</v>
      </c>
      <c r="R175" s="420">
        <f t="shared" si="180"/>
        <v>375350</v>
      </c>
      <c r="S175" s="420">
        <f t="shared" si="180"/>
        <v>385350</v>
      </c>
      <c r="T175" s="420">
        <f t="shared" si="180"/>
        <v>395350</v>
      </c>
      <c r="U175" s="420">
        <f t="shared" si="180"/>
        <v>405350</v>
      </c>
      <c r="V175" s="420"/>
      <c r="W175" s="420">
        <f t="shared" ref="W175:AH175" si="181">W62+W96+W97+W104+W105+W112+W113+W122+W72</f>
        <v>415350</v>
      </c>
      <c r="X175" s="420">
        <f t="shared" si="181"/>
        <v>440200</v>
      </c>
      <c r="Y175" s="420">
        <f t="shared" si="181"/>
        <v>457450</v>
      </c>
      <c r="Z175" s="420">
        <f t="shared" si="181"/>
        <v>463450</v>
      </c>
      <c r="AA175" s="420">
        <f t="shared" si="181"/>
        <v>473450</v>
      </c>
      <c r="AB175" s="420">
        <f t="shared" si="181"/>
        <v>539450</v>
      </c>
      <c r="AC175" s="420">
        <f t="shared" si="181"/>
        <v>533450</v>
      </c>
      <c r="AD175" s="420">
        <f t="shared" si="181"/>
        <v>595200</v>
      </c>
      <c r="AE175" s="420">
        <f t="shared" si="181"/>
        <v>637950</v>
      </c>
      <c r="AF175" s="420">
        <f t="shared" si="181"/>
        <v>649600</v>
      </c>
      <c r="AG175" s="420">
        <f t="shared" si="181"/>
        <v>655600</v>
      </c>
      <c r="AH175" s="420">
        <f t="shared" si="181"/>
        <v>665600</v>
      </c>
      <c r="AI175" s="420"/>
    </row>
    <row r="176" spans="2:35" s="138" customFormat="1">
      <c r="B176" s="279"/>
      <c r="C176" s="487"/>
      <c r="D176" s="487"/>
      <c r="E176" s="488"/>
      <c r="F176" s="495"/>
      <c r="G176" s="279"/>
      <c r="H176" s="136" t="s">
        <v>264</v>
      </c>
      <c r="I176" s="136"/>
      <c r="J176" s="420">
        <f t="shared" ref="J176:U176" si="182">J16+J94+J102+J110+SUM(J123:J126)</f>
        <v>244677.5</v>
      </c>
      <c r="K176" s="420">
        <f t="shared" si="182"/>
        <v>110783.3875</v>
      </c>
      <c r="L176" s="420">
        <f t="shared" si="182"/>
        <v>111932.71293750001</v>
      </c>
      <c r="M176" s="420">
        <f t="shared" si="182"/>
        <v>98141.331176562497</v>
      </c>
      <c r="N176" s="420">
        <f t="shared" si="182"/>
        <v>99410.105557726565</v>
      </c>
      <c r="O176" s="420">
        <f t="shared" si="182"/>
        <v>160992.4710964777</v>
      </c>
      <c r="P176" s="420">
        <f t="shared" si="182"/>
        <v>140316.16325080622</v>
      </c>
      <c r="Q176" s="420">
        <f t="shared" si="182"/>
        <v>179036.12758713291</v>
      </c>
      <c r="R176" s="420">
        <f t="shared" si="182"/>
        <v>136082.95138820657</v>
      </c>
      <c r="S176" s="420">
        <f t="shared" si="182"/>
        <v>172660.35251464145</v>
      </c>
      <c r="T176" s="420">
        <f t="shared" si="182"/>
        <v>168924.73983845901</v>
      </c>
      <c r="U176" s="420">
        <f t="shared" si="182"/>
        <v>227466.97155788075</v>
      </c>
      <c r="V176" s="420"/>
      <c r="W176" s="420">
        <f t="shared" ref="W176:AH176" si="183">W16+W94+W102+W110+SUM(W123:W126)</f>
        <v>189722.97231265754</v>
      </c>
      <c r="X176" s="420">
        <f t="shared" si="183"/>
        <v>237372.03877078553</v>
      </c>
      <c r="Y176" s="420">
        <f t="shared" si="183"/>
        <v>195132.81377389038</v>
      </c>
      <c r="Z176" s="420">
        <f t="shared" si="183"/>
        <v>228023.04374534771</v>
      </c>
      <c r="AA176" s="420">
        <f t="shared" si="183"/>
        <v>305686.44481130282</v>
      </c>
      <c r="AB176" s="420">
        <f t="shared" si="183"/>
        <v>260129.68571647056</v>
      </c>
      <c r="AC176" s="420">
        <f t="shared" si="183"/>
        <v>278713.558875271</v>
      </c>
      <c r="AD176" s="420">
        <f t="shared" si="183"/>
        <v>282720.27457531373</v>
      </c>
      <c r="AE176" s="420">
        <f t="shared" si="183"/>
        <v>271918.85590784892</v>
      </c>
      <c r="AF176" s="420">
        <f t="shared" si="183"/>
        <v>276320.35330579442</v>
      </c>
      <c r="AG176" s="420">
        <f t="shared" si="183"/>
        <v>277202.64068156568</v>
      </c>
      <c r="AH176" s="420">
        <f t="shared" si="183"/>
        <v>218538.48220552725</v>
      </c>
      <c r="AI176" s="420"/>
    </row>
    <row r="177" spans="2:35" s="138" customFormat="1">
      <c r="B177" s="279"/>
      <c r="C177" s="487"/>
      <c r="D177" s="487"/>
      <c r="E177" s="488"/>
      <c r="F177" s="495"/>
      <c r="G177" s="279"/>
      <c r="H177" s="136"/>
      <c r="I177" s="136"/>
      <c r="J177" s="420"/>
      <c r="K177" s="420"/>
      <c r="L177" s="420"/>
      <c r="M177" s="420"/>
      <c r="N177" s="420"/>
      <c r="O177" s="420"/>
      <c r="P177" s="420"/>
      <c r="Q177" s="420"/>
      <c r="R177" s="420"/>
      <c r="S177" s="420"/>
      <c r="T177" s="420"/>
      <c r="U177" s="420"/>
      <c r="V177" s="420"/>
      <c r="W177" s="420"/>
      <c r="X177" s="420"/>
      <c r="Y177" s="420"/>
      <c r="Z177" s="420"/>
      <c r="AA177" s="420"/>
      <c r="AB177" s="420"/>
      <c r="AC177" s="420"/>
      <c r="AD177" s="420"/>
      <c r="AE177" s="420"/>
      <c r="AF177" s="420"/>
      <c r="AG177" s="420"/>
      <c r="AH177" s="420"/>
      <c r="AI177" s="420"/>
    </row>
    <row r="178" spans="2:35">
      <c r="B178" s="7"/>
      <c r="C178" s="489"/>
      <c r="D178" s="489"/>
      <c r="E178" s="490"/>
      <c r="F178" s="490"/>
      <c r="G178" s="7"/>
      <c r="H178" s="7"/>
      <c r="I178" s="7"/>
      <c r="J178" s="7"/>
      <c r="K178" s="7"/>
      <c r="L178" s="7"/>
      <c r="M178" s="7"/>
      <c r="N178" s="7"/>
      <c r="O178" s="7"/>
      <c r="P178" s="7"/>
      <c r="Q178" s="7"/>
      <c r="R178" s="7"/>
      <c r="S178" s="7"/>
      <c r="T178" s="7"/>
      <c r="U178" s="7"/>
      <c r="V178" s="7"/>
      <c r="AF178" s="7"/>
      <c r="AG178" s="7"/>
      <c r="AH178" s="7"/>
      <c r="AI178" s="7"/>
    </row>
    <row r="179" spans="2:35">
      <c r="B179" s="7"/>
      <c r="C179" s="489"/>
      <c r="D179" s="489"/>
      <c r="E179" s="490"/>
      <c r="F179" s="490"/>
      <c r="G179" s="7"/>
      <c r="H179" s="7"/>
      <c r="I179" s="7"/>
      <c r="J179" s="7"/>
      <c r="K179" s="7"/>
      <c r="L179" s="7"/>
      <c r="M179" s="7"/>
      <c r="N179" s="7"/>
      <c r="O179" s="7"/>
      <c r="P179" s="7"/>
      <c r="Q179" s="7"/>
      <c r="R179" s="7"/>
      <c r="S179" s="7"/>
      <c r="T179" s="7"/>
      <c r="U179" s="7"/>
      <c r="V179" s="7"/>
      <c r="AF179" s="7"/>
      <c r="AG179" s="7"/>
      <c r="AH179" s="7"/>
      <c r="AI179" s="7"/>
    </row>
    <row r="180" spans="2:35">
      <c r="B180" s="7"/>
      <c r="C180" s="489"/>
      <c r="D180" s="489"/>
      <c r="E180" s="490"/>
      <c r="F180" s="490"/>
      <c r="G180" s="7"/>
      <c r="H180" s="7"/>
      <c r="I180" s="7"/>
      <c r="J180" s="7"/>
      <c r="K180" s="7"/>
      <c r="L180" s="7"/>
      <c r="M180" s="7"/>
      <c r="N180" s="7"/>
      <c r="O180" s="7"/>
      <c r="P180" s="7"/>
      <c r="Q180" s="7"/>
      <c r="R180" s="7"/>
      <c r="S180" s="7"/>
      <c r="T180" s="7"/>
      <c r="U180" s="7"/>
      <c r="V180" s="7"/>
      <c r="AF180" s="7"/>
      <c r="AG180" s="7"/>
      <c r="AH180" s="7"/>
      <c r="AI180" s="7"/>
    </row>
    <row r="181" spans="2:35">
      <c r="B181" s="7"/>
      <c r="C181" s="489"/>
      <c r="D181" s="489"/>
      <c r="E181" s="490"/>
      <c r="F181" s="490"/>
      <c r="G181" s="7"/>
      <c r="H181" s="7"/>
      <c r="I181" s="7"/>
      <c r="J181" s="7"/>
      <c r="K181" s="7"/>
      <c r="L181" s="7"/>
      <c r="M181" s="7"/>
      <c r="N181" s="7"/>
      <c r="O181" s="7"/>
      <c r="P181" s="7"/>
      <c r="Q181" s="7"/>
      <c r="R181" s="7"/>
      <c r="S181" s="7"/>
      <c r="T181" s="7"/>
      <c r="U181" s="7"/>
      <c r="V181" s="7"/>
      <c r="AF181" s="7"/>
      <c r="AG181" s="7"/>
      <c r="AH181" s="7"/>
      <c r="AI181" s="7"/>
    </row>
    <row r="182" spans="2:35">
      <c r="B182" s="7"/>
      <c r="C182" s="489"/>
      <c r="D182" s="489"/>
      <c r="E182" s="490"/>
      <c r="F182" s="490"/>
      <c r="G182" s="7"/>
      <c r="H182" s="7"/>
      <c r="I182" s="7"/>
      <c r="J182" s="7"/>
      <c r="K182" s="7"/>
      <c r="L182" s="7"/>
      <c r="M182" s="7"/>
      <c r="N182" s="7"/>
      <c r="O182" s="7"/>
      <c r="P182" s="7"/>
      <c r="Q182" s="7"/>
      <c r="R182" s="7"/>
      <c r="S182" s="7"/>
      <c r="T182" s="7"/>
      <c r="U182" s="7"/>
      <c r="V182" s="7"/>
      <c r="AF182" s="7"/>
      <c r="AG182" s="7"/>
      <c r="AH182" s="7"/>
      <c r="AI182" s="7"/>
    </row>
    <row r="183" spans="2:35">
      <c r="B183" s="7"/>
      <c r="C183" s="489"/>
      <c r="D183" s="489"/>
      <c r="E183" s="490"/>
      <c r="F183" s="490"/>
      <c r="G183" s="7"/>
      <c r="H183" s="7"/>
      <c r="I183" s="7"/>
      <c r="J183" s="7"/>
      <c r="K183" s="7"/>
      <c r="L183" s="7"/>
      <c r="M183" s="7"/>
      <c r="N183" s="7"/>
      <c r="O183" s="7"/>
      <c r="P183" s="7"/>
      <c r="Q183" s="7"/>
      <c r="R183" s="7"/>
      <c r="S183" s="7"/>
      <c r="T183" s="7"/>
      <c r="U183" s="7"/>
      <c r="V183" s="7"/>
      <c r="AF183" s="7"/>
      <c r="AG183" s="7"/>
      <c r="AH183" s="7"/>
      <c r="AI183" s="7"/>
    </row>
    <row r="184" spans="2:35">
      <c r="B184" s="7"/>
      <c r="C184" s="489"/>
      <c r="D184" s="489"/>
      <c r="E184" s="490"/>
      <c r="F184" s="490"/>
      <c r="G184" s="7"/>
      <c r="H184" s="7"/>
      <c r="I184" s="7"/>
      <c r="J184" s="7"/>
      <c r="K184" s="7"/>
      <c r="L184" s="7"/>
      <c r="M184" s="7"/>
      <c r="N184" s="7"/>
      <c r="O184" s="7"/>
      <c r="P184" s="7"/>
      <c r="Q184" s="7"/>
      <c r="R184" s="7"/>
      <c r="S184" s="7"/>
      <c r="T184" s="7"/>
      <c r="U184" s="7"/>
      <c r="V184" s="7"/>
      <c r="AF184" s="7"/>
      <c r="AG184" s="7"/>
      <c r="AH184" s="7"/>
      <c r="AI184" s="7"/>
    </row>
    <row r="185" spans="2:35">
      <c r="B185" s="7"/>
      <c r="C185" s="489"/>
      <c r="D185" s="489"/>
      <c r="E185" s="490"/>
      <c r="F185" s="490"/>
      <c r="G185" s="7"/>
      <c r="H185" s="7"/>
      <c r="I185" s="7"/>
      <c r="J185" s="7"/>
      <c r="K185" s="7"/>
      <c r="L185" s="7"/>
      <c r="M185" s="7"/>
      <c r="N185" s="7"/>
      <c r="O185" s="7"/>
      <c r="P185" s="7"/>
      <c r="Q185" s="7"/>
      <c r="R185" s="7"/>
      <c r="S185" s="7"/>
      <c r="T185" s="7"/>
      <c r="U185" s="7"/>
      <c r="V185" s="7"/>
      <c r="AF185" s="7"/>
      <c r="AG185" s="7"/>
      <c r="AH185" s="7"/>
      <c r="AI185" s="7"/>
    </row>
    <row r="186" spans="2:35">
      <c r="B186" s="7"/>
      <c r="C186" s="489"/>
      <c r="D186" s="489"/>
      <c r="E186" s="490"/>
      <c r="F186" s="490"/>
      <c r="G186" s="7"/>
      <c r="H186" s="7"/>
      <c r="I186" s="7"/>
      <c r="J186" s="7"/>
      <c r="K186" s="7"/>
      <c r="L186" s="7"/>
      <c r="M186" s="7"/>
      <c r="N186" s="7"/>
      <c r="O186" s="7"/>
      <c r="P186" s="7"/>
      <c r="Q186" s="7"/>
      <c r="R186" s="7"/>
      <c r="S186" s="7"/>
      <c r="T186" s="7"/>
      <c r="U186" s="7"/>
      <c r="V186" s="7"/>
      <c r="AF186" s="7"/>
      <c r="AG186" s="7"/>
      <c r="AH186" s="7"/>
      <c r="AI186" s="7"/>
    </row>
    <row r="187" spans="2:35">
      <c r="B187" s="7"/>
      <c r="C187" s="489"/>
      <c r="D187" s="489"/>
      <c r="E187" s="490"/>
      <c r="F187" s="490"/>
      <c r="G187" s="7"/>
      <c r="H187" s="7"/>
      <c r="I187" s="7"/>
      <c r="J187" s="7"/>
      <c r="K187" s="7"/>
      <c r="L187" s="7"/>
      <c r="M187" s="7"/>
      <c r="N187" s="7"/>
      <c r="O187" s="7"/>
      <c r="P187" s="7"/>
      <c r="Q187" s="7"/>
      <c r="R187" s="7"/>
      <c r="S187" s="7"/>
      <c r="T187" s="7"/>
      <c r="U187" s="7"/>
      <c r="V187" s="7"/>
      <c r="AF187" s="7"/>
      <c r="AG187" s="7"/>
      <c r="AH187" s="7"/>
      <c r="AI187" s="7"/>
    </row>
    <row r="188" spans="2:35">
      <c r="B188" s="7"/>
      <c r="C188" s="489"/>
      <c r="D188" s="489"/>
      <c r="E188" s="490"/>
      <c r="F188" s="490"/>
      <c r="G188" s="7"/>
      <c r="H188" s="7"/>
      <c r="I188" s="7"/>
      <c r="J188" s="7"/>
      <c r="K188" s="7"/>
      <c r="L188" s="7"/>
      <c r="M188" s="7"/>
      <c r="N188" s="7"/>
      <c r="O188" s="7"/>
      <c r="P188" s="7"/>
      <c r="Q188" s="7"/>
      <c r="R188" s="7"/>
      <c r="S188" s="7"/>
      <c r="T188" s="7"/>
      <c r="U188" s="7"/>
      <c r="V188" s="7"/>
      <c r="AF188" s="7"/>
      <c r="AG188" s="7"/>
      <c r="AH188" s="7"/>
      <c r="AI188" s="7"/>
    </row>
    <row r="189" spans="2:35">
      <c r="B189" s="7"/>
      <c r="C189" s="489"/>
      <c r="D189" s="489"/>
      <c r="E189" s="490"/>
      <c r="F189" s="490"/>
      <c r="G189" s="7"/>
      <c r="H189" s="7"/>
      <c r="I189" s="7"/>
      <c r="J189" s="7"/>
      <c r="K189" s="7"/>
      <c r="L189" s="7"/>
      <c r="M189" s="7"/>
      <c r="N189" s="7"/>
      <c r="O189" s="7"/>
      <c r="P189" s="7"/>
      <c r="Q189" s="7"/>
      <c r="R189" s="7"/>
      <c r="S189" s="7"/>
      <c r="T189" s="7"/>
      <c r="U189" s="7"/>
      <c r="V189" s="7"/>
      <c r="AF189" s="7"/>
      <c r="AG189" s="7"/>
      <c r="AH189" s="7"/>
      <c r="AI189" s="7"/>
    </row>
    <row r="190" spans="2:35">
      <c r="B190" s="7"/>
      <c r="C190" s="489"/>
      <c r="D190" s="489"/>
      <c r="E190" s="490"/>
      <c r="F190" s="490"/>
      <c r="G190" s="7"/>
      <c r="H190" s="7"/>
      <c r="I190" s="7"/>
      <c r="J190" s="7"/>
      <c r="K190" s="7"/>
      <c r="L190" s="7"/>
      <c r="M190" s="7"/>
      <c r="N190" s="7"/>
      <c r="O190" s="7"/>
      <c r="P190" s="7"/>
      <c r="Q190" s="7"/>
      <c r="R190" s="7"/>
      <c r="S190" s="7"/>
      <c r="T190" s="7"/>
      <c r="U190" s="7"/>
      <c r="V190" s="7"/>
      <c r="AF190" s="7"/>
      <c r="AG190" s="7"/>
      <c r="AH190" s="7"/>
      <c r="AI190" s="7"/>
    </row>
    <row r="191" spans="2:35">
      <c r="B191" s="7"/>
      <c r="C191" s="489"/>
      <c r="D191" s="489"/>
      <c r="E191" s="490"/>
      <c r="F191" s="490"/>
      <c r="G191" s="7"/>
      <c r="H191" s="7"/>
      <c r="I191" s="7"/>
      <c r="J191" s="7"/>
      <c r="K191" s="7"/>
      <c r="L191" s="7"/>
      <c r="M191" s="7"/>
      <c r="N191" s="7"/>
      <c r="O191" s="7"/>
      <c r="P191" s="7"/>
      <c r="Q191" s="7"/>
      <c r="R191" s="7"/>
      <c r="S191" s="7"/>
      <c r="T191" s="7"/>
      <c r="U191" s="7"/>
      <c r="V191" s="7"/>
      <c r="AF191" s="7"/>
      <c r="AG191" s="7"/>
      <c r="AH191" s="7"/>
      <c r="AI191" s="7"/>
    </row>
    <row r="192" spans="2:35">
      <c r="B192" s="7"/>
      <c r="C192" s="489"/>
      <c r="D192" s="489"/>
      <c r="E192" s="490"/>
      <c r="F192" s="490"/>
      <c r="G192" s="7"/>
      <c r="H192" s="7"/>
      <c r="I192" s="7"/>
      <c r="J192" s="7"/>
      <c r="K192" s="7"/>
      <c r="L192" s="7"/>
      <c r="M192" s="7"/>
      <c r="N192" s="7"/>
      <c r="O192" s="7"/>
      <c r="P192" s="7"/>
      <c r="Q192" s="7"/>
      <c r="R192" s="7"/>
      <c r="S192" s="7"/>
      <c r="T192" s="7"/>
      <c r="U192" s="7"/>
      <c r="V192" s="7"/>
      <c r="AF192" s="7"/>
      <c r="AG192" s="7"/>
      <c r="AH192" s="7"/>
      <c r="AI192" s="7"/>
    </row>
    <row r="193" spans="2:35">
      <c r="B193" s="7"/>
      <c r="C193" s="489"/>
      <c r="D193" s="489"/>
      <c r="E193" s="490"/>
      <c r="F193" s="490"/>
      <c r="G193" s="7"/>
      <c r="H193" s="7"/>
      <c r="I193" s="7"/>
      <c r="J193" s="7"/>
      <c r="K193" s="7"/>
      <c r="L193" s="7"/>
      <c r="M193" s="7"/>
      <c r="N193" s="7"/>
      <c r="O193" s="7"/>
      <c r="P193" s="7"/>
      <c r="Q193" s="7"/>
      <c r="R193" s="7"/>
      <c r="S193" s="7"/>
      <c r="T193" s="7"/>
      <c r="U193" s="7"/>
      <c r="V193" s="7"/>
      <c r="AF193" s="7"/>
      <c r="AG193" s="7"/>
      <c r="AH193" s="7"/>
      <c r="AI193" s="7"/>
    </row>
    <row r="194" spans="2:35">
      <c r="B194" s="7"/>
      <c r="C194" s="489"/>
      <c r="D194" s="489"/>
      <c r="E194" s="490"/>
      <c r="F194" s="490"/>
      <c r="G194" s="7"/>
      <c r="H194" s="7"/>
      <c r="I194" s="7"/>
      <c r="J194" s="7"/>
      <c r="K194" s="7"/>
      <c r="L194" s="7"/>
      <c r="M194" s="7"/>
      <c r="N194" s="7"/>
      <c r="O194" s="7"/>
      <c r="P194" s="7"/>
      <c r="Q194" s="7"/>
      <c r="R194" s="7"/>
      <c r="S194" s="7"/>
      <c r="T194" s="7"/>
      <c r="U194" s="7"/>
      <c r="V194" s="7"/>
      <c r="AF194" s="7"/>
      <c r="AG194" s="7"/>
      <c r="AH194" s="7"/>
      <c r="AI194" s="7"/>
    </row>
    <row r="195" spans="2:35">
      <c r="B195" s="7"/>
      <c r="C195" s="489"/>
      <c r="D195" s="489"/>
      <c r="E195" s="490"/>
      <c r="F195" s="490"/>
      <c r="G195" s="7"/>
      <c r="H195" s="7"/>
      <c r="I195" s="7"/>
      <c r="J195" s="7"/>
      <c r="K195" s="7"/>
      <c r="L195" s="7"/>
      <c r="M195" s="7"/>
      <c r="N195" s="7"/>
      <c r="O195" s="7"/>
      <c r="P195" s="7"/>
      <c r="Q195" s="7"/>
      <c r="R195" s="7"/>
      <c r="S195" s="7"/>
      <c r="T195" s="7"/>
      <c r="U195" s="7"/>
      <c r="V195" s="7"/>
      <c r="AF195" s="7"/>
      <c r="AG195" s="7"/>
      <c r="AH195" s="7"/>
      <c r="AI195" s="7"/>
    </row>
    <row r="196" spans="2:35">
      <c r="B196" s="7"/>
      <c r="C196" s="489"/>
      <c r="D196" s="489"/>
      <c r="E196" s="490"/>
      <c r="F196" s="490"/>
      <c r="G196" s="7"/>
      <c r="H196" s="7"/>
      <c r="I196" s="7"/>
      <c r="J196" s="7"/>
      <c r="K196" s="7"/>
      <c r="L196" s="7"/>
      <c r="M196" s="7"/>
      <c r="N196" s="7"/>
      <c r="O196" s="7"/>
      <c r="P196" s="7"/>
      <c r="Q196" s="7"/>
      <c r="R196" s="7"/>
      <c r="S196" s="7"/>
      <c r="T196" s="7"/>
      <c r="U196" s="7"/>
      <c r="V196" s="7"/>
      <c r="AF196" s="7"/>
      <c r="AG196" s="7"/>
      <c r="AH196" s="7"/>
      <c r="AI196" s="7"/>
    </row>
    <row r="197" spans="2:35">
      <c r="B197" s="7"/>
      <c r="C197" s="489"/>
      <c r="D197" s="489"/>
      <c r="E197" s="490"/>
      <c r="F197" s="490"/>
      <c r="G197" s="7"/>
      <c r="H197" s="7"/>
      <c r="I197" s="7"/>
      <c r="J197" s="7"/>
      <c r="K197" s="7"/>
      <c r="L197" s="7"/>
      <c r="M197" s="7"/>
      <c r="N197" s="7"/>
      <c r="O197" s="7"/>
      <c r="P197" s="7"/>
      <c r="Q197" s="7"/>
      <c r="R197" s="7"/>
      <c r="S197" s="7"/>
      <c r="T197" s="7"/>
      <c r="U197" s="7"/>
      <c r="V197" s="7"/>
      <c r="AF197" s="7"/>
      <c r="AG197" s="7"/>
      <c r="AH197" s="7"/>
      <c r="AI197" s="7"/>
    </row>
    <row r="198" spans="2:35">
      <c r="B198" s="7"/>
      <c r="C198" s="489"/>
      <c r="D198" s="489"/>
      <c r="E198" s="490"/>
      <c r="F198" s="490"/>
      <c r="G198" s="7"/>
      <c r="H198" s="7"/>
      <c r="I198" s="7"/>
      <c r="J198" s="7"/>
      <c r="K198" s="7"/>
      <c r="L198" s="7"/>
      <c r="M198" s="7"/>
      <c r="N198" s="7"/>
      <c r="O198" s="7"/>
      <c r="P198" s="7"/>
      <c r="Q198" s="7"/>
      <c r="R198" s="7"/>
      <c r="S198" s="7"/>
      <c r="T198" s="7"/>
      <c r="U198" s="7"/>
      <c r="V198" s="7"/>
    </row>
    <row r="199" spans="2:35">
      <c r="B199" s="7"/>
      <c r="C199" s="489"/>
      <c r="D199" s="489"/>
      <c r="E199" s="490"/>
      <c r="F199" s="490"/>
      <c r="G199" s="7"/>
      <c r="H199" s="7"/>
      <c r="I199" s="7"/>
      <c r="J199" s="7"/>
      <c r="K199" s="7"/>
      <c r="L199" s="7"/>
      <c r="M199" s="7"/>
      <c r="N199" s="7"/>
      <c r="O199" s="7"/>
      <c r="P199" s="7"/>
      <c r="Q199" s="7"/>
      <c r="R199" s="7"/>
      <c r="S199" s="7"/>
      <c r="T199" s="7"/>
      <c r="U199" s="7"/>
      <c r="V199" s="7"/>
    </row>
    <row r="200" spans="2:35">
      <c r="B200" s="7"/>
      <c r="C200" s="489"/>
      <c r="D200" s="489"/>
      <c r="E200" s="490"/>
      <c r="F200" s="490"/>
      <c r="G200" s="7"/>
      <c r="H200" s="7"/>
      <c r="I200" s="7"/>
      <c r="J200" s="7"/>
      <c r="K200" s="7"/>
      <c r="L200" s="7"/>
      <c r="M200" s="7"/>
      <c r="N200" s="7"/>
      <c r="O200" s="7"/>
      <c r="P200" s="7"/>
      <c r="Q200" s="7"/>
      <c r="R200" s="7"/>
      <c r="S200" s="7"/>
      <c r="T200" s="7"/>
      <c r="U200" s="7"/>
      <c r="V200" s="7"/>
    </row>
    <row r="201" spans="2:35">
      <c r="B201" s="7"/>
      <c r="C201" s="489"/>
      <c r="D201" s="489"/>
      <c r="E201" s="490"/>
      <c r="F201" s="490"/>
      <c r="G201" s="7"/>
      <c r="H201" s="7"/>
      <c r="I201" s="7"/>
      <c r="J201" s="7"/>
      <c r="K201" s="7"/>
      <c r="L201" s="7"/>
      <c r="M201" s="7"/>
      <c r="N201" s="7"/>
      <c r="O201" s="7"/>
      <c r="P201" s="7"/>
      <c r="Q201" s="7"/>
      <c r="R201" s="7"/>
      <c r="S201" s="7"/>
      <c r="T201" s="7"/>
      <c r="U201" s="7"/>
      <c r="V201" s="7"/>
    </row>
    <row r="202" spans="2:35">
      <c r="B202" s="7"/>
      <c r="C202" s="489"/>
      <c r="D202" s="489"/>
      <c r="E202" s="490"/>
      <c r="F202" s="490"/>
      <c r="G202" s="7"/>
      <c r="H202" s="7"/>
      <c r="I202" s="7"/>
      <c r="J202" s="7"/>
      <c r="K202" s="7"/>
      <c r="L202" s="7"/>
      <c r="M202" s="7"/>
      <c r="N202" s="7"/>
      <c r="O202" s="7"/>
      <c r="P202" s="7"/>
      <c r="Q202" s="7"/>
      <c r="R202" s="7"/>
      <c r="S202" s="7"/>
      <c r="T202" s="7"/>
      <c r="U202" s="7"/>
      <c r="V202" s="7"/>
    </row>
    <row r="203" spans="2:35">
      <c r="B203" s="7"/>
      <c r="C203" s="489"/>
      <c r="D203" s="489"/>
      <c r="E203" s="490"/>
      <c r="F203" s="490"/>
      <c r="G203" s="7"/>
      <c r="H203" s="7"/>
      <c r="I203" s="7"/>
      <c r="J203" s="7"/>
      <c r="K203" s="7"/>
      <c r="L203" s="7"/>
      <c r="M203" s="7"/>
      <c r="N203" s="7"/>
      <c r="O203" s="7"/>
      <c r="P203" s="7"/>
      <c r="Q203" s="7"/>
      <c r="R203" s="7"/>
      <c r="S203" s="7"/>
      <c r="T203" s="7"/>
      <c r="U203" s="7"/>
      <c r="V203" s="7"/>
    </row>
    <row r="204" spans="2:35">
      <c r="B204" s="7"/>
      <c r="C204" s="489"/>
      <c r="D204" s="489"/>
      <c r="E204" s="490"/>
      <c r="F204" s="490"/>
      <c r="G204" s="7"/>
      <c r="H204" s="7"/>
      <c r="I204" s="7"/>
      <c r="J204" s="7"/>
      <c r="K204" s="7"/>
      <c r="L204" s="7"/>
      <c r="M204" s="7"/>
      <c r="N204" s="7"/>
      <c r="O204" s="7"/>
      <c r="P204" s="7"/>
      <c r="Q204" s="7"/>
      <c r="R204" s="7"/>
      <c r="S204" s="7"/>
      <c r="T204" s="7"/>
      <c r="U204" s="7"/>
      <c r="V204" s="7"/>
    </row>
    <row r="205" spans="2:35">
      <c r="B205" s="7"/>
      <c r="C205" s="489"/>
      <c r="D205" s="489"/>
      <c r="E205" s="490"/>
      <c r="F205" s="490"/>
      <c r="G205" s="7"/>
      <c r="H205" s="7"/>
      <c r="I205" s="7"/>
      <c r="J205" s="7"/>
      <c r="K205" s="7"/>
      <c r="L205" s="7"/>
      <c r="M205" s="7"/>
      <c r="N205" s="7"/>
      <c r="O205" s="7"/>
      <c r="P205" s="7"/>
      <c r="Q205" s="7"/>
      <c r="R205" s="7"/>
      <c r="S205" s="7"/>
      <c r="T205" s="7"/>
      <c r="U205" s="7"/>
      <c r="V205" s="7"/>
    </row>
    <row r="206" spans="2:35">
      <c r="B206" s="7"/>
      <c r="C206" s="489"/>
      <c r="D206" s="489"/>
      <c r="E206" s="490"/>
      <c r="F206" s="490"/>
      <c r="G206" s="7"/>
      <c r="H206" s="7"/>
      <c r="I206" s="7"/>
      <c r="J206" s="7"/>
      <c r="K206" s="7"/>
      <c r="L206" s="7"/>
      <c r="M206" s="7"/>
      <c r="N206" s="7"/>
      <c r="O206" s="7"/>
      <c r="P206" s="7"/>
      <c r="Q206" s="7"/>
      <c r="R206" s="7"/>
      <c r="S206" s="7"/>
      <c r="T206" s="7"/>
      <c r="U206" s="7"/>
      <c r="V206" s="7"/>
    </row>
    <row r="207" spans="2:35">
      <c r="B207" s="7"/>
      <c r="C207" s="489"/>
      <c r="D207" s="489"/>
      <c r="E207" s="490"/>
      <c r="F207" s="490"/>
      <c r="G207" s="7"/>
      <c r="H207" s="7"/>
      <c r="I207" s="7"/>
      <c r="J207" s="7"/>
      <c r="K207" s="7"/>
      <c r="L207" s="7"/>
      <c r="M207" s="7"/>
      <c r="N207" s="7"/>
      <c r="O207" s="7"/>
      <c r="P207" s="7"/>
      <c r="Q207" s="7"/>
      <c r="R207" s="7"/>
      <c r="S207" s="7"/>
      <c r="T207" s="7"/>
      <c r="U207" s="7"/>
      <c r="V207" s="7"/>
    </row>
    <row r="208" spans="2:35">
      <c r="B208" s="7"/>
      <c r="C208" s="489"/>
      <c r="D208" s="489"/>
      <c r="E208" s="490"/>
      <c r="F208" s="490"/>
      <c r="G208" s="7"/>
      <c r="H208" s="7"/>
      <c r="I208" s="7"/>
      <c r="J208" s="7"/>
      <c r="K208" s="7"/>
      <c r="L208" s="7"/>
      <c r="M208" s="7"/>
      <c r="N208" s="7"/>
      <c r="O208" s="7"/>
      <c r="P208" s="7"/>
      <c r="Q208" s="7"/>
      <c r="R208" s="7"/>
      <c r="S208" s="7"/>
      <c r="T208" s="7"/>
      <c r="U208" s="7"/>
      <c r="V208" s="7"/>
    </row>
    <row r="209" spans="2:22">
      <c r="B209" s="7"/>
      <c r="C209" s="489"/>
      <c r="D209" s="489"/>
      <c r="E209" s="490"/>
      <c r="F209" s="490"/>
      <c r="G209" s="7"/>
      <c r="H209" s="7"/>
      <c r="I209" s="7"/>
      <c r="J209" s="7"/>
      <c r="K209" s="7"/>
      <c r="L209" s="7"/>
      <c r="M209" s="7"/>
      <c r="N209" s="7"/>
      <c r="O209" s="7"/>
      <c r="P209" s="7"/>
      <c r="Q209" s="7"/>
      <c r="R209" s="7"/>
      <c r="S209" s="7"/>
      <c r="T209" s="7"/>
      <c r="U209" s="7"/>
      <c r="V209" s="7"/>
    </row>
    <row r="210" spans="2:22">
      <c r="B210" s="7"/>
      <c r="C210" s="489"/>
      <c r="D210" s="489"/>
      <c r="E210" s="490"/>
      <c r="F210" s="490"/>
      <c r="G210" s="7"/>
      <c r="H210" s="7"/>
      <c r="I210" s="7"/>
      <c r="J210" s="7"/>
      <c r="K210" s="7"/>
      <c r="L210" s="7"/>
      <c r="M210" s="7"/>
      <c r="N210" s="7"/>
      <c r="O210" s="7"/>
      <c r="P210" s="7"/>
      <c r="Q210" s="7"/>
      <c r="R210" s="7"/>
      <c r="S210" s="7"/>
      <c r="T210" s="7"/>
      <c r="U210" s="7"/>
      <c r="V210" s="7"/>
    </row>
    <row r="211" spans="2:22">
      <c r="B211" s="7"/>
      <c r="C211" s="489"/>
      <c r="D211" s="489"/>
      <c r="E211" s="490"/>
      <c r="F211" s="490"/>
      <c r="G211" s="7"/>
      <c r="H211" s="7"/>
      <c r="I211" s="7"/>
      <c r="J211" s="7"/>
      <c r="K211" s="7"/>
      <c r="L211" s="7"/>
      <c r="M211" s="7"/>
      <c r="N211" s="7"/>
      <c r="O211" s="7"/>
      <c r="P211" s="7"/>
      <c r="Q211" s="7"/>
      <c r="R211" s="7"/>
      <c r="S211" s="7"/>
      <c r="T211" s="7"/>
      <c r="U211" s="7"/>
      <c r="V211" s="7"/>
    </row>
    <row r="212" spans="2:22">
      <c r="B212" s="7"/>
      <c r="C212" s="489"/>
      <c r="D212" s="489"/>
      <c r="E212" s="490"/>
      <c r="F212" s="490"/>
      <c r="G212" s="7"/>
      <c r="H212" s="7"/>
      <c r="I212" s="7"/>
      <c r="J212" s="7"/>
      <c r="K212" s="7"/>
      <c r="L212" s="7"/>
      <c r="M212" s="7"/>
      <c r="N212" s="7"/>
      <c r="O212" s="7"/>
      <c r="P212" s="7"/>
      <c r="Q212" s="7"/>
      <c r="R212" s="7"/>
      <c r="S212" s="7"/>
      <c r="T212" s="7"/>
      <c r="U212" s="7"/>
      <c r="V212" s="7"/>
    </row>
    <row r="213" spans="2:22">
      <c r="B213" s="7"/>
      <c r="C213" s="489"/>
      <c r="D213" s="489"/>
      <c r="E213" s="490"/>
      <c r="F213" s="490"/>
      <c r="G213" s="7"/>
      <c r="H213" s="7"/>
      <c r="I213" s="7"/>
      <c r="J213" s="7"/>
      <c r="K213" s="7"/>
      <c r="L213" s="7"/>
      <c r="M213" s="7"/>
      <c r="N213" s="7"/>
      <c r="O213" s="7"/>
      <c r="P213" s="7"/>
      <c r="Q213" s="7"/>
      <c r="R213" s="7"/>
      <c r="S213" s="7"/>
      <c r="T213" s="7"/>
      <c r="U213" s="7"/>
      <c r="V213" s="7"/>
    </row>
    <row r="214" spans="2:22">
      <c r="B214" s="7"/>
      <c r="C214" s="489"/>
      <c r="D214" s="489"/>
      <c r="E214" s="490"/>
      <c r="F214" s="490"/>
      <c r="G214" s="7"/>
      <c r="H214" s="7"/>
      <c r="I214" s="7"/>
      <c r="J214" s="7"/>
      <c r="K214" s="7"/>
      <c r="L214" s="7"/>
      <c r="M214" s="7"/>
      <c r="N214" s="7"/>
      <c r="O214" s="7"/>
      <c r="P214" s="7"/>
      <c r="Q214" s="7"/>
      <c r="R214" s="7"/>
      <c r="S214" s="7"/>
      <c r="T214" s="7"/>
      <c r="U214" s="7"/>
      <c r="V214" s="7"/>
    </row>
    <row r="215" spans="2:22">
      <c r="B215" s="7"/>
      <c r="C215" s="489"/>
      <c r="D215" s="489"/>
      <c r="E215" s="490"/>
      <c r="F215" s="490"/>
      <c r="G215" s="7"/>
      <c r="H215" s="7"/>
      <c r="I215" s="7"/>
      <c r="J215" s="7"/>
      <c r="K215" s="7"/>
      <c r="L215" s="7"/>
      <c r="M215" s="7"/>
      <c r="N215" s="7"/>
      <c r="O215" s="7"/>
      <c r="P215" s="7"/>
      <c r="Q215" s="7"/>
      <c r="R215" s="7"/>
      <c r="S215" s="7"/>
      <c r="T215" s="7"/>
      <c r="U215" s="7"/>
      <c r="V215" s="7"/>
    </row>
    <row r="216" spans="2:22">
      <c r="B216" s="7"/>
      <c r="C216" s="489"/>
      <c r="D216" s="489"/>
      <c r="E216" s="490"/>
      <c r="F216" s="490"/>
      <c r="G216" s="7"/>
      <c r="H216" s="7"/>
      <c r="I216" s="7"/>
      <c r="J216" s="7"/>
      <c r="K216" s="7"/>
      <c r="L216" s="7"/>
      <c r="M216" s="7"/>
      <c r="N216" s="7"/>
      <c r="O216" s="7"/>
      <c r="P216" s="7"/>
      <c r="Q216" s="7"/>
      <c r="R216" s="7"/>
      <c r="S216" s="7"/>
      <c r="T216" s="7"/>
      <c r="U216" s="7"/>
      <c r="V216" s="7"/>
    </row>
    <row r="217" spans="2:22">
      <c r="B217" s="7"/>
      <c r="C217" s="489"/>
      <c r="D217" s="489"/>
      <c r="E217" s="490"/>
      <c r="F217" s="490"/>
      <c r="G217" s="7"/>
      <c r="H217" s="7"/>
      <c r="I217" s="7"/>
      <c r="J217" s="7"/>
      <c r="K217" s="7"/>
      <c r="L217" s="7"/>
      <c r="M217" s="7"/>
      <c r="N217" s="7"/>
      <c r="O217" s="7"/>
      <c r="P217" s="7"/>
      <c r="Q217" s="7"/>
      <c r="R217" s="7"/>
      <c r="S217" s="7"/>
      <c r="T217" s="7"/>
      <c r="U217" s="7"/>
      <c r="V217" s="7"/>
    </row>
    <row r="218" spans="2:22">
      <c r="B218" s="7"/>
      <c r="C218" s="489"/>
      <c r="D218" s="489"/>
      <c r="E218" s="490"/>
      <c r="F218" s="490"/>
      <c r="G218" s="7"/>
      <c r="H218" s="7"/>
      <c r="I218" s="7"/>
      <c r="J218" s="7"/>
      <c r="K218" s="7"/>
      <c r="L218" s="7"/>
      <c r="M218" s="7"/>
      <c r="N218" s="7"/>
      <c r="O218" s="7"/>
      <c r="P218" s="7"/>
      <c r="Q218" s="7"/>
      <c r="R218" s="7"/>
      <c r="S218" s="7"/>
      <c r="T218" s="7"/>
      <c r="U218" s="7"/>
      <c r="V218" s="7"/>
    </row>
    <row r="219" spans="2:22">
      <c r="B219" s="7"/>
      <c r="C219" s="489"/>
      <c r="D219" s="489"/>
      <c r="E219" s="490"/>
      <c r="F219" s="490"/>
      <c r="G219" s="7"/>
      <c r="H219" s="7"/>
      <c r="I219" s="7"/>
      <c r="J219" s="7"/>
      <c r="K219" s="7"/>
      <c r="L219" s="7"/>
      <c r="M219" s="7"/>
      <c r="N219" s="7"/>
      <c r="O219" s="7"/>
      <c r="P219" s="7"/>
      <c r="Q219" s="7"/>
      <c r="R219" s="7"/>
      <c r="S219" s="7"/>
      <c r="T219" s="7"/>
      <c r="U219" s="7"/>
      <c r="V219" s="7"/>
    </row>
    <row r="220" spans="2:22">
      <c r="B220" s="7"/>
      <c r="C220" s="489"/>
      <c r="D220" s="489"/>
      <c r="E220" s="490"/>
      <c r="F220" s="490"/>
      <c r="G220" s="7"/>
      <c r="H220" s="7"/>
      <c r="I220" s="7"/>
      <c r="J220" s="7"/>
      <c r="K220" s="7"/>
      <c r="L220" s="7"/>
      <c r="M220" s="7"/>
      <c r="N220" s="7"/>
      <c r="O220" s="7"/>
      <c r="P220" s="7"/>
      <c r="Q220" s="7"/>
      <c r="R220" s="7"/>
      <c r="S220" s="7"/>
      <c r="T220" s="7"/>
      <c r="U220" s="7"/>
      <c r="V220" s="7"/>
    </row>
    <row r="221" spans="2:22">
      <c r="B221" s="7"/>
      <c r="C221" s="489"/>
      <c r="D221" s="489"/>
      <c r="E221" s="490"/>
      <c r="F221" s="490"/>
      <c r="G221" s="7"/>
      <c r="H221" s="7"/>
      <c r="I221" s="7"/>
      <c r="J221" s="7"/>
      <c r="K221" s="7"/>
      <c r="L221" s="7"/>
      <c r="M221" s="7"/>
      <c r="N221" s="7"/>
      <c r="O221" s="7"/>
      <c r="P221" s="7"/>
      <c r="Q221" s="7"/>
      <c r="R221" s="7"/>
      <c r="S221" s="7"/>
      <c r="T221" s="7"/>
      <c r="U221" s="7"/>
      <c r="V221" s="7"/>
    </row>
    <row r="222" spans="2:22">
      <c r="B222" s="7"/>
      <c r="C222" s="489"/>
      <c r="D222" s="489"/>
      <c r="E222" s="490"/>
      <c r="F222" s="490"/>
      <c r="G222" s="7"/>
      <c r="H222" s="7"/>
      <c r="I222" s="7"/>
      <c r="J222" s="7"/>
      <c r="K222" s="7"/>
      <c r="L222" s="7"/>
      <c r="M222" s="7"/>
      <c r="N222" s="7"/>
      <c r="O222" s="7"/>
      <c r="P222" s="7"/>
      <c r="Q222" s="7"/>
      <c r="R222" s="7"/>
      <c r="S222" s="7"/>
      <c r="T222" s="7"/>
      <c r="U222" s="7"/>
      <c r="V222" s="7"/>
    </row>
    <row r="223" spans="2:22">
      <c r="B223" s="7"/>
      <c r="C223" s="489"/>
      <c r="D223" s="489"/>
      <c r="E223" s="490"/>
      <c r="F223" s="490"/>
      <c r="G223" s="7"/>
      <c r="H223" s="7"/>
      <c r="I223" s="7"/>
      <c r="J223" s="7"/>
      <c r="K223" s="7"/>
      <c r="L223" s="7"/>
      <c r="M223" s="7"/>
      <c r="N223" s="7"/>
      <c r="O223" s="7"/>
      <c r="P223" s="7"/>
      <c r="Q223" s="7"/>
      <c r="R223" s="7"/>
      <c r="S223" s="7"/>
      <c r="T223" s="7"/>
      <c r="U223" s="7"/>
      <c r="V223" s="7"/>
    </row>
    <row r="224" spans="2:22">
      <c r="B224" s="7"/>
      <c r="C224" s="489"/>
      <c r="D224" s="489"/>
      <c r="E224" s="490"/>
      <c r="F224" s="490"/>
      <c r="G224" s="7"/>
      <c r="H224" s="7"/>
      <c r="I224" s="7"/>
      <c r="J224" s="7"/>
      <c r="K224" s="7"/>
      <c r="L224" s="7"/>
      <c r="M224" s="7"/>
      <c r="N224" s="7"/>
      <c r="O224" s="7"/>
      <c r="P224" s="7"/>
      <c r="Q224" s="7"/>
      <c r="R224" s="7"/>
      <c r="S224" s="7"/>
      <c r="T224" s="7"/>
      <c r="U224" s="7"/>
      <c r="V224" s="7"/>
    </row>
    <row r="225" spans="2:22">
      <c r="B225" s="7"/>
      <c r="C225" s="489"/>
      <c r="D225" s="489"/>
      <c r="E225" s="490"/>
      <c r="F225" s="490"/>
      <c r="G225" s="7"/>
      <c r="H225" s="7"/>
      <c r="I225" s="7"/>
      <c r="J225" s="7"/>
      <c r="K225" s="7"/>
      <c r="L225" s="7"/>
      <c r="M225" s="7"/>
      <c r="N225" s="7"/>
      <c r="O225" s="7"/>
      <c r="P225" s="7"/>
      <c r="Q225" s="7"/>
      <c r="R225" s="7"/>
      <c r="S225" s="7"/>
      <c r="T225" s="7"/>
      <c r="U225" s="7"/>
      <c r="V225" s="7"/>
    </row>
    <row r="226" spans="2:22">
      <c r="B226" s="7"/>
      <c r="C226" s="489"/>
      <c r="D226" s="489"/>
      <c r="E226" s="490"/>
      <c r="F226" s="490"/>
      <c r="G226" s="7"/>
      <c r="H226" s="7"/>
      <c r="I226" s="7"/>
      <c r="J226" s="7"/>
      <c r="K226" s="7"/>
      <c r="L226" s="7"/>
      <c r="M226" s="7"/>
      <c r="N226" s="7"/>
      <c r="O226" s="7"/>
      <c r="P226" s="7"/>
      <c r="Q226" s="7"/>
      <c r="R226" s="7"/>
      <c r="S226" s="7"/>
      <c r="T226" s="7"/>
      <c r="U226" s="7"/>
      <c r="V226" s="7"/>
    </row>
    <row r="227" spans="2:22">
      <c r="B227" s="7"/>
      <c r="C227" s="489"/>
      <c r="D227" s="489"/>
      <c r="E227" s="490"/>
      <c r="F227" s="490"/>
      <c r="G227" s="7"/>
      <c r="H227" s="7"/>
      <c r="I227" s="7"/>
      <c r="J227" s="7"/>
      <c r="K227" s="7"/>
      <c r="L227" s="7"/>
      <c r="M227" s="7"/>
      <c r="N227" s="7"/>
      <c r="O227" s="7"/>
      <c r="P227" s="7"/>
      <c r="Q227" s="7"/>
      <c r="R227" s="7"/>
      <c r="S227" s="7"/>
      <c r="T227" s="7"/>
      <c r="U227" s="7"/>
      <c r="V227" s="7"/>
    </row>
    <row r="228" spans="2:22">
      <c r="B228" s="135"/>
      <c r="C228" s="64"/>
      <c r="D228" s="64"/>
      <c r="E228" s="88"/>
      <c r="F228" s="32"/>
      <c r="G228" s="7"/>
      <c r="H228" s="7"/>
      <c r="I228" s="7"/>
      <c r="J228" s="7"/>
      <c r="K228" s="7"/>
      <c r="L228" s="7"/>
      <c r="M228" s="7"/>
      <c r="N228" s="7"/>
      <c r="O228" s="7"/>
      <c r="P228" s="7"/>
      <c r="Q228" s="7"/>
      <c r="R228" s="7"/>
      <c r="S228" s="7"/>
      <c r="T228" s="7"/>
      <c r="U228" s="7"/>
      <c r="V228" s="7"/>
    </row>
    <row r="229" spans="2:22">
      <c r="B229" s="135"/>
      <c r="C229" s="64"/>
      <c r="D229" s="64"/>
      <c r="E229" s="88"/>
      <c r="F229" s="32"/>
      <c r="G229" s="7"/>
      <c r="H229" s="7"/>
      <c r="I229" s="7"/>
      <c r="J229" s="7"/>
      <c r="K229" s="7"/>
      <c r="L229" s="7"/>
      <c r="M229" s="7"/>
      <c r="N229" s="7"/>
      <c r="O229" s="7"/>
      <c r="P229" s="7"/>
      <c r="Q229" s="7"/>
      <c r="R229" s="7"/>
      <c r="S229" s="7"/>
      <c r="T229" s="7"/>
      <c r="U229" s="7"/>
      <c r="V229" s="7"/>
    </row>
    <row r="230" spans="2:22">
      <c r="B230" s="135"/>
      <c r="C230" s="64"/>
      <c r="D230" s="64"/>
      <c r="E230" s="88"/>
      <c r="F230" s="32"/>
      <c r="G230" s="7"/>
      <c r="H230" s="328"/>
      <c r="I230" s="7"/>
      <c r="J230" s="329"/>
      <c r="K230" s="7"/>
      <c r="L230" s="7"/>
      <c r="M230" s="7"/>
      <c r="N230" s="7"/>
      <c r="O230" s="7"/>
      <c r="P230" s="7"/>
      <c r="Q230" s="7"/>
      <c r="R230" s="7"/>
      <c r="S230" s="7"/>
      <c r="T230" s="7"/>
      <c r="U230" s="7"/>
      <c r="V230" s="7"/>
    </row>
    <row r="231" spans="2:22">
      <c r="B231" s="135"/>
      <c r="C231" s="64"/>
      <c r="D231" s="64"/>
      <c r="E231" s="88"/>
      <c r="F231" s="32"/>
      <c r="G231" s="7"/>
      <c r="H231" s="328"/>
      <c r="I231" s="7"/>
      <c r="J231" s="329"/>
      <c r="K231" s="7"/>
      <c r="L231" s="7"/>
      <c r="M231" s="7"/>
      <c r="N231" s="7"/>
      <c r="O231" s="7"/>
      <c r="P231" s="7"/>
      <c r="Q231" s="7"/>
      <c r="R231" s="7"/>
      <c r="S231" s="7"/>
      <c r="T231" s="7"/>
      <c r="U231" s="7"/>
      <c r="V231" s="7"/>
    </row>
    <row r="232" spans="2:22">
      <c r="B232" s="135"/>
      <c r="C232" s="64"/>
      <c r="D232" s="64"/>
      <c r="E232" s="88"/>
      <c r="F232" s="32"/>
      <c r="G232" s="7"/>
      <c r="H232" s="328"/>
      <c r="I232" s="7"/>
      <c r="J232" s="329"/>
      <c r="K232" s="7"/>
      <c r="L232" s="7"/>
      <c r="M232" s="7"/>
      <c r="N232" s="7"/>
      <c r="O232" s="7"/>
      <c r="P232" s="7"/>
      <c r="Q232" s="7"/>
      <c r="R232" s="7"/>
      <c r="S232" s="7"/>
      <c r="T232" s="7"/>
      <c r="U232" s="7"/>
      <c r="V232" s="7"/>
    </row>
    <row r="233" spans="2:22">
      <c r="B233" s="135"/>
      <c r="C233" s="64"/>
      <c r="D233" s="64"/>
      <c r="E233" s="88"/>
      <c r="F233" s="32"/>
      <c r="G233" s="7"/>
      <c r="H233" s="328"/>
      <c r="I233" s="7"/>
      <c r="J233" s="329"/>
      <c r="K233" s="7"/>
      <c r="L233" s="7"/>
      <c r="M233" s="7"/>
      <c r="N233" s="7"/>
      <c r="O233" s="7"/>
      <c r="P233" s="7"/>
      <c r="Q233" s="7"/>
      <c r="R233" s="7"/>
      <c r="S233" s="7"/>
      <c r="T233" s="7"/>
      <c r="U233" s="7"/>
      <c r="V233" s="7"/>
    </row>
    <row r="234" spans="2:22">
      <c r="B234" s="135"/>
      <c r="C234" s="64"/>
      <c r="D234" s="64"/>
      <c r="E234" s="88"/>
      <c r="F234" s="32"/>
      <c r="G234" s="7"/>
      <c r="H234" s="328"/>
      <c r="I234" s="7"/>
      <c r="J234" s="329"/>
      <c r="K234" s="7"/>
      <c r="L234" s="7"/>
      <c r="M234" s="7"/>
      <c r="N234" s="7"/>
      <c r="O234" s="7"/>
      <c r="P234" s="7"/>
      <c r="Q234" s="7"/>
      <c r="R234" s="7"/>
      <c r="S234" s="7"/>
      <c r="T234" s="7"/>
      <c r="U234" s="7"/>
      <c r="V234" s="7"/>
    </row>
    <row r="235" spans="2:22">
      <c r="B235" s="135"/>
      <c r="C235" s="64"/>
      <c r="D235" s="64"/>
      <c r="E235" s="88"/>
      <c r="F235" s="32"/>
      <c r="G235" s="7"/>
      <c r="H235" s="328"/>
      <c r="I235" s="7"/>
      <c r="J235" s="329"/>
      <c r="K235" s="7"/>
      <c r="L235" s="7"/>
      <c r="M235" s="7"/>
      <c r="N235" s="7"/>
      <c r="O235" s="7"/>
      <c r="P235" s="7"/>
      <c r="Q235" s="7"/>
      <c r="R235" s="7"/>
      <c r="S235" s="7"/>
      <c r="T235" s="7"/>
      <c r="U235" s="7"/>
      <c r="V235" s="7"/>
    </row>
    <row r="236" spans="2:22">
      <c r="B236" s="135"/>
      <c r="C236" s="64"/>
      <c r="D236" s="64"/>
      <c r="E236" s="88"/>
      <c r="F236" s="32"/>
      <c r="G236" s="7"/>
      <c r="H236" s="328"/>
      <c r="I236" s="7"/>
      <c r="J236" s="329"/>
      <c r="K236" s="7"/>
      <c r="L236" s="7"/>
      <c r="M236" s="7"/>
      <c r="N236" s="7"/>
      <c r="O236" s="7"/>
      <c r="P236" s="7"/>
      <c r="Q236" s="7"/>
      <c r="R236" s="7"/>
      <c r="S236" s="7"/>
      <c r="T236" s="7"/>
      <c r="U236" s="7"/>
      <c r="V236" s="7"/>
    </row>
    <row r="237" spans="2:22">
      <c r="B237" s="135"/>
      <c r="C237" s="64"/>
      <c r="D237" s="64"/>
      <c r="E237" s="88"/>
      <c r="F237" s="32"/>
      <c r="G237" s="7"/>
      <c r="H237" s="328"/>
      <c r="I237" s="7"/>
      <c r="J237" s="329"/>
      <c r="K237" s="7"/>
      <c r="L237" s="7"/>
      <c r="M237" s="7"/>
      <c r="N237" s="7"/>
      <c r="O237" s="7"/>
      <c r="P237" s="7"/>
      <c r="Q237" s="7"/>
      <c r="R237" s="7"/>
      <c r="S237" s="7"/>
      <c r="T237" s="7"/>
      <c r="U237" s="7"/>
      <c r="V237" s="7"/>
    </row>
    <row r="238" spans="2:22">
      <c r="B238" s="135"/>
      <c r="C238" s="64"/>
      <c r="D238" s="64"/>
      <c r="E238" s="88"/>
      <c r="F238" s="32"/>
      <c r="G238" s="7"/>
      <c r="H238" s="328"/>
      <c r="I238" s="7"/>
      <c r="J238" s="329"/>
      <c r="K238" s="7"/>
      <c r="L238" s="7"/>
      <c r="M238" s="7"/>
      <c r="N238" s="7"/>
      <c r="O238" s="7"/>
      <c r="P238" s="7"/>
      <c r="Q238" s="7"/>
      <c r="R238" s="7"/>
      <c r="S238" s="7"/>
      <c r="T238" s="7"/>
      <c r="U238" s="7"/>
      <c r="V238" s="7"/>
    </row>
    <row r="239" spans="2:22">
      <c r="B239" s="135"/>
      <c r="C239" s="64"/>
      <c r="D239" s="64"/>
      <c r="E239" s="88"/>
      <c r="F239" s="32"/>
      <c r="G239" s="7"/>
      <c r="H239" s="328"/>
      <c r="I239" s="7"/>
      <c r="J239" s="329"/>
      <c r="K239" s="7"/>
      <c r="L239" s="7"/>
      <c r="M239" s="7"/>
      <c r="N239" s="7"/>
      <c r="O239" s="7"/>
      <c r="P239" s="7"/>
      <c r="Q239" s="7"/>
      <c r="R239" s="7"/>
      <c r="S239" s="7"/>
      <c r="T239" s="7"/>
      <c r="U239" s="7"/>
      <c r="V239" s="7"/>
    </row>
    <row r="240" spans="2:22">
      <c r="B240" s="135"/>
      <c r="C240" s="64"/>
      <c r="D240" s="64"/>
      <c r="E240" s="88"/>
      <c r="F240" s="32"/>
      <c r="G240" s="7"/>
      <c r="H240" s="328"/>
      <c r="I240" s="7"/>
      <c r="J240" s="329"/>
      <c r="K240" s="7"/>
      <c r="L240" s="7"/>
      <c r="M240" s="7"/>
      <c r="N240" s="7"/>
      <c r="O240" s="7"/>
      <c r="P240" s="7"/>
      <c r="Q240" s="7"/>
      <c r="R240" s="7"/>
      <c r="S240" s="7"/>
      <c r="T240" s="7"/>
      <c r="U240" s="7"/>
      <c r="V240" s="7"/>
    </row>
    <row r="241" spans="2:22">
      <c r="B241" s="135"/>
      <c r="C241" s="64"/>
      <c r="D241" s="64"/>
      <c r="E241" s="88"/>
      <c r="F241" s="32"/>
      <c r="G241" s="7"/>
      <c r="H241" s="328"/>
      <c r="I241" s="7"/>
      <c r="J241" s="329"/>
      <c r="K241" s="7"/>
      <c r="L241" s="7"/>
      <c r="M241" s="7"/>
      <c r="N241" s="7"/>
      <c r="O241" s="7"/>
      <c r="P241" s="7"/>
      <c r="Q241" s="7"/>
      <c r="R241" s="7"/>
      <c r="S241" s="7"/>
      <c r="T241" s="7"/>
      <c r="U241" s="7"/>
      <c r="V241" s="7"/>
    </row>
    <row r="242" spans="2:22">
      <c r="B242" s="135"/>
      <c r="C242" s="64"/>
      <c r="D242" s="64"/>
      <c r="E242" s="88"/>
      <c r="F242" s="32"/>
      <c r="G242" s="7"/>
      <c r="H242" s="328"/>
      <c r="I242" s="7"/>
      <c r="J242" s="329"/>
      <c r="K242" s="7"/>
      <c r="L242" s="7"/>
      <c r="M242" s="7"/>
      <c r="N242" s="7"/>
      <c r="O242" s="7"/>
      <c r="P242" s="7"/>
      <c r="Q242" s="7"/>
      <c r="R242" s="7"/>
      <c r="S242" s="7"/>
      <c r="T242" s="7"/>
      <c r="U242" s="7"/>
      <c r="V242" s="7"/>
    </row>
    <row r="243" spans="2:22">
      <c r="B243" s="135"/>
      <c r="C243" s="64"/>
      <c r="D243" s="64"/>
      <c r="E243" s="88"/>
      <c r="F243" s="32"/>
      <c r="G243" s="7"/>
      <c r="H243" s="328"/>
      <c r="I243" s="7"/>
      <c r="J243" s="329"/>
      <c r="K243" s="7"/>
      <c r="L243" s="7"/>
      <c r="M243" s="7"/>
      <c r="N243" s="7"/>
      <c r="O243" s="7"/>
      <c r="P243" s="7"/>
      <c r="Q243" s="7"/>
      <c r="R243" s="7"/>
      <c r="S243" s="7"/>
      <c r="T243" s="7"/>
      <c r="U243" s="7"/>
      <c r="V243" s="7"/>
    </row>
    <row r="244" spans="2:22">
      <c r="B244" s="135"/>
      <c r="C244" s="64"/>
      <c r="D244" s="64"/>
      <c r="E244" s="88"/>
      <c r="F244" s="32"/>
      <c r="G244" s="7"/>
      <c r="H244" s="328"/>
      <c r="I244" s="7"/>
      <c r="J244" s="329"/>
      <c r="K244" s="7"/>
      <c r="L244" s="7"/>
      <c r="M244" s="7"/>
      <c r="N244" s="7"/>
      <c r="O244" s="7"/>
      <c r="P244" s="7"/>
      <c r="Q244" s="7"/>
      <c r="R244" s="7"/>
      <c r="S244" s="7"/>
      <c r="T244" s="7"/>
      <c r="U244" s="7"/>
      <c r="V244" s="7"/>
    </row>
    <row r="245" spans="2:22">
      <c r="B245" s="135"/>
      <c r="C245" s="64"/>
      <c r="D245" s="64"/>
      <c r="E245" s="88"/>
      <c r="F245" s="32"/>
      <c r="G245" s="7"/>
      <c r="H245" s="328"/>
      <c r="I245" s="7"/>
      <c r="J245" s="329"/>
      <c r="K245" s="7"/>
      <c r="L245" s="7"/>
      <c r="M245" s="7"/>
      <c r="N245" s="7"/>
      <c r="O245" s="7"/>
      <c r="P245" s="7"/>
      <c r="Q245" s="7"/>
      <c r="R245" s="7"/>
      <c r="S245" s="7"/>
      <c r="T245" s="7"/>
      <c r="U245" s="7"/>
      <c r="V245" s="7"/>
    </row>
    <row r="246" spans="2:22">
      <c r="B246" s="135"/>
      <c r="C246" s="64"/>
      <c r="D246" s="64"/>
      <c r="E246" s="88"/>
      <c r="F246" s="32"/>
      <c r="G246" s="7"/>
      <c r="H246" s="328"/>
      <c r="I246" s="7"/>
      <c r="J246" s="329"/>
      <c r="K246" s="7"/>
      <c r="L246" s="7"/>
      <c r="M246" s="7"/>
      <c r="N246" s="7"/>
      <c r="O246" s="7"/>
      <c r="P246" s="7"/>
      <c r="Q246" s="7"/>
      <c r="R246" s="7"/>
      <c r="S246" s="7"/>
      <c r="T246" s="7"/>
      <c r="U246" s="7"/>
      <c r="V246" s="7"/>
    </row>
    <row r="247" spans="2:22">
      <c r="B247" s="135"/>
      <c r="C247" s="64"/>
      <c r="D247" s="64"/>
      <c r="E247" s="88"/>
      <c r="F247" s="32"/>
      <c r="G247" s="7"/>
      <c r="H247" s="328"/>
      <c r="I247" s="7"/>
      <c r="J247" s="329"/>
      <c r="K247" s="7"/>
      <c r="L247" s="7"/>
      <c r="M247" s="7"/>
      <c r="N247" s="7"/>
      <c r="O247" s="7"/>
      <c r="P247" s="7"/>
      <c r="Q247" s="7"/>
      <c r="R247" s="7"/>
      <c r="S247" s="7"/>
      <c r="T247" s="7"/>
      <c r="U247" s="7"/>
      <c r="V247" s="7"/>
    </row>
    <row r="248" spans="2:22">
      <c r="B248" s="135"/>
      <c r="C248" s="64"/>
      <c r="D248" s="64"/>
      <c r="E248" s="88"/>
      <c r="F248" s="32"/>
      <c r="G248" s="7"/>
      <c r="H248" s="328"/>
      <c r="I248" s="7"/>
      <c r="J248" s="329"/>
      <c r="K248" s="7"/>
      <c r="L248" s="7"/>
      <c r="M248" s="7"/>
      <c r="N248" s="7"/>
      <c r="O248" s="7"/>
      <c r="P248" s="7"/>
      <c r="Q248" s="7"/>
      <c r="R248" s="7"/>
      <c r="S248" s="7"/>
      <c r="T248" s="7"/>
      <c r="U248" s="7"/>
      <c r="V248" s="7"/>
    </row>
    <row r="249" spans="2:22">
      <c r="B249" s="135"/>
      <c r="C249" s="64"/>
      <c r="D249" s="64"/>
      <c r="E249" s="88"/>
      <c r="F249" s="32"/>
      <c r="G249" s="7"/>
      <c r="H249" s="328"/>
      <c r="I249" s="7"/>
      <c r="J249" s="329"/>
      <c r="K249" s="7"/>
      <c r="L249" s="7"/>
      <c r="M249" s="7"/>
      <c r="N249" s="7"/>
      <c r="O249" s="7"/>
      <c r="P249" s="7"/>
      <c r="Q249" s="7"/>
      <c r="R249" s="7"/>
      <c r="S249" s="7"/>
      <c r="T249" s="7"/>
      <c r="U249" s="7"/>
      <c r="V249" s="7"/>
    </row>
    <row r="250" spans="2:22">
      <c r="B250" s="135"/>
      <c r="C250" s="64"/>
      <c r="D250" s="64"/>
      <c r="E250" s="88"/>
      <c r="F250" s="32"/>
      <c r="G250" s="7"/>
      <c r="H250" s="328"/>
      <c r="I250" s="7"/>
      <c r="J250" s="329"/>
      <c r="K250" s="7"/>
      <c r="L250" s="7"/>
      <c r="M250" s="7"/>
      <c r="N250" s="7"/>
      <c r="O250" s="7"/>
      <c r="P250" s="7"/>
      <c r="Q250" s="7"/>
      <c r="R250" s="7"/>
      <c r="S250" s="7"/>
      <c r="T250" s="7"/>
      <c r="U250" s="7"/>
      <c r="V250" s="7"/>
    </row>
    <row r="251" spans="2:22">
      <c r="B251" s="135"/>
      <c r="C251" s="64"/>
      <c r="D251" s="64"/>
      <c r="E251" s="88"/>
      <c r="F251" s="32"/>
      <c r="G251" s="7"/>
      <c r="H251" s="328"/>
      <c r="I251" s="7"/>
      <c r="J251" s="329"/>
      <c r="K251" s="7"/>
      <c r="L251" s="7"/>
      <c r="M251" s="7"/>
      <c r="N251" s="7"/>
      <c r="O251" s="7"/>
      <c r="P251" s="7"/>
      <c r="Q251" s="7"/>
      <c r="R251" s="7"/>
      <c r="S251" s="7"/>
      <c r="T251" s="7"/>
      <c r="U251" s="7"/>
      <c r="V251" s="7"/>
    </row>
    <row r="252" spans="2:22">
      <c r="B252" s="135"/>
      <c r="C252" s="64"/>
      <c r="D252" s="64"/>
      <c r="E252" s="88"/>
      <c r="F252" s="32"/>
      <c r="G252" s="7"/>
      <c r="H252" s="328"/>
      <c r="I252" s="7"/>
      <c r="J252" s="329"/>
      <c r="K252" s="7"/>
      <c r="L252" s="7"/>
      <c r="M252" s="7"/>
      <c r="N252" s="7"/>
      <c r="O252" s="7"/>
      <c r="P252" s="7"/>
      <c r="Q252" s="7"/>
      <c r="R252" s="7"/>
      <c r="S252" s="7"/>
      <c r="T252" s="7"/>
      <c r="U252" s="7"/>
      <c r="V252" s="7"/>
    </row>
    <row r="253" spans="2:22">
      <c r="B253" s="135"/>
      <c r="C253" s="64"/>
      <c r="D253" s="64"/>
      <c r="E253" s="88"/>
      <c r="F253" s="32"/>
      <c r="G253" s="7"/>
      <c r="H253" s="328"/>
      <c r="I253" s="7"/>
      <c r="J253" s="329"/>
      <c r="K253" s="7"/>
      <c r="L253" s="7"/>
      <c r="M253" s="7"/>
      <c r="N253" s="7"/>
      <c r="O253" s="7"/>
      <c r="P253" s="7"/>
      <c r="Q253" s="7"/>
      <c r="R253" s="7"/>
      <c r="S253" s="7"/>
      <c r="T253" s="7"/>
      <c r="U253" s="7"/>
      <c r="V253" s="7"/>
    </row>
    <row r="254" spans="2:22">
      <c r="B254" s="135"/>
      <c r="C254" s="64"/>
      <c r="D254" s="64"/>
      <c r="E254" s="88"/>
      <c r="F254" s="32"/>
      <c r="G254" s="7"/>
      <c r="H254" s="328"/>
      <c r="I254" s="7"/>
      <c r="J254" s="329"/>
      <c r="K254" s="7"/>
      <c r="L254" s="7"/>
      <c r="M254" s="7"/>
      <c r="N254" s="7"/>
      <c r="O254" s="7"/>
      <c r="P254" s="7"/>
      <c r="Q254" s="7"/>
      <c r="R254" s="7"/>
      <c r="S254" s="7"/>
      <c r="T254" s="7"/>
      <c r="U254" s="7"/>
      <c r="V254" s="7"/>
    </row>
    <row r="255" spans="2:22">
      <c r="B255" s="135"/>
      <c r="C255" s="64"/>
      <c r="D255" s="64"/>
      <c r="E255" s="88"/>
      <c r="F255" s="32"/>
      <c r="G255" s="7"/>
      <c r="H255" s="328"/>
      <c r="I255" s="7"/>
      <c r="J255" s="329"/>
      <c r="K255" s="7"/>
      <c r="L255" s="7"/>
      <c r="M255" s="7"/>
      <c r="N255" s="7"/>
      <c r="O255" s="7"/>
      <c r="P255" s="7"/>
      <c r="Q255" s="7"/>
      <c r="R255" s="7"/>
      <c r="S255" s="7"/>
      <c r="T255" s="7"/>
      <c r="U255" s="7"/>
      <c r="V255" s="7"/>
    </row>
    <row r="256" spans="2:22">
      <c r="B256" s="135"/>
      <c r="C256" s="64"/>
      <c r="D256" s="64"/>
      <c r="E256" s="88"/>
      <c r="F256" s="32"/>
      <c r="G256" s="7"/>
      <c r="H256" s="328"/>
      <c r="I256" s="7"/>
      <c r="J256" s="329"/>
      <c r="K256" s="7"/>
      <c r="L256" s="7"/>
      <c r="M256" s="7"/>
      <c r="N256" s="7"/>
      <c r="O256" s="7"/>
      <c r="P256" s="7"/>
      <c r="Q256" s="7"/>
      <c r="R256" s="7"/>
      <c r="S256" s="7"/>
      <c r="T256" s="7"/>
      <c r="U256" s="7"/>
      <c r="V256" s="7"/>
    </row>
    <row r="257" spans="2:22">
      <c r="B257" s="135"/>
      <c r="C257" s="64"/>
      <c r="D257" s="64"/>
      <c r="E257" s="88"/>
      <c r="F257" s="32"/>
      <c r="G257" s="7"/>
      <c r="H257" s="328"/>
      <c r="I257" s="7"/>
      <c r="J257" s="329"/>
      <c r="K257" s="7"/>
      <c r="L257" s="7"/>
      <c r="M257" s="7"/>
      <c r="N257" s="7"/>
      <c r="O257" s="7"/>
      <c r="P257" s="7"/>
      <c r="Q257" s="7"/>
      <c r="R257" s="7"/>
      <c r="S257" s="7"/>
      <c r="T257" s="7"/>
      <c r="U257" s="7"/>
      <c r="V257" s="7"/>
    </row>
    <row r="258" spans="2:22">
      <c r="B258" s="135"/>
      <c r="C258" s="64"/>
      <c r="D258" s="64"/>
      <c r="E258" s="88"/>
      <c r="F258" s="32"/>
      <c r="G258" s="7"/>
      <c r="H258" s="328"/>
      <c r="I258" s="7"/>
      <c r="J258" s="329"/>
      <c r="K258" s="7"/>
      <c r="L258" s="7"/>
      <c r="M258" s="7"/>
      <c r="N258" s="7"/>
      <c r="O258" s="7"/>
      <c r="P258" s="7"/>
      <c r="Q258" s="7"/>
      <c r="R258" s="7"/>
      <c r="S258" s="7"/>
      <c r="T258" s="7"/>
      <c r="U258" s="7"/>
      <c r="V258" s="7"/>
    </row>
    <row r="259" spans="2:22">
      <c r="B259" s="135"/>
      <c r="C259" s="64"/>
      <c r="D259" s="64"/>
      <c r="E259" s="88"/>
      <c r="F259" s="32"/>
      <c r="G259" s="7"/>
      <c r="H259" s="328"/>
      <c r="I259" s="7"/>
      <c r="J259" s="329"/>
      <c r="K259" s="7"/>
      <c r="L259" s="7"/>
      <c r="M259" s="7"/>
      <c r="N259" s="7"/>
      <c r="O259" s="7"/>
      <c r="P259" s="7"/>
      <c r="Q259" s="7"/>
      <c r="R259" s="7"/>
      <c r="S259" s="7"/>
      <c r="T259" s="7"/>
      <c r="U259" s="7"/>
      <c r="V259" s="7"/>
    </row>
    <row r="260" spans="2:22">
      <c r="B260" s="135"/>
      <c r="C260" s="64"/>
      <c r="D260" s="64"/>
      <c r="E260" s="88"/>
      <c r="F260" s="32"/>
      <c r="G260" s="7"/>
      <c r="H260" s="328"/>
      <c r="I260" s="7"/>
      <c r="J260" s="329"/>
      <c r="K260" s="7"/>
      <c r="L260" s="7"/>
      <c r="M260" s="7"/>
      <c r="N260" s="7"/>
      <c r="O260" s="7"/>
      <c r="P260" s="7"/>
      <c r="Q260" s="7"/>
      <c r="R260" s="7"/>
      <c r="S260" s="7"/>
      <c r="T260" s="7"/>
      <c r="U260" s="7"/>
      <c r="V260" s="7"/>
    </row>
    <row r="261" spans="2:22">
      <c r="B261" s="135"/>
      <c r="C261" s="64"/>
      <c r="D261" s="64"/>
      <c r="E261" s="88"/>
      <c r="F261" s="32"/>
      <c r="G261" s="7"/>
      <c r="H261" s="328"/>
      <c r="I261" s="7"/>
      <c r="J261" s="329"/>
      <c r="K261" s="7"/>
      <c r="L261" s="7"/>
      <c r="M261" s="7"/>
      <c r="N261" s="7"/>
      <c r="O261" s="7"/>
      <c r="P261" s="7"/>
      <c r="Q261" s="7"/>
      <c r="R261" s="7"/>
      <c r="S261" s="7"/>
      <c r="T261" s="7"/>
      <c r="U261" s="7"/>
      <c r="V261" s="7"/>
    </row>
    <row r="262" spans="2:22">
      <c r="B262" s="135"/>
      <c r="C262" s="64"/>
      <c r="D262" s="64"/>
      <c r="E262" s="88"/>
      <c r="F262" s="32"/>
      <c r="G262" s="7"/>
      <c r="H262" s="328"/>
      <c r="I262" s="7"/>
      <c r="J262" s="329"/>
      <c r="K262" s="7"/>
      <c r="L262" s="7"/>
      <c r="M262" s="7"/>
      <c r="N262" s="7"/>
      <c r="O262" s="7"/>
      <c r="P262" s="7"/>
      <c r="Q262" s="7"/>
      <c r="R262" s="7"/>
      <c r="S262" s="7"/>
      <c r="T262" s="7"/>
      <c r="U262" s="7"/>
      <c r="V262" s="7"/>
    </row>
    <row r="263" spans="2:22">
      <c r="B263" s="135"/>
      <c r="C263" s="64"/>
      <c r="D263" s="64"/>
      <c r="E263" s="88"/>
      <c r="F263" s="32"/>
      <c r="G263" s="7"/>
      <c r="H263" s="328"/>
      <c r="I263" s="7"/>
      <c r="J263" s="329"/>
      <c r="K263" s="7"/>
      <c r="L263" s="7"/>
      <c r="M263" s="7"/>
      <c r="N263" s="7"/>
      <c r="O263" s="7"/>
      <c r="P263" s="7"/>
      <c r="Q263" s="7"/>
      <c r="R263" s="7"/>
      <c r="S263" s="7"/>
      <c r="T263" s="7"/>
      <c r="U263" s="7"/>
      <c r="V263" s="7"/>
    </row>
    <row r="264" spans="2:22">
      <c r="B264" s="135"/>
      <c r="C264" s="64"/>
      <c r="D264" s="64"/>
      <c r="E264" s="88"/>
      <c r="F264" s="32"/>
      <c r="G264" s="7"/>
      <c r="H264" s="328"/>
      <c r="I264" s="7"/>
      <c r="J264" s="329"/>
      <c r="K264" s="7"/>
      <c r="L264" s="7"/>
      <c r="M264" s="7"/>
      <c r="N264" s="7"/>
      <c r="O264" s="7"/>
      <c r="P264" s="7"/>
      <c r="Q264" s="7"/>
      <c r="R264" s="7"/>
      <c r="S264" s="7"/>
      <c r="T264" s="7"/>
      <c r="U264" s="7"/>
      <c r="V264" s="7"/>
    </row>
    <row r="265" spans="2:22">
      <c r="B265" s="135"/>
      <c r="C265" s="64"/>
      <c r="D265" s="64"/>
      <c r="E265" s="88"/>
      <c r="F265" s="32"/>
      <c r="G265" s="7"/>
      <c r="H265" s="328"/>
      <c r="I265" s="7"/>
      <c r="J265" s="329"/>
      <c r="K265" s="7"/>
      <c r="L265" s="7"/>
      <c r="M265" s="7"/>
      <c r="N265" s="7"/>
      <c r="O265" s="7"/>
      <c r="P265" s="7"/>
      <c r="Q265" s="7"/>
      <c r="R265" s="7"/>
      <c r="S265" s="7"/>
      <c r="T265" s="7"/>
      <c r="U265" s="7"/>
      <c r="V265" s="7"/>
    </row>
    <row r="266" spans="2:22">
      <c r="B266" s="135"/>
      <c r="C266" s="64"/>
      <c r="D266" s="64"/>
      <c r="E266" s="88"/>
      <c r="F266" s="32"/>
      <c r="G266" s="7"/>
      <c r="H266" s="328"/>
      <c r="I266" s="7"/>
      <c r="J266" s="329"/>
      <c r="K266" s="7"/>
      <c r="L266" s="7"/>
      <c r="M266" s="7"/>
      <c r="N266" s="7"/>
      <c r="O266" s="7"/>
      <c r="P266" s="7"/>
      <c r="Q266" s="7"/>
      <c r="R266" s="7"/>
      <c r="S266" s="7"/>
      <c r="T266" s="7"/>
      <c r="U266" s="7"/>
      <c r="V266" s="7"/>
    </row>
    <row r="267" spans="2:22">
      <c r="B267" s="135"/>
      <c r="C267" s="64"/>
      <c r="D267" s="64"/>
      <c r="E267" s="88"/>
      <c r="F267" s="32"/>
      <c r="G267" s="7"/>
      <c r="H267" s="328"/>
      <c r="I267" s="7"/>
      <c r="J267" s="329"/>
      <c r="K267" s="7"/>
      <c r="L267" s="7"/>
      <c r="M267" s="7"/>
      <c r="N267" s="7"/>
      <c r="O267" s="7"/>
      <c r="P267" s="7"/>
      <c r="Q267" s="7"/>
      <c r="R267" s="7"/>
      <c r="S267" s="7"/>
      <c r="T267" s="7"/>
      <c r="U267" s="7"/>
      <c r="V267" s="7"/>
    </row>
    <row r="268" spans="2:22">
      <c r="B268" s="135"/>
      <c r="C268" s="64"/>
      <c r="D268" s="64"/>
      <c r="E268" s="88"/>
      <c r="F268" s="32"/>
      <c r="G268" s="7"/>
      <c r="H268" s="328"/>
      <c r="I268" s="7"/>
      <c r="J268" s="329"/>
      <c r="K268" s="7"/>
      <c r="L268" s="7"/>
      <c r="M268" s="7"/>
      <c r="N268" s="7"/>
      <c r="O268" s="7"/>
      <c r="P268" s="7"/>
      <c r="Q268" s="7"/>
      <c r="R268" s="7"/>
      <c r="S268" s="7"/>
      <c r="T268" s="7"/>
      <c r="U268" s="7"/>
      <c r="V268" s="7"/>
    </row>
    <row r="269" spans="2:22">
      <c r="B269" s="135"/>
      <c r="C269" s="64"/>
      <c r="D269" s="64"/>
      <c r="E269" s="88"/>
      <c r="F269" s="32"/>
      <c r="G269" s="7"/>
      <c r="H269" s="328"/>
      <c r="I269" s="7"/>
      <c r="J269" s="329"/>
      <c r="K269" s="7"/>
      <c r="L269" s="7"/>
      <c r="M269" s="7"/>
      <c r="N269" s="7"/>
      <c r="O269" s="7"/>
      <c r="P269" s="7"/>
      <c r="Q269" s="7"/>
      <c r="R269" s="7"/>
      <c r="S269" s="7"/>
      <c r="T269" s="7"/>
      <c r="U269" s="7"/>
      <c r="V269" s="7"/>
    </row>
    <row r="270" spans="2:22">
      <c r="B270" s="135"/>
      <c r="C270" s="64"/>
      <c r="D270" s="64"/>
      <c r="E270" s="88"/>
      <c r="F270" s="32"/>
      <c r="G270" s="7"/>
      <c r="H270" s="328"/>
      <c r="I270" s="7"/>
      <c r="J270" s="329"/>
      <c r="K270" s="7"/>
      <c r="L270" s="7"/>
      <c r="M270" s="7"/>
      <c r="N270" s="7"/>
      <c r="O270" s="7"/>
      <c r="P270" s="7"/>
      <c r="Q270" s="7"/>
      <c r="R270" s="7"/>
      <c r="S270" s="7"/>
      <c r="T270" s="7"/>
      <c r="U270" s="7"/>
      <c r="V270" s="7"/>
    </row>
    <row r="271" spans="2:22">
      <c r="B271" s="135"/>
      <c r="C271" s="64"/>
      <c r="D271" s="64"/>
      <c r="E271" s="88"/>
      <c r="F271" s="32"/>
      <c r="G271" s="7"/>
      <c r="H271" s="328"/>
      <c r="I271" s="7"/>
      <c r="J271" s="329"/>
      <c r="K271" s="7"/>
      <c r="L271" s="7"/>
      <c r="M271" s="7"/>
      <c r="N271" s="7"/>
      <c r="O271" s="7"/>
      <c r="P271" s="7"/>
      <c r="Q271" s="7"/>
      <c r="R271" s="7"/>
      <c r="S271" s="7"/>
      <c r="T271" s="7"/>
      <c r="U271" s="7"/>
      <c r="V271" s="7"/>
    </row>
    <row r="272" spans="2:22">
      <c r="B272" s="135"/>
      <c r="C272" s="64"/>
      <c r="D272" s="64"/>
      <c r="E272" s="88"/>
      <c r="F272" s="32"/>
      <c r="G272" s="7"/>
      <c r="H272" s="328"/>
      <c r="I272" s="7"/>
      <c r="J272" s="329"/>
      <c r="K272" s="7"/>
      <c r="L272" s="7"/>
      <c r="M272" s="7"/>
      <c r="N272" s="7"/>
      <c r="O272" s="7"/>
      <c r="P272" s="7"/>
      <c r="Q272" s="7"/>
      <c r="R272" s="7"/>
      <c r="S272" s="7"/>
      <c r="T272" s="7"/>
      <c r="U272" s="7"/>
      <c r="V272" s="7"/>
    </row>
    <row r="273" spans="2:22">
      <c r="B273" s="135"/>
      <c r="C273" s="64"/>
      <c r="D273" s="64"/>
      <c r="E273" s="88"/>
      <c r="F273" s="32"/>
      <c r="G273" s="7"/>
      <c r="H273" s="328"/>
      <c r="I273" s="7"/>
      <c r="J273" s="329"/>
      <c r="K273" s="7"/>
      <c r="L273" s="7"/>
      <c r="M273" s="7"/>
      <c r="N273" s="7"/>
      <c r="O273" s="7"/>
      <c r="P273" s="7"/>
      <c r="Q273" s="7"/>
      <c r="R273" s="7"/>
      <c r="S273" s="7"/>
      <c r="T273" s="7"/>
      <c r="U273" s="7"/>
      <c r="V273" s="7"/>
    </row>
    <row r="274" spans="2:22">
      <c r="B274" s="135"/>
      <c r="C274" s="64"/>
      <c r="D274" s="64"/>
      <c r="E274" s="88"/>
      <c r="F274" s="32"/>
      <c r="G274" s="7"/>
      <c r="H274" s="328"/>
      <c r="I274" s="7"/>
      <c r="J274" s="329"/>
      <c r="K274" s="7"/>
      <c r="L274" s="7"/>
      <c r="M274" s="7"/>
      <c r="N274" s="7"/>
      <c r="O274" s="7"/>
      <c r="P274" s="7"/>
      <c r="Q274" s="7"/>
      <c r="R274" s="7"/>
      <c r="S274" s="7"/>
      <c r="T274" s="7"/>
      <c r="U274" s="7"/>
      <c r="V274" s="7"/>
    </row>
    <row r="275" spans="2:22">
      <c r="B275" s="135"/>
      <c r="C275" s="64"/>
      <c r="D275" s="64"/>
      <c r="E275" s="88"/>
      <c r="F275" s="32"/>
      <c r="G275" s="7"/>
      <c r="H275" s="328"/>
      <c r="I275" s="7"/>
      <c r="J275" s="329"/>
      <c r="K275" s="7"/>
      <c r="L275" s="7"/>
      <c r="M275" s="7"/>
      <c r="N275" s="7"/>
      <c r="O275" s="7"/>
      <c r="P275" s="7"/>
      <c r="Q275" s="7"/>
      <c r="R275" s="7"/>
      <c r="S275" s="7"/>
      <c r="T275" s="7"/>
      <c r="U275" s="7"/>
      <c r="V275" s="7"/>
    </row>
    <row r="276" spans="2:22">
      <c r="B276" s="135"/>
      <c r="C276" s="64"/>
      <c r="D276" s="64"/>
      <c r="E276" s="88"/>
      <c r="F276" s="32"/>
      <c r="G276" s="7"/>
      <c r="H276" s="328"/>
      <c r="I276" s="7"/>
      <c r="J276" s="329"/>
      <c r="K276" s="7"/>
      <c r="L276" s="7"/>
      <c r="M276" s="7"/>
      <c r="N276" s="7"/>
      <c r="O276" s="7"/>
      <c r="P276" s="7"/>
      <c r="Q276" s="7"/>
      <c r="R276" s="7"/>
      <c r="S276" s="7"/>
      <c r="T276" s="7"/>
      <c r="U276" s="7"/>
      <c r="V276" s="7"/>
    </row>
    <row r="277" spans="2:22">
      <c r="B277" s="135"/>
      <c r="C277" s="64"/>
      <c r="D277" s="64"/>
      <c r="E277" s="88"/>
      <c r="F277" s="32"/>
      <c r="G277" s="7"/>
      <c r="H277" s="328"/>
      <c r="I277" s="7"/>
      <c r="J277" s="329"/>
      <c r="K277" s="7"/>
      <c r="L277" s="7"/>
      <c r="M277" s="7"/>
      <c r="N277" s="7"/>
      <c r="O277" s="7"/>
      <c r="P277" s="7"/>
      <c r="Q277" s="7"/>
      <c r="R277" s="7"/>
      <c r="S277" s="7"/>
      <c r="T277" s="7"/>
      <c r="U277" s="7"/>
      <c r="V277" s="7"/>
    </row>
    <row r="278" spans="2:22">
      <c r="G278" s="7"/>
      <c r="H278" s="328"/>
      <c r="I278" s="7"/>
      <c r="J278" s="329"/>
      <c r="K278" s="7"/>
      <c r="L278" s="7"/>
      <c r="M278" s="7"/>
      <c r="N278" s="7"/>
      <c r="O278" s="7"/>
      <c r="P278" s="7"/>
      <c r="Q278" s="7"/>
      <c r="R278" s="7"/>
      <c r="S278" s="7"/>
      <c r="T278" s="7"/>
      <c r="U278" s="7"/>
      <c r="V278" s="7"/>
    </row>
    <row r="279" spans="2:22">
      <c r="G279" s="7"/>
      <c r="H279" s="328"/>
      <c r="I279" s="7"/>
      <c r="J279" s="329"/>
      <c r="K279" s="7"/>
      <c r="L279" s="7"/>
      <c r="M279" s="7"/>
      <c r="N279" s="7"/>
      <c r="O279" s="7"/>
      <c r="P279" s="7"/>
      <c r="Q279" s="7"/>
      <c r="R279" s="7"/>
      <c r="S279" s="7"/>
      <c r="T279" s="7"/>
      <c r="U279" s="7"/>
      <c r="V279" s="7"/>
    </row>
    <row r="280" spans="2:22">
      <c r="G280" s="7"/>
      <c r="H280" s="328"/>
      <c r="I280" s="7"/>
      <c r="J280" s="329"/>
      <c r="K280" s="7"/>
      <c r="L280" s="7"/>
      <c r="M280" s="7"/>
      <c r="N280" s="7"/>
      <c r="O280" s="7"/>
      <c r="P280" s="7"/>
      <c r="Q280" s="7"/>
      <c r="R280" s="7"/>
      <c r="S280" s="7"/>
      <c r="T280" s="7"/>
      <c r="U280" s="7"/>
      <c r="V280" s="7"/>
    </row>
    <row r="281" spans="2:22">
      <c r="G281" s="7"/>
      <c r="H281" s="328"/>
      <c r="I281" s="7"/>
      <c r="J281" s="329"/>
      <c r="K281" s="7"/>
      <c r="L281" s="7"/>
      <c r="M281" s="7"/>
      <c r="N281" s="7"/>
      <c r="O281" s="7"/>
      <c r="P281" s="7"/>
      <c r="Q281" s="7"/>
      <c r="R281" s="7"/>
      <c r="S281" s="7"/>
      <c r="T281" s="7"/>
      <c r="U281" s="7"/>
      <c r="V281" s="7"/>
    </row>
    <row r="282" spans="2:22">
      <c r="G282" s="7"/>
      <c r="H282" s="328"/>
      <c r="I282" s="7"/>
      <c r="J282" s="329"/>
      <c r="K282" s="7"/>
      <c r="L282" s="7"/>
      <c r="M282" s="7"/>
      <c r="N282" s="7"/>
      <c r="O282" s="7"/>
      <c r="P282" s="7"/>
      <c r="Q282" s="7"/>
      <c r="R282" s="7"/>
      <c r="S282" s="7"/>
      <c r="T282" s="7"/>
      <c r="U282" s="7"/>
      <c r="V282" s="7"/>
    </row>
    <row r="283" spans="2:22">
      <c r="G283" s="7"/>
      <c r="H283" s="328"/>
      <c r="I283" s="7"/>
      <c r="J283" s="329"/>
      <c r="K283" s="7"/>
      <c r="L283" s="7"/>
      <c r="M283" s="7"/>
      <c r="N283" s="7"/>
      <c r="O283" s="7"/>
      <c r="P283" s="7"/>
      <c r="Q283" s="7"/>
      <c r="R283" s="7"/>
      <c r="S283" s="7"/>
      <c r="T283" s="7"/>
      <c r="U283" s="7"/>
      <c r="V283" s="7"/>
    </row>
    <row r="284" spans="2:22">
      <c r="G284" s="7"/>
      <c r="H284" s="328"/>
      <c r="I284" s="7"/>
      <c r="J284" s="329"/>
      <c r="K284" s="7"/>
      <c r="L284" s="7"/>
      <c r="M284" s="7"/>
      <c r="N284" s="7"/>
      <c r="O284" s="7"/>
      <c r="P284" s="7"/>
      <c r="Q284" s="7"/>
      <c r="R284" s="7"/>
      <c r="S284" s="7"/>
      <c r="T284" s="7"/>
      <c r="U284" s="7"/>
      <c r="V284" s="7"/>
    </row>
    <row r="285" spans="2:22">
      <c r="G285" s="7"/>
      <c r="H285" s="328"/>
      <c r="I285" s="7"/>
      <c r="J285" s="329"/>
      <c r="K285" s="7"/>
      <c r="L285" s="7"/>
      <c r="M285" s="7"/>
      <c r="N285" s="7"/>
      <c r="O285" s="7"/>
      <c r="P285" s="7"/>
      <c r="Q285" s="7"/>
      <c r="R285" s="7"/>
      <c r="S285" s="7"/>
      <c r="T285" s="7"/>
      <c r="U285" s="7"/>
      <c r="V285" s="7"/>
    </row>
    <row r="286" spans="2:22">
      <c r="G286" s="7"/>
      <c r="H286" s="328"/>
      <c r="I286" s="7"/>
      <c r="J286" s="329"/>
      <c r="K286" s="7"/>
      <c r="L286" s="7"/>
      <c r="M286" s="7"/>
      <c r="N286" s="7"/>
      <c r="O286" s="7"/>
      <c r="P286" s="7"/>
      <c r="Q286" s="7"/>
      <c r="R286" s="7"/>
      <c r="S286" s="7"/>
      <c r="T286" s="7"/>
      <c r="U286" s="7"/>
      <c r="V286" s="7"/>
    </row>
    <row r="287" spans="2:22">
      <c r="G287" s="7"/>
      <c r="H287" s="328"/>
      <c r="I287" s="7"/>
      <c r="J287" s="329"/>
      <c r="K287" s="7"/>
      <c r="L287" s="7"/>
      <c r="M287" s="7"/>
      <c r="N287" s="7"/>
      <c r="O287" s="7"/>
      <c r="P287" s="7"/>
      <c r="Q287" s="7"/>
      <c r="R287" s="7"/>
      <c r="S287" s="7"/>
      <c r="T287" s="7"/>
      <c r="U287" s="7"/>
      <c r="V287" s="7"/>
    </row>
    <row r="288" spans="2:22">
      <c r="G288" s="7"/>
      <c r="H288" s="328"/>
      <c r="I288" s="7"/>
      <c r="J288" s="329"/>
      <c r="K288" s="7"/>
      <c r="L288" s="7"/>
      <c r="M288" s="7"/>
      <c r="N288" s="7"/>
      <c r="O288" s="7"/>
      <c r="P288" s="7"/>
      <c r="Q288" s="7"/>
      <c r="R288" s="7"/>
      <c r="S288" s="7"/>
      <c r="T288" s="7"/>
      <c r="U288" s="7"/>
      <c r="V288" s="7"/>
    </row>
    <row r="289" spans="7:22">
      <c r="G289" s="7"/>
      <c r="H289" s="328"/>
      <c r="I289" s="7"/>
      <c r="J289" s="329"/>
      <c r="K289" s="7"/>
      <c r="L289" s="7"/>
      <c r="M289" s="7"/>
      <c r="N289" s="7"/>
      <c r="O289" s="7"/>
      <c r="P289" s="7"/>
      <c r="Q289" s="7"/>
      <c r="R289" s="7"/>
      <c r="S289" s="7"/>
      <c r="T289" s="7"/>
      <c r="U289" s="7"/>
      <c r="V289" s="7"/>
    </row>
    <row r="290" spans="7:22">
      <c r="G290" s="7"/>
      <c r="H290" s="328"/>
      <c r="I290" s="7"/>
      <c r="J290" s="329"/>
      <c r="K290" s="7"/>
      <c r="L290" s="7"/>
      <c r="M290" s="7"/>
      <c r="N290" s="7"/>
      <c r="O290" s="7"/>
      <c r="P290" s="7"/>
      <c r="Q290" s="7"/>
      <c r="R290" s="7"/>
      <c r="S290" s="7"/>
      <c r="T290" s="7"/>
      <c r="U290" s="7"/>
      <c r="V290" s="7"/>
    </row>
    <row r="291" spans="7:22">
      <c r="G291" s="7"/>
      <c r="H291" s="328"/>
      <c r="I291" s="7"/>
      <c r="J291" s="329"/>
      <c r="K291" s="7"/>
      <c r="L291" s="7"/>
      <c r="M291" s="7"/>
      <c r="N291" s="7"/>
      <c r="O291" s="7"/>
      <c r="P291" s="7"/>
      <c r="Q291" s="7"/>
      <c r="R291" s="7"/>
      <c r="S291" s="7"/>
      <c r="T291" s="7"/>
      <c r="U291" s="7"/>
      <c r="V291" s="7"/>
    </row>
    <row r="292" spans="7:22">
      <c r="G292" s="7"/>
      <c r="H292" s="328"/>
      <c r="I292" s="7"/>
      <c r="J292" s="329"/>
      <c r="K292" s="7"/>
      <c r="L292" s="7"/>
      <c r="M292" s="7"/>
      <c r="N292" s="7"/>
      <c r="O292" s="7"/>
      <c r="P292" s="7"/>
      <c r="Q292" s="7"/>
      <c r="R292" s="7"/>
      <c r="S292" s="7"/>
      <c r="T292" s="7"/>
      <c r="U292" s="7"/>
      <c r="V292" s="7"/>
    </row>
    <row r="293" spans="7:22">
      <c r="G293" s="7"/>
      <c r="H293" s="328"/>
      <c r="I293" s="7"/>
      <c r="J293" s="329"/>
      <c r="K293" s="7"/>
      <c r="L293" s="7"/>
      <c r="M293" s="7"/>
      <c r="N293" s="7"/>
      <c r="O293" s="7"/>
      <c r="P293" s="7"/>
      <c r="Q293" s="7"/>
      <c r="R293" s="7"/>
      <c r="S293" s="7"/>
      <c r="T293" s="7"/>
      <c r="U293" s="7"/>
      <c r="V293" s="7"/>
    </row>
    <row r="294" spans="7:22">
      <c r="G294" s="7"/>
      <c r="H294" s="328"/>
      <c r="I294" s="7"/>
      <c r="J294" s="329"/>
      <c r="K294" s="7"/>
      <c r="L294" s="7"/>
      <c r="M294" s="7"/>
      <c r="N294" s="7"/>
      <c r="O294" s="7"/>
      <c r="P294" s="7"/>
      <c r="Q294" s="7"/>
      <c r="R294" s="7"/>
      <c r="S294" s="7"/>
      <c r="T294" s="7"/>
      <c r="U294" s="7"/>
      <c r="V294" s="7"/>
    </row>
    <row r="295" spans="7:22">
      <c r="G295" s="7"/>
      <c r="H295" s="328"/>
      <c r="I295" s="7"/>
      <c r="J295" s="329"/>
      <c r="K295" s="7"/>
      <c r="L295" s="7"/>
      <c r="M295" s="7"/>
      <c r="N295" s="7"/>
      <c r="O295" s="7"/>
      <c r="P295" s="7"/>
      <c r="Q295" s="7"/>
      <c r="R295" s="7"/>
      <c r="S295" s="7"/>
      <c r="T295" s="7"/>
      <c r="U295" s="7"/>
      <c r="V295" s="7"/>
    </row>
    <row r="296" spans="7:22">
      <c r="G296" s="7"/>
      <c r="H296" s="328"/>
      <c r="I296" s="7"/>
      <c r="J296" s="329"/>
      <c r="K296" s="7"/>
      <c r="L296" s="7"/>
      <c r="M296" s="7"/>
      <c r="N296" s="7"/>
      <c r="O296" s="7"/>
      <c r="P296" s="7"/>
      <c r="Q296" s="7"/>
      <c r="R296" s="7"/>
      <c r="S296" s="7"/>
      <c r="T296" s="7"/>
      <c r="U296" s="7"/>
      <c r="V296" s="7"/>
    </row>
  </sheetData>
  <mergeCells count="21">
    <mergeCell ref="C97:D97"/>
    <mergeCell ref="C98:D98"/>
    <mergeCell ref="C110:D110"/>
    <mergeCell ref="C111:D111"/>
    <mergeCell ref="B2:F3"/>
    <mergeCell ref="C68:C71"/>
    <mergeCell ref="C94:D94"/>
    <mergeCell ref="C95:D95"/>
    <mergeCell ref="C96:D96"/>
    <mergeCell ref="C102:D102"/>
    <mergeCell ref="C103:D103"/>
    <mergeCell ref="C104:D104"/>
    <mergeCell ref="C105:D105"/>
    <mergeCell ref="C106:D106"/>
    <mergeCell ref="H138:K138"/>
    <mergeCell ref="H139:L139"/>
    <mergeCell ref="W138:AI138"/>
    <mergeCell ref="AD139:AI139"/>
    <mergeCell ref="C112:D112"/>
    <mergeCell ref="C113:D113"/>
    <mergeCell ref="C114:D114"/>
  </mergeCells>
  <hyperlinks>
    <hyperlink ref="H138" r:id="rId1" display="Template created by Christoph Janz"/>
    <hyperlink ref="H139" r:id="rId2"/>
    <hyperlink ref="I139" r:id="rId3" display="http://www.theangelvc.net/2016/03/saas-financial-plan-20.html"/>
    <hyperlink ref="J139" r:id="rId4" display="http://www.theangelvc.net/2016/03/saas-financial-plan-20.html"/>
    <hyperlink ref="K139" r:id="rId5" display="http://www.theangelvc.net/2016/03/saas-financial-plan-20.html"/>
    <hyperlink ref="L139" r:id="rId6" display="http://www.theangelvc.net/2016/03/saas-financial-plan-20.html"/>
  </hyperlinks>
  <printOptions gridLines="1"/>
  <pageMargins left="0.39000000000000007" right="0.39000000000000007" top="0.51" bottom="0.98" header="0.51" footer="0.51"/>
  <pageSetup paperSize="9" scale="44" fitToHeight="2" orientation="landscape" horizontalDpi="4294967292" verticalDpi="4294967292"/>
  <headerFooter alignWithMargins="0"/>
  <drawing r:id="rId7"/>
  <legacyDrawing r:id="rId8"/>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0"/>
  <sheetViews>
    <sheetView workbookViewId="0">
      <selection activeCell="B59" sqref="B59:F59"/>
    </sheetView>
  </sheetViews>
  <sheetFormatPr baseColWidth="10" defaultRowHeight="13" x14ac:dyDescent="0"/>
  <cols>
    <col min="1" max="1" width="2.1640625" style="143" customWidth="1"/>
    <col min="2" max="2" width="1.33203125" style="143" customWidth="1"/>
    <col min="3" max="3" width="28.33203125" style="143" customWidth="1"/>
    <col min="4" max="6" width="14.83203125" style="143" customWidth="1"/>
    <col min="7" max="7" width="16.33203125" style="143" customWidth="1"/>
    <col min="8" max="28" width="14.83203125" style="143" customWidth="1"/>
    <col min="29" max="16384" width="10.83203125" style="143"/>
  </cols>
  <sheetData>
    <row r="1" spans="1:29">
      <c r="B1" s="144"/>
      <c r="C1" s="144"/>
      <c r="D1" s="144"/>
      <c r="E1" s="144"/>
      <c r="F1" s="144"/>
      <c r="G1" s="144"/>
      <c r="H1" s="147"/>
      <c r="I1" s="147"/>
      <c r="J1" s="144"/>
      <c r="K1" s="144"/>
      <c r="L1" s="144"/>
      <c r="M1" s="144"/>
      <c r="N1" s="145"/>
      <c r="O1" s="144"/>
      <c r="P1" s="144"/>
      <c r="Q1" s="144"/>
      <c r="R1" s="144"/>
      <c r="S1" s="144"/>
      <c r="T1" s="144"/>
      <c r="U1" s="144"/>
      <c r="V1" s="144"/>
      <c r="W1" s="144"/>
      <c r="X1" s="144"/>
      <c r="Y1" s="144"/>
      <c r="Z1" s="144"/>
      <c r="AA1" s="144"/>
      <c r="AB1" s="144"/>
    </row>
    <row r="2" spans="1:29">
      <c r="A2" s="145"/>
      <c r="B2" s="207"/>
      <c r="C2" s="208"/>
      <c r="D2" s="208"/>
      <c r="E2" s="208"/>
      <c r="F2" s="208"/>
      <c r="G2" s="208"/>
      <c r="H2" s="208"/>
      <c r="I2" s="208"/>
      <c r="J2" s="208"/>
      <c r="K2" s="208"/>
      <c r="L2" s="208"/>
      <c r="M2" s="209"/>
      <c r="N2" s="148"/>
      <c r="O2" s="193"/>
      <c r="P2" s="193"/>
      <c r="Q2" s="193"/>
      <c r="R2" s="193"/>
      <c r="S2" s="193"/>
      <c r="T2" s="193"/>
      <c r="U2" s="193"/>
      <c r="V2" s="193"/>
      <c r="W2" s="193"/>
      <c r="X2" s="193"/>
      <c r="Y2" s="193"/>
      <c r="Z2" s="193"/>
      <c r="AA2" s="193"/>
      <c r="AB2" s="194"/>
      <c r="AC2" s="146"/>
    </row>
    <row r="3" spans="1:29">
      <c r="A3" s="145"/>
      <c r="B3" s="210"/>
      <c r="C3" s="202" t="s">
        <v>67</v>
      </c>
      <c r="D3" s="201"/>
      <c r="E3" s="201"/>
      <c r="F3" s="201"/>
      <c r="G3" s="201"/>
      <c r="H3" s="201"/>
      <c r="I3" s="201"/>
      <c r="J3" s="201"/>
      <c r="K3" s="201"/>
      <c r="L3" s="201"/>
      <c r="M3" s="211"/>
      <c r="N3" s="148"/>
      <c r="O3" s="568"/>
      <c r="P3" s="568"/>
      <c r="Q3" s="568"/>
      <c r="R3" s="568"/>
      <c r="S3" s="568"/>
      <c r="T3" s="568"/>
      <c r="U3" s="568"/>
      <c r="V3" s="569"/>
      <c r="W3" s="569"/>
      <c r="X3" s="569"/>
      <c r="Y3" s="195"/>
      <c r="Z3" s="193"/>
      <c r="AA3" s="194"/>
      <c r="AB3" s="194"/>
      <c r="AC3" s="146"/>
    </row>
    <row r="4" spans="1:29">
      <c r="A4" s="145"/>
      <c r="B4" s="210"/>
      <c r="C4" s="201"/>
      <c r="D4" s="201"/>
      <c r="E4" s="201"/>
      <c r="F4" s="201"/>
      <c r="G4" s="201"/>
      <c r="H4" s="201"/>
      <c r="I4" s="201"/>
      <c r="J4" s="201"/>
      <c r="K4" s="201"/>
      <c r="L4" s="201"/>
      <c r="M4" s="211"/>
      <c r="N4" s="148"/>
      <c r="O4" s="196"/>
      <c r="P4" s="196"/>
      <c r="Q4" s="196"/>
      <c r="R4" s="196"/>
      <c r="S4" s="196"/>
      <c r="T4" s="196"/>
      <c r="U4" s="196"/>
      <c r="V4" s="194"/>
      <c r="W4" s="194"/>
      <c r="X4" s="194"/>
      <c r="Y4" s="194"/>
      <c r="Z4" s="194"/>
      <c r="AA4" s="194"/>
      <c r="AB4" s="194"/>
      <c r="AC4" s="146"/>
    </row>
    <row r="5" spans="1:29">
      <c r="A5" s="145"/>
      <c r="B5" s="210"/>
      <c r="C5" s="570" t="s">
        <v>61</v>
      </c>
      <c r="D5" s="570"/>
      <c r="E5" s="201"/>
      <c r="F5" s="203" t="s">
        <v>68</v>
      </c>
      <c r="G5" s="203"/>
      <c r="H5" s="203"/>
      <c r="I5" s="203"/>
      <c r="J5" s="201"/>
      <c r="K5" s="201"/>
      <c r="L5" s="201"/>
      <c r="M5" s="211"/>
      <c r="N5" s="148"/>
      <c r="O5" s="196"/>
      <c r="P5" s="196"/>
      <c r="Q5" s="196"/>
      <c r="R5" s="196"/>
      <c r="S5" s="196"/>
      <c r="T5" s="196"/>
      <c r="U5" s="196"/>
      <c r="V5" s="197"/>
      <c r="W5" s="197"/>
      <c r="X5" s="197"/>
      <c r="Y5" s="571"/>
      <c r="Z5" s="571"/>
      <c r="AA5" s="571"/>
      <c r="AB5" s="571"/>
      <c r="AC5" s="146"/>
    </row>
    <row r="6" spans="1:29">
      <c r="A6" s="145"/>
      <c r="B6" s="210"/>
      <c r="C6" s="206" t="s">
        <v>66</v>
      </c>
      <c r="D6" s="215">
        <v>40000</v>
      </c>
      <c r="E6" s="201"/>
      <c r="F6" s="204" t="s">
        <v>69</v>
      </c>
      <c r="G6" s="204"/>
      <c r="H6" s="205">
        <v>4</v>
      </c>
      <c r="I6" s="201" t="s">
        <v>70</v>
      </c>
      <c r="J6" s="201"/>
      <c r="K6" s="201"/>
      <c r="L6" s="201"/>
      <c r="M6" s="211"/>
      <c r="N6" s="148"/>
      <c r="O6" s="196"/>
      <c r="P6" s="196"/>
      <c r="Q6" s="196"/>
      <c r="R6" s="196"/>
      <c r="S6" s="196"/>
      <c r="T6" s="196"/>
      <c r="U6" s="196"/>
      <c r="V6" s="197"/>
      <c r="W6" s="197"/>
      <c r="X6" s="197"/>
      <c r="Y6" s="571"/>
      <c r="Z6" s="571"/>
      <c r="AA6" s="571"/>
      <c r="AB6" s="571"/>
      <c r="AC6" s="146"/>
    </row>
    <row r="7" spans="1:29">
      <c r="A7" s="145"/>
      <c r="B7" s="210"/>
      <c r="C7" s="206" t="s">
        <v>62</v>
      </c>
      <c r="D7" s="216">
        <v>0.25</v>
      </c>
      <c r="E7" s="201"/>
      <c r="F7" s="204" t="s">
        <v>71</v>
      </c>
      <c r="G7" s="204"/>
      <c r="H7" s="205">
        <v>7</v>
      </c>
      <c r="I7" s="201"/>
      <c r="J7" s="201"/>
      <c r="K7" s="201"/>
      <c r="L7" s="201"/>
      <c r="M7" s="211"/>
      <c r="N7" s="148"/>
      <c r="O7" s="196"/>
      <c r="P7" s="196"/>
      <c r="Q7" s="196"/>
      <c r="R7" s="196"/>
      <c r="S7" s="196"/>
      <c r="T7" s="196"/>
      <c r="U7" s="196"/>
      <c r="V7" s="197"/>
      <c r="W7" s="197"/>
      <c r="X7" s="197"/>
      <c r="Y7" s="571"/>
      <c r="Z7" s="571"/>
      <c r="AA7" s="571"/>
      <c r="AB7" s="571"/>
      <c r="AC7" s="146"/>
    </row>
    <row r="8" spans="1:29">
      <c r="A8" s="145"/>
      <c r="B8" s="210"/>
      <c r="C8" s="206" t="s">
        <v>63</v>
      </c>
      <c r="D8" s="216">
        <v>0.5</v>
      </c>
      <c r="E8" s="201"/>
      <c r="F8" s="204" t="s">
        <v>72</v>
      </c>
      <c r="G8" s="204"/>
      <c r="H8" s="205">
        <v>3</v>
      </c>
      <c r="I8" s="201"/>
      <c r="J8" s="201"/>
      <c r="K8" s="201"/>
      <c r="L8" s="201"/>
      <c r="M8" s="211"/>
      <c r="N8" s="148"/>
      <c r="O8" s="196"/>
      <c r="P8" s="196"/>
      <c r="Q8" s="196"/>
      <c r="R8" s="196"/>
      <c r="S8" s="196"/>
      <c r="T8" s="196"/>
      <c r="U8" s="196"/>
      <c r="V8" s="194"/>
      <c r="W8" s="194"/>
      <c r="X8" s="194"/>
      <c r="Y8" s="571"/>
      <c r="Z8" s="571"/>
      <c r="AA8" s="571"/>
      <c r="AB8" s="571"/>
      <c r="AC8" s="146"/>
    </row>
    <row r="9" spans="1:29">
      <c r="A9" s="145"/>
      <c r="B9" s="210"/>
      <c r="C9" s="206" t="s">
        <v>64</v>
      </c>
      <c r="D9" s="216">
        <v>0.75</v>
      </c>
      <c r="E9" s="201"/>
      <c r="F9" s="204" t="s">
        <v>73</v>
      </c>
      <c r="G9" s="204"/>
      <c r="H9" s="205">
        <v>4</v>
      </c>
      <c r="I9" s="201" t="s">
        <v>74</v>
      </c>
      <c r="J9" s="201"/>
      <c r="K9" s="201"/>
      <c r="L9" s="201"/>
      <c r="M9" s="211"/>
      <c r="N9" s="148"/>
      <c r="O9" s="196"/>
      <c r="P9" s="196"/>
      <c r="Q9" s="196"/>
      <c r="R9" s="196"/>
      <c r="S9" s="196"/>
      <c r="T9" s="196"/>
      <c r="U9" s="196"/>
      <c r="V9" s="572"/>
      <c r="W9" s="572"/>
      <c r="X9" s="572"/>
      <c r="Y9" s="572"/>
      <c r="Z9" s="198"/>
      <c r="AA9" s="198"/>
      <c r="AB9" s="198"/>
      <c r="AC9" s="146"/>
    </row>
    <row r="10" spans="1:29">
      <c r="A10" s="145"/>
      <c r="B10" s="210"/>
      <c r="C10" s="206" t="s">
        <v>65</v>
      </c>
      <c r="D10" s="217">
        <v>1</v>
      </c>
      <c r="E10" s="201"/>
      <c r="F10" s="204" t="s">
        <v>75</v>
      </c>
      <c r="G10" s="204"/>
      <c r="H10" s="205">
        <v>7</v>
      </c>
      <c r="I10" s="201"/>
      <c r="J10" s="201"/>
      <c r="K10" s="201"/>
      <c r="L10" s="201"/>
      <c r="M10" s="211"/>
      <c r="N10" s="148"/>
      <c r="O10" s="566"/>
      <c r="P10" s="566"/>
      <c r="Q10" s="566"/>
      <c r="R10" s="566"/>
      <c r="S10" s="566"/>
      <c r="T10" s="566"/>
      <c r="U10" s="566"/>
      <c r="V10" s="567"/>
      <c r="W10" s="567"/>
      <c r="X10" s="567"/>
      <c r="Y10" s="567"/>
      <c r="Z10" s="193"/>
      <c r="AA10" s="193"/>
      <c r="AB10" s="193"/>
      <c r="AC10" s="146"/>
    </row>
    <row r="11" spans="1:29">
      <c r="A11" s="145"/>
      <c r="B11" s="212"/>
      <c r="C11" s="213"/>
      <c r="D11" s="213"/>
      <c r="E11" s="213"/>
      <c r="F11" s="213"/>
      <c r="G11" s="213"/>
      <c r="H11" s="213"/>
      <c r="I11" s="213"/>
      <c r="J11" s="213"/>
      <c r="K11" s="213"/>
      <c r="L11" s="213"/>
      <c r="M11" s="214"/>
      <c r="N11" s="148"/>
      <c r="O11" s="199"/>
      <c r="P11" s="199"/>
      <c r="Q11" s="199"/>
      <c r="R11" s="199"/>
      <c r="S11" s="199"/>
      <c r="T11" s="199"/>
      <c r="U11" s="199"/>
      <c r="V11" s="199"/>
      <c r="W11" s="199"/>
      <c r="X11" s="199"/>
      <c r="Y11" s="193"/>
      <c r="Z11" s="193"/>
      <c r="AA11" s="193"/>
      <c r="AB11" s="193"/>
      <c r="AC11" s="146"/>
    </row>
    <row r="12" spans="1:29" ht="14" thickBot="1">
      <c r="B12" s="147"/>
      <c r="C12" s="147"/>
      <c r="D12" s="147"/>
      <c r="E12" s="147"/>
      <c r="F12" s="147"/>
      <c r="G12" s="147"/>
      <c r="H12" s="147"/>
      <c r="I12" s="147"/>
      <c r="J12" s="147"/>
      <c r="K12" s="147"/>
      <c r="L12" s="147"/>
      <c r="M12" s="147"/>
      <c r="N12" s="144"/>
      <c r="O12" s="147"/>
      <c r="P12" s="147"/>
      <c r="Q12" s="147"/>
      <c r="R12" s="147"/>
      <c r="S12" s="147"/>
      <c r="T12" s="147"/>
      <c r="U12" s="147"/>
      <c r="V12" s="147"/>
      <c r="W12" s="147"/>
      <c r="X12" s="147"/>
      <c r="Y12" s="147"/>
      <c r="Z12" s="147"/>
      <c r="AA12" s="147"/>
      <c r="AB12" s="147"/>
    </row>
    <row r="13" spans="1:29" ht="14" thickBot="1">
      <c r="A13" s="145"/>
      <c r="B13" s="149" t="s">
        <v>76</v>
      </c>
      <c r="C13" s="150"/>
      <c r="D13" s="150"/>
      <c r="E13" s="150"/>
      <c r="F13" s="150"/>
      <c r="G13" s="150"/>
      <c r="H13" s="150"/>
      <c r="I13" s="150"/>
      <c r="J13" s="150"/>
      <c r="K13" s="150"/>
      <c r="L13" s="150"/>
      <c r="M13" s="150"/>
      <c r="N13" s="150"/>
      <c r="O13" s="150"/>
      <c r="P13" s="150"/>
      <c r="Q13" s="150"/>
      <c r="R13" s="150"/>
      <c r="S13" s="150"/>
      <c r="T13" s="150"/>
      <c r="U13" s="150"/>
      <c r="V13" s="150"/>
      <c r="W13" s="150"/>
      <c r="X13" s="150"/>
      <c r="Y13" s="150"/>
      <c r="Z13" s="150"/>
      <c r="AA13" s="150"/>
      <c r="AB13" s="150"/>
      <c r="AC13" s="146"/>
    </row>
    <row r="14" spans="1:29" ht="14" thickBot="1">
      <c r="A14" s="145"/>
      <c r="B14" s="151"/>
      <c r="C14" s="152"/>
      <c r="D14" s="152"/>
      <c r="E14" s="152"/>
      <c r="F14" s="152"/>
      <c r="G14" s="152"/>
      <c r="H14" s="152"/>
      <c r="I14" s="152"/>
      <c r="J14" s="152"/>
      <c r="K14" s="152"/>
      <c r="L14" s="152"/>
      <c r="M14" s="152"/>
      <c r="N14" s="152"/>
      <c r="O14" s="152"/>
      <c r="P14" s="152"/>
      <c r="Q14" s="152"/>
      <c r="R14" s="152"/>
      <c r="S14" s="152"/>
      <c r="T14" s="152"/>
      <c r="U14" s="152"/>
      <c r="V14" s="152"/>
      <c r="W14" s="152"/>
      <c r="X14" s="152"/>
      <c r="Y14" s="152"/>
      <c r="Z14" s="152"/>
      <c r="AA14" s="152"/>
      <c r="AB14" s="153"/>
      <c r="AC14" s="146"/>
    </row>
    <row r="15" spans="1:29" ht="14" thickBot="1">
      <c r="A15" s="145"/>
      <c r="B15" s="154"/>
      <c r="C15" s="155"/>
      <c r="D15" s="156" t="s">
        <v>110</v>
      </c>
      <c r="E15" s="563" t="s">
        <v>77</v>
      </c>
      <c r="F15" s="564"/>
      <c r="G15" s="564"/>
      <c r="H15" s="564"/>
      <c r="I15" s="564"/>
      <c r="J15" s="564"/>
      <c r="K15" s="564"/>
      <c r="L15" s="564"/>
      <c r="M15" s="564"/>
      <c r="N15" s="564"/>
      <c r="O15" s="564"/>
      <c r="P15" s="565"/>
      <c r="Q15" s="563" t="s">
        <v>78</v>
      </c>
      <c r="R15" s="564"/>
      <c r="S15" s="564"/>
      <c r="T15" s="564"/>
      <c r="U15" s="564"/>
      <c r="V15" s="564"/>
      <c r="W15" s="564"/>
      <c r="X15" s="564"/>
      <c r="Y15" s="564"/>
      <c r="Z15" s="564"/>
      <c r="AA15" s="564"/>
      <c r="AB15" s="565"/>
      <c r="AC15" s="146"/>
    </row>
    <row r="16" spans="1:29">
      <c r="A16" s="145"/>
      <c r="B16" s="157"/>
      <c r="C16" s="158"/>
      <c r="D16" s="159">
        <v>12</v>
      </c>
      <c r="E16" s="160">
        <v>1</v>
      </c>
      <c r="F16" s="161">
        <v>2</v>
      </c>
      <c r="G16" s="161">
        <v>3</v>
      </c>
      <c r="H16" s="161">
        <v>4</v>
      </c>
      <c r="I16" s="161">
        <v>5</v>
      </c>
      <c r="J16" s="161">
        <v>6</v>
      </c>
      <c r="K16" s="161">
        <v>7</v>
      </c>
      <c r="L16" s="161">
        <v>8</v>
      </c>
      <c r="M16" s="161">
        <v>9</v>
      </c>
      <c r="N16" s="161">
        <v>10</v>
      </c>
      <c r="O16" s="161">
        <v>11</v>
      </c>
      <c r="P16" s="162">
        <v>12</v>
      </c>
      <c r="Q16" s="160">
        <v>1</v>
      </c>
      <c r="R16" s="161">
        <v>2</v>
      </c>
      <c r="S16" s="161">
        <v>3</v>
      </c>
      <c r="T16" s="161">
        <v>4</v>
      </c>
      <c r="U16" s="161">
        <v>5</v>
      </c>
      <c r="V16" s="161">
        <v>6</v>
      </c>
      <c r="W16" s="161">
        <v>7</v>
      </c>
      <c r="X16" s="161">
        <v>8</v>
      </c>
      <c r="Y16" s="161">
        <v>9</v>
      </c>
      <c r="Z16" s="161">
        <v>10</v>
      </c>
      <c r="AA16" s="161">
        <v>11</v>
      </c>
      <c r="AB16" s="162">
        <v>12</v>
      </c>
      <c r="AC16" s="146"/>
    </row>
    <row r="17" spans="1:30" ht="14" thickBot="1">
      <c r="A17" s="145"/>
      <c r="B17" s="163"/>
      <c r="C17" s="164"/>
      <c r="D17" s="165"/>
      <c r="E17" s="218"/>
      <c r="F17" s="219"/>
      <c r="G17" s="219"/>
      <c r="H17" s="219"/>
      <c r="I17" s="219"/>
      <c r="J17" s="219"/>
      <c r="K17" s="219"/>
      <c r="L17" s="219"/>
      <c r="M17" s="219"/>
      <c r="N17" s="219"/>
      <c r="O17" s="219"/>
      <c r="P17" s="220"/>
      <c r="Q17" s="218"/>
      <c r="R17" s="219"/>
      <c r="S17" s="219"/>
      <c r="T17" s="219"/>
      <c r="U17" s="219"/>
      <c r="V17" s="219"/>
      <c r="W17" s="219"/>
      <c r="X17" s="219"/>
      <c r="Y17" s="219"/>
      <c r="Z17" s="219"/>
      <c r="AA17" s="219"/>
      <c r="AB17" s="220"/>
      <c r="AC17" s="146"/>
    </row>
    <row r="18" spans="1:30" s="168" customFormat="1">
      <c r="A18" s="166"/>
      <c r="B18" s="169"/>
      <c r="C18" s="168" t="s">
        <v>276</v>
      </c>
      <c r="D18" s="183">
        <f>(Revenues!I89+Revenues!I90+Revenues!I91)*12</f>
        <v>192000</v>
      </c>
      <c r="E18" s="224">
        <f>(Revenues!I89+Revenues!I90+Revenues!I91)*12</f>
        <v>192000</v>
      </c>
      <c r="F18" s="225">
        <f>(Revenues!J89+Revenues!J90+Revenues!J91)*12</f>
        <v>252000</v>
      </c>
      <c r="G18" s="225">
        <f>(Revenues!K89+Revenues!K90+Revenues!K91)*12</f>
        <v>252000</v>
      </c>
      <c r="H18" s="225">
        <f>(Revenues!L89+Revenues!L90+Revenues!L91)*12</f>
        <v>252000</v>
      </c>
      <c r="I18" s="225">
        <f>(Revenues!M89+Revenues!M90+Revenues!M91)*12</f>
        <v>252000</v>
      </c>
      <c r="J18" s="225">
        <f>(Revenues!N89+Revenues!N90+Revenues!N91)*12</f>
        <v>312000</v>
      </c>
      <c r="K18" s="225">
        <f>(Revenues!O89+Revenues!O90+Revenues!O91)*12</f>
        <v>312000</v>
      </c>
      <c r="L18" s="225">
        <f>(Revenues!P89+Revenues!P90+Revenues!P91)*12</f>
        <v>312000</v>
      </c>
      <c r="M18" s="225">
        <f>(Revenues!Q89+Revenues!Q90+Revenues!Q91)*12</f>
        <v>372000</v>
      </c>
      <c r="N18" s="225">
        <f>(Revenues!R89+Revenues!R90+Revenues!R91)*12</f>
        <v>372000</v>
      </c>
      <c r="O18" s="225">
        <f>(Revenues!S89+Revenues!S90+Revenues!S91)*12</f>
        <v>360000</v>
      </c>
      <c r="P18" s="226">
        <f>(Revenues!T89+Revenues!T90+Revenues!T91)*12</f>
        <v>360000</v>
      </c>
      <c r="Q18" s="224">
        <f>(Revenues!V89+Revenues!V90+Revenues!V91)*12</f>
        <v>324000</v>
      </c>
      <c r="R18" s="225">
        <f>(Revenues!W89+Revenues!W90+Revenues!W91)*12</f>
        <v>390000</v>
      </c>
      <c r="S18" s="225">
        <f>(Revenues!X89+Revenues!X90+Revenues!X91)*12</f>
        <v>390000</v>
      </c>
      <c r="T18" s="225">
        <f>(Revenues!Y89+Revenues!Y90+Revenues!Y91)*12</f>
        <v>390000</v>
      </c>
      <c r="U18" s="225">
        <f>(Revenues!Z89+Revenues!Z90+Revenues!Z91)*12</f>
        <v>390000</v>
      </c>
      <c r="V18" s="225">
        <f>(Revenues!AA89+Revenues!AA90+Revenues!AA91)*12</f>
        <v>456000</v>
      </c>
      <c r="W18" s="225">
        <f>(Revenues!AB89+Revenues!AB90+Revenues!AB91)*12</f>
        <v>456000</v>
      </c>
      <c r="X18" s="225">
        <f>(Revenues!AC89+Revenues!AC90+Revenues!AC91)*12</f>
        <v>516000</v>
      </c>
      <c r="Y18" s="225">
        <f>(Revenues!AD89+Revenues!AD90+Revenues!AD91)*12</f>
        <v>576000</v>
      </c>
      <c r="Z18" s="225">
        <f>(Revenues!AE89+Revenues!AE90+Revenues!AE91)*12</f>
        <v>576000</v>
      </c>
      <c r="AA18" s="225">
        <f>(Revenues!AF89+Revenues!AF90+Revenues!AF91)*12</f>
        <v>570000</v>
      </c>
      <c r="AB18" s="226">
        <f>(Revenues!AG89+Revenues!AG90+Revenues!AG91)*12</f>
        <v>630000</v>
      </c>
      <c r="AC18" s="251"/>
      <c r="AD18" s="167"/>
    </row>
    <row r="19" spans="1:30">
      <c r="A19" s="145"/>
      <c r="B19" s="170"/>
      <c r="D19" s="183"/>
      <c r="E19" s="227"/>
      <c r="F19" s="228"/>
      <c r="G19" s="228"/>
      <c r="H19" s="228"/>
      <c r="I19" s="228"/>
      <c r="J19" s="228"/>
      <c r="K19" s="228"/>
      <c r="L19" s="228"/>
      <c r="M19" s="228"/>
      <c r="N19" s="228"/>
      <c r="O19" s="228"/>
      <c r="P19" s="229"/>
      <c r="Q19" s="227"/>
      <c r="R19" s="228"/>
      <c r="S19" s="228"/>
      <c r="T19" s="228"/>
      <c r="U19" s="228"/>
      <c r="V19" s="228"/>
      <c r="W19" s="228"/>
      <c r="X19" s="228"/>
      <c r="Y19" s="228"/>
      <c r="Z19" s="228"/>
      <c r="AA19" s="228"/>
      <c r="AB19" s="229"/>
      <c r="AC19" s="146"/>
    </row>
    <row r="20" spans="1:30">
      <c r="A20" s="145"/>
      <c r="B20" s="170"/>
      <c r="C20" s="168" t="s">
        <v>277</v>
      </c>
      <c r="D20" s="183"/>
      <c r="E20" s="227"/>
      <c r="F20" s="228"/>
      <c r="G20" s="228"/>
      <c r="H20" s="228"/>
      <c r="I20" s="228"/>
      <c r="J20" s="228"/>
      <c r="K20" s="228"/>
      <c r="L20" s="228"/>
      <c r="M20" s="228"/>
      <c r="N20" s="228"/>
      <c r="O20" s="228"/>
      <c r="P20" s="229"/>
      <c r="Q20" s="227"/>
      <c r="R20" s="228"/>
      <c r="S20" s="228"/>
      <c r="T20" s="228"/>
      <c r="U20" s="228"/>
      <c r="V20" s="228"/>
      <c r="W20" s="228"/>
      <c r="X20" s="228"/>
      <c r="Y20" s="228"/>
      <c r="Z20" s="228"/>
      <c r="AA20" s="228"/>
      <c r="AB20" s="229"/>
      <c r="AC20" s="146"/>
    </row>
    <row r="21" spans="1:30">
      <c r="A21" s="145"/>
      <c r="B21" s="170"/>
      <c r="C21" s="143" t="s">
        <v>79</v>
      </c>
      <c r="D21" s="183">
        <f>$D$6</f>
        <v>40000</v>
      </c>
      <c r="E21" s="227">
        <f>IF(D21=$D$6,$D$6,IF(D21=$D$6*$D$7,$D$6*$D$8, IF(D21=$D$6*$D$8,$D$6*$D$9, IF(D21=$D$6*$D$9, $D$6, IF(AND((SUM(E20:E$21)-E$18)&lt;0,D21=""),$D$6*$D$7,"")))))</f>
        <v>40000</v>
      </c>
      <c r="F21" s="228">
        <f>IF(E21=$D$6,$D$6,IF(E21=$D$6*$D$7,$D$6*$D$8, IF(E21=$D$6*$D$8,$D$6*$D$9, IF(E21=$D$6*$D$9, $D$6, IF(AND((SUM(F20:F$21)-F$18)&lt;0,E21=""),$D$6*$D$7,"")))))</f>
        <v>40000</v>
      </c>
      <c r="G21" s="228">
        <f>IF(F21=$D$6,$D$6,IF(F21=$D$6*$D$7,$D$6*$D$8, IF(F21=$D$6*$D$8,$D$6*$D$9, IF(F21=$D$6*$D$9, $D$6, IF(AND((SUM(G20:G$21)-G$18)&lt;0,F21=""),$D$6*$D$7,"")))))</f>
        <v>40000</v>
      </c>
      <c r="H21" s="228">
        <f>IF(G21=$D$6,$D$6,IF(G21=$D$6*$D$7,$D$6*$D$8, IF(G21=$D$6*$D$8,$D$6*$D$9, IF(G21=$D$6*$D$9, $D$6, IF(AND((SUM(H20:H$21)-H$18)&lt;0,G21=""),$D$6*$D$7,"")))))</f>
        <v>40000</v>
      </c>
      <c r="I21" s="228">
        <f>IF(H21=$D$6,$D$6,IF(H21=$D$6*$D$7,$D$6*$D$8, IF(H21=$D$6*$D$8,$D$6*$D$9, IF(H21=$D$6*$D$9, $D$6, IF(AND((SUM(I20:I$21)-I$18)&lt;0,H21=""),$D$6*$D$7,"")))))</f>
        <v>40000</v>
      </c>
      <c r="J21" s="228">
        <f>IF(I21=$D$6,$D$6,IF(I21=$D$6*$D$7,$D$6*$D$8, IF(I21=$D$6*$D$8,$D$6*$D$9, IF(I21=$D$6*$D$9, $D$6, IF(AND((SUM(J20:J$21)-J$18)&lt;0,I21=""),$D$6*$D$7,"")))))</f>
        <v>40000</v>
      </c>
      <c r="K21" s="228">
        <f>IF(J21=$D$6,$D$6,IF(J21=$D$6*$D$7,$D$6*$D$8, IF(J21=$D$6*$D$8,$D$6*$D$9, IF(J21=$D$6*$D$9, $D$6, IF(AND((SUM(K20:K$21)-K$18)&lt;0,J21=""),$D$6*$D$7,"")))))</f>
        <v>40000</v>
      </c>
      <c r="L21" s="228">
        <f>IF(K21=$D$6,$D$6,IF(K21=$D$6*$D$7,$D$6*$D$8, IF(K21=$D$6*$D$8,$D$6*$D$9, IF(K21=$D$6*$D$9, $D$6, IF(AND((SUM(L20:L$21)-L$18)&lt;0,K21=""),$D$6*$D$7,"")))))</f>
        <v>40000</v>
      </c>
      <c r="M21" s="228">
        <f>IF(L21=$D$6,$D$6,IF(L21=$D$6*$D$7,$D$6*$D$8, IF(L21=$D$6*$D$8,$D$6*$D$9, IF(L21=$D$6*$D$9, $D$6, IF(AND((SUM(M20:M$21)-M$18)&lt;0,L21=""),$D$6*$D$7,"")))))</f>
        <v>40000</v>
      </c>
      <c r="N21" s="228">
        <f>IF(M21=$D$6,$D$6,IF(M21=$D$6*$D$7,$D$6*$D$8, IF(M21=$D$6*$D$8,$D$6*$D$9, IF(M21=$D$6*$D$9, $D$6, IF(AND((SUM(N20:N$21)-N$18)&lt;0,M21=""),$D$6*$D$7,"")))))</f>
        <v>40000</v>
      </c>
      <c r="O21" s="228">
        <f>IF(N21=$D$6,$D$6,IF(N21=$D$6*$D$7,$D$6*$D$8, IF(N21=$D$6*$D$8,$D$6*$D$9, IF(N21=$D$6*$D$9, $D$6, IF(AND((SUM(O20:O$21)-O$18)&lt;0,N21=""),$D$6*$D$7,"")))))</f>
        <v>40000</v>
      </c>
      <c r="P21" s="229">
        <f>IF(O21=$D$6,$D$6,IF(O21=$D$6*$D$7,$D$6*$D$8, IF(O21=$D$6*$D$8,$D$6*$D$9, IF(O21=$D$6*$D$9, $D$6, IF(AND((SUM(P20:P$21)-P$18)&lt;0,O21=""),$D$6*$D$7,"")))))</f>
        <v>40000</v>
      </c>
      <c r="Q21" s="227">
        <f>IF(P21=$D$6,$D$6,IF(P21=$D$6*$D$7,$D$6*$D$8, IF(P21=$D$6*$D$8,$D$6*$D$9, IF(P21=$D$6*$D$9, $D$6, IF(AND((SUM(Q20:Q$21)-Q$18)&lt;0,P21=""),$D$6*$D$7,"")))))</f>
        <v>40000</v>
      </c>
      <c r="R21" s="228">
        <f>IF(Q21=$D$6,$D$6,IF(Q21=$D$6*$D$7,$D$6*$D$8, IF(Q21=$D$6*$D$8,$D$6*$D$9, IF(Q21=$D$6*$D$9, $D$6, IF(AND((SUM(R20:R$21)-R$18)&lt;0,Q21=""),$D$6*$D$7,"")))))</f>
        <v>40000</v>
      </c>
      <c r="S21" s="228">
        <f>IF(R21=$D$6,$D$6,IF(R21=$D$6*$D$7,$D$6*$D$8, IF(R21=$D$6*$D$8,$D$6*$D$9, IF(R21=$D$6*$D$9, $D$6, IF(AND((SUM(S20:S$21)-S$18)&lt;0,R21=""),$D$6*$D$7,"")))))</f>
        <v>40000</v>
      </c>
      <c r="T21" s="228">
        <f>IF(S21=$D$6,$D$6,IF(S21=$D$6*$D$7,$D$6*$D$8, IF(S21=$D$6*$D$8,$D$6*$D$9, IF(S21=$D$6*$D$9, $D$6, IF(AND((SUM(T20:T$21)-T$18)&lt;0,S21=""),$D$6*$D$7,"")))))</f>
        <v>40000</v>
      </c>
      <c r="U21" s="228">
        <f>IF(T21=$D$6,$D$6,IF(T21=$D$6*$D$7,$D$6*$D$8, IF(T21=$D$6*$D$8,$D$6*$D$9, IF(T21=$D$6*$D$9, $D$6, IF(AND((SUM(U20:U$21)-U$18)&lt;0,T21=""),$D$6*$D$7,"")))))</f>
        <v>40000</v>
      </c>
      <c r="V21" s="228">
        <f>IF(U21=$D$6,$D$6,IF(U21=$D$6*$D$7,$D$6*$D$8, IF(U21=$D$6*$D$8,$D$6*$D$9, IF(U21=$D$6*$D$9, $D$6, IF(AND((SUM(V20:V$21)-V$18)&lt;0,U21=""),$D$6*$D$7,"")))))</f>
        <v>40000</v>
      </c>
      <c r="W21" s="228">
        <f>IF(V21=$D$6,$D$6,IF(V21=$D$6*$D$7,$D$6*$D$8, IF(V21=$D$6*$D$8,$D$6*$D$9, IF(V21=$D$6*$D$9, $D$6, IF(AND((SUM(W20:W$21)-W$18)&lt;0,V21=""),$D$6*$D$7,"")))))</f>
        <v>40000</v>
      </c>
      <c r="X21" s="228">
        <f>IF(W21=$D$6,$D$6,IF(W21=$D$6*$D$7,$D$6*$D$8, IF(W21=$D$6*$D$8,$D$6*$D$9, IF(W21=$D$6*$D$9, $D$6, IF(AND((SUM(X20:X$21)-X$18)&lt;0,W21=""),$D$6*$D$7,"")))))</f>
        <v>40000</v>
      </c>
      <c r="Y21" s="228">
        <f>IF(X21=$D$6,$D$6,IF(X21=$D$6*$D$7,$D$6*$D$8, IF(X21=$D$6*$D$8,$D$6*$D$9, IF(X21=$D$6*$D$9, $D$6, IF(AND((SUM(Y20:Y$21)-Y$18)&lt;0,X21=""),$D$6*$D$7,"")))))</f>
        <v>40000</v>
      </c>
      <c r="Z21" s="228">
        <f>IF(Y21=$D$6,$D$6,IF(Y21=$D$6*$D$7,$D$6*$D$8, IF(Y21=$D$6*$D$8,$D$6*$D$9, IF(Y21=$D$6*$D$9, $D$6, IF(AND((SUM(Z20:Z$21)-Z$18)&lt;0,Y21=""),$D$6*$D$7,"")))))</f>
        <v>40000</v>
      </c>
      <c r="AA21" s="228">
        <f>IF(Z21=$D$6,$D$6,IF(Z21=$D$6*$D$7,$D$6*$D$8, IF(Z21=$D$6*$D$8,$D$6*$D$9, IF(Z21=$D$6*$D$9, $D$6, IF(AND((SUM(AA20:AA$21)-AA$18)&lt;0,Z21=""),$D$6*$D$7,"")))))</f>
        <v>40000</v>
      </c>
      <c r="AB21" s="229">
        <f>IF(AA21=$D$6,$D$6,IF(AA21=$D$6*$D$7,$D$6*$D$8, IF(AA21=$D$6*$D$8,$D$6*$D$9, IF(AA21=$D$6*$D$9, $D$6, IF(AND((SUM(AB20:AB$21)-AB$18)&lt;0,AA21=""),$D$6*$D$7,"")))))</f>
        <v>40000</v>
      </c>
      <c r="AC21" s="146"/>
    </row>
    <row r="22" spans="1:30">
      <c r="A22" s="145"/>
      <c r="B22" s="170"/>
      <c r="C22" s="143" t="s">
        <v>80</v>
      </c>
      <c r="D22" s="183">
        <f>IF($D$18&gt;SUM(D$21:D21),$D$6,0)</f>
        <v>40000</v>
      </c>
      <c r="E22" s="227">
        <f>IF(D22=$D$6,$D$6,IF(D22=$D$6*$D$7,$D$6*$D$8, IF(D22=$D$6*$D$8,$D$6*$D$9, IF(D22=$D$6*$D$9, $D$6, IF(AND((SUM(E$21:E21)-E$18)&lt;0,D22=""),$D$6*$D$7,"")))))</f>
        <v>40000</v>
      </c>
      <c r="F22" s="228">
        <f>IF(E22=$D$6,$D$6,IF(E22=$D$6*$D$7,$D$6*$D$8, IF(E22=$D$6*$D$8,$D$6*$D$9, IF(E22=$D$6*$D$9, $D$6, IF(AND((SUM(F$21:F21)-F$18)&lt;0,E22=""),$D$6*$D$7,"")))))</f>
        <v>40000</v>
      </c>
      <c r="G22" s="228">
        <f>IF(F22=$D$6,$D$6,IF(F22=$D$6*$D$7,$D$6*$D$8, IF(F22=$D$6*$D$8,$D$6*$D$9, IF(F22=$D$6*$D$9, $D$6, IF(AND((SUM(G$21:G21)-G$18)&lt;0,F22=""),$D$6*$D$7,"")))))</f>
        <v>40000</v>
      </c>
      <c r="H22" s="228">
        <f>IF(G22=$D$6,$D$6,IF(G22=$D$6*$D$7,$D$6*$D$8, IF(G22=$D$6*$D$8,$D$6*$D$9, IF(G22=$D$6*$D$9, $D$6, IF(AND((SUM(H$21:H21)-H$18)&lt;0,G22=""),$D$6*$D$7,"")))))</f>
        <v>40000</v>
      </c>
      <c r="I22" s="228">
        <f>IF(H22=$D$6,$D$6,IF(H22=$D$6*$D$7,$D$6*$D$8, IF(H22=$D$6*$D$8,$D$6*$D$9, IF(H22=$D$6*$D$9, $D$6, IF(AND((SUM(I$21:I21)-I$18)&lt;0,H22=""),$D$6*$D$7,"")))))</f>
        <v>40000</v>
      </c>
      <c r="J22" s="228">
        <f>IF(I22=$D$6,$D$6,IF(I22=$D$6*$D$7,$D$6*$D$8, IF(I22=$D$6*$D$8,$D$6*$D$9, IF(I22=$D$6*$D$9, $D$6, IF(AND((SUM(J$21:J21)-J$18)&lt;0,I22=""),$D$6*$D$7,"")))))</f>
        <v>40000</v>
      </c>
      <c r="K22" s="228">
        <f>IF(J22=$D$6,$D$6,IF(J22=$D$6*$D$7,$D$6*$D$8, IF(J22=$D$6*$D$8,$D$6*$D$9, IF(J22=$D$6*$D$9, $D$6, IF(AND((SUM(K$21:K21)-K$18)&lt;0,J22=""),$D$6*$D$7,"")))))</f>
        <v>40000</v>
      </c>
      <c r="L22" s="228">
        <f>IF(K22=$D$6,$D$6,IF(K22=$D$6*$D$7,$D$6*$D$8, IF(K22=$D$6*$D$8,$D$6*$D$9, IF(K22=$D$6*$D$9, $D$6, IF(AND((SUM(L$21:L21)-L$18)&lt;0,K22=""),$D$6*$D$7,"")))))</f>
        <v>40000</v>
      </c>
      <c r="M22" s="228">
        <f>IF(L22=$D$6,$D$6,IF(L22=$D$6*$D$7,$D$6*$D$8, IF(L22=$D$6*$D$8,$D$6*$D$9, IF(L22=$D$6*$D$9, $D$6, IF(AND((SUM(M$21:M21)-M$18)&lt;0,L22=""),$D$6*$D$7,"")))))</f>
        <v>40000</v>
      </c>
      <c r="N22" s="228">
        <f>IF(M22=$D$6,$D$6,IF(M22=$D$6*$D$7,$D$6*$D$8, IF(M22=$D$6*$D$8,$D$6*$D$9, IF(M22=$D$6*$D$9, $D$6, IF(AND((SUM(N$21:N21)-N$18)&lt;0,M22=""),$D$6*$D$7,"")))))</f>
        <v>40000</v>
      </c>
      <c r="O22" s="228">
        <f>IF(N22=$D$6,$D$6,IF(N22=$D$6*$D$7,$D$6*$D$8, IF(N22=$D$6*$D$8,$D$6*$D$9, IF(N22=$D$6*$D$9, $D$6, IF(AND((SUM(O$21:O21)-O$18)&lt;0,N22=""),$D$6*$D$7,"")))))</f>
        <v>40000</v>
      </c>
      <c r="P22" s="229">
        <f>IF(O22=$D$6,$D$6,IF(O22=$D$6*$D$7,$D$6*$D$8, IF(O22=$D$6*$D$8,$D$6*$D$9, IF(O22=$D$6*$D$9, $D$6, IF(AND((SUM(P$21:P21)-P$18)&lt;0,O22=""),$D$6*$D$7,"")))))</f>
        <v>40000</v>
      </c>
      <c r="Q22" s="227">
        <f>IF(P22=$D$6,$D$6,IF(P22=$D$6*$D$7,$D$6*$D$8, IF(P22=$D$6*$D$8,$D$6*$D$9, IF(P22=$D$6*$D$9, $D$6, IF(AND((SUM(Q$21:Q21)-Q$18)&lt;0,P22=""),$D$6*$D$7,"")))))</f>
        <v>40000</v>
      </c>
      <c r="R22" s="228">
        <f>IF(Q22=$D$6,$D$6,IF(Q22=$D$6*$D$7,$D$6*$D$8, IF(Q22=$D$6*$D$8,$D$6*$D$9, IF(Q22=$D$6*$D$9, $D$6, IF(AND((SUM(R$21:R21)-R$18)&lt;0,Q22=""),$D$6*$D$7,"")))))</f>
        <v>40000</v>
      </c>
      <c r="S22" s="228">
        <f>IF(R22=$D$6,$D$6,IF(R22=$D$6*$D$7,$D$6*$D$8, IF(R22=$D$6*$D$8,$D$6*$D$9, IF(R22=$D$6*$D$9, $D$6, IF(AND((SUM(S$21:S21)-S$18)&lt;0,R22=""),$D$6*$D$7,"")))))</f>
        <v>40000</v>
      </c>
      <c r="T22" s="228">
        <f>IF(S22=$D$6,$D$6,IF(S22=$D$6*$D$7,$D$6*$D$8, IF(S22=$D$6*$D$8,$D$6*$D$9, IF(S22=$D$6*$D$9, $D$6, IF(AND((SUM(T$21:T21)-T$18)&lt;0,S22=""),$D$6*$D$7,"")))))</f>
        <v>40000</v>
      </c>
      <c r="U22" s="228">
        <f>IF(T22=$D$6,$D$6,IF(T22=$D$6*$D$7,$D$6*$D$8, IF(T22=$D$6*$D$8,$D$6*$D$9, IF(T22=$D$6*$D$9, $D$6, IF(AND((SUM(U$21:U21)-U$18)&lt;0,T22=""),$D$6*$D$7,"")))))</f>
        <v>40000</v>
      </c>
      <c r="V22" s="228">
        <f>IF(U22=$D$6,$D$6,IF(U22=$D$6*$D$7,$D$6*$D$8, IF(U22=$D$6*$D$8,$D$6*$D$9, IF(U22=$D$6*$D$9, $D$6, IF(AND((SUM(V$21:V21)-V$18)&lt;0,U22=""),$D$6*$D$7,"")))))</f>
        <v>40000</v>
      </c>
      <c r="W22" s="228">
        <f>IF(V22=$D$6,$D$6,IF(V22=$D$6*$D$7,$D$6*$D$8, IF(V22=$D$6*$D$8,$D$6*$D$9, IF(V22=$D$6*$D$9, $D$6, IF(AND((SUM(W$21:W21)-W$18)&lt;0,V22=""),$D$6*$D$7,"")))))</f>
        <v>40000</v>
      </c>
      <c r="X22" s="228">
        <f>IF(W22=$D$6,$D$6,IF(W22=$D$6*$D$7,$D$6*$D$8, IF(W22=$D$6*$D$8,$D$6*$D$9, IF(W22=$D$6*$D$9, $D$6, IF(AND((SUM(X$21:X21)-X$18)&lt;0,W22=""),$D$6*$D$7,"")))))</f>
        <v>40000</v>
      </c>
      <c r="Y22" s="228">
        <f>IF(X22=$D$6,$D$6,IF(X22=$D$6*$D$7,$D$6*$D$8, IF(X22=$D$6*$D$8,$D$6*$D$9, IF(X22=$D$6*$D$9, $D$6, IF(AND((SUM(Y$21:Y21)-Y$18)&lt;0,X22=""),$D$6*$D$7,"")))))</f>
        <v>40000</v>
      </c>
      <c r="Z22" s="228">
        <f>IF(Y22=$D$6,$D$6,IF(Y22=$D$6*$D$7,$D$6*$D$8, IF(Y22=$D$6*$D$8,$D$6*$D$9, IF(Y22=$D$6*$D$9, $D$6, IF(AND((SUM(Z$21:Z21)-Z$18)&lt;0,Y22=""),$D$6*$D$7,"")))))</f>
        <v>40000</v>
      </c>
      <c r="AA22" s="228">
        <f>IF(Z22=$D$6,$D$6,IF(Z22=$D$6*$D$7,$D$6*$D$8, IF(Z22=$D$6*$D$8,$D$6*$D$9, IF(Z22=$D$6*$D$9, $D$6, IF(AND((SUM(AA$21:AA21)-AA$18)&lt;0,Z22=""),$D$6*$D$7,"")))))</f>
        <v>40000</v>
      </c>
      <c r="AB22" s="229">
        <f>IF(AA22=$D$6,$D$6,IF(AA22=$D$6*$D$7,$D$6*$D$8, IF(AA22=$D$6*$D$8,$D$6*$D$9, IF(AA22=$D$6*$D$9, $D$6, IF(AND((SUM(AB$21:AB21)-AB$18)&lt;0,AA22=""),$D$6*$D$7,"")))))</f>
        <v>40000</v>
      </c>
      <c r="AC22" s="146"/>
    </row>
    <row r="23" spans="1:30">
      <c r="A23" s="145"/>
      <c r="B23" s="170"/>
      <c r="C23" s="143" t="s">
        <v>81</v>
      </c>
      <c r="D23" s="183">
        <f>IF($D$18&gt;SUM(D$21:D22),$D$6,0)</f>
        <v>40000</v>
      </c>
      <c r="E23" s="227">
        <f>IF(D23=$D$6,$D$6,IF(D23=$D$6*$D$7,$D$6*$D$8, IF(D23=$D$6*$D$8,$D$6*$D$9, IF(D23=$D$6*$D$9, $D$6, IF(AND((SUM(E$21:E22)-E$18)&lt;0,D23=""),$D$6*$D$7,"")))))</f>
        <v>40000</v>
      </c>
      <c r="F23" s="228">
        <f>IF(E23=$D$6,$D$6,IF(E23=$D$6*$D$7,$D$6*$D$8, IF(E23=$D$6*$D$8,$D$6*$D$9, IF(E23=$D$6*$D$9, $D$6, IF(AND((SUM(F$21:F22)-F$18)&lt;0,E23=""),$D$6*$D$7,"")))))</f>
        <v>40000</v>
      </c>
      <c r="G23" s="228">
        <f>IF(F23=$D$6,$D$6,IF(F23=$D$6*$D$7,$D$6*$D$8, IF(F23=$D$6*$D$8,$D$6*$D$9, IF(F23=$D$6*$D$9, $D$6, IF(AND((SUM(G$21:G22)-G$18)&lt;0,F23=""),$D$6*$D$7,"")))))</f>
        <v>40000</v>
      </c>
      <c r="H23" s="228">
        <f>IF(G23=$D$6,$D$6,IF(G23=$D$6*$D$7,$D$6*$D$8, IF(G23=$D$6*$D$8,$D$6*$D$9, IF(G23=$D$6*$D$9, $D$6, IF(AND((SUM(H$21:H22)-H$18)&lt;0,G23=""),$D$6*$D$7,"")))))</f>
        <v>40000</v>
      </c>
      <c r="I23" s="228">
        <f>IF(H23=$D$6,$D$6,IF(H23=$D$6*$D$7,$D$6*$D$8, IF(H23=$D$6*$D$8,$D$6*$D$9, IF(H23=$D$6*$D$9, $D$6, IF(AND((SUM(I$21:I22)-I$18)&lt;0,H23=""),$D$6*$D$7,"")))))</f>
        <v>40000</v>
      </c>
      <c r="J23" s="228">
        <f>IF(I23=$D$6,$D$6,IF(I23=$D$6*$D$7,$D$6*$D$8, IF(I23=$D$6*$D$8,$D$6*$D$9, IF(I23=$D$6*$D$9, $D$6, IF(AND((SUM(J$21:J22)-J$18)&lt;0,I23=""),$D$6*$D$7,"")))))</f>
        <v>40000</v>
      </c>
      <c r="K23" s="228">
        <f>IF(J23=$D$6,$D$6,IF(J23=$D$6*$D$7,$D$6*$D$8, IF(J23=$D$6*$D$8,$D$6*$D$9, IF(J23=$D$6*$D$9, $D$6, IF(AND((SUM(K$21:K22)-K$18)&lt;0,J23=""),$D$6*$D$7,"")))))</f>
        <v>40000</v>
      </c>
      <c r="L23" s="228">
        <f>IF(K23=$D$6,$D$6,IF(K23=$D$6*$D$7,$D$6*$D$8, IF(K23=$D$6*$D$8,$D$6*$D$9, IF(K23=$D$6*$D$9, $D$6, IF(AND((SUM(L$21:L22)-L$18)&lt;0,K23=""),$D$6*$D$7,"")))))</f>
        <v>40000</v>
      </c>
      <c r="M23" s="228">
        <f>IF(L23=$D$6,$D$6,IF(L23=$D$6*$D$7,$D$6*$D$8, IF(L23=$D$6*$D$8,$D$6*$D$9, IF(L23=$D$6*$D$9, $D$6, IF(AND((SUM(M$21:M22)-M$18)&lt;0,L23=""),$D$6*$D$7,"")))))</f>
        <v>40000</v>
      </c>
      <c r="N23" s="228">
        <f>IF(M23=$D$6,$D$6,IF(M23=$D$6*$D$7,$D$6*$D$8, IF(M23=$D$6*$D$8,$D$6*$D$9, IF(M23=$D$6*$D$9, $D$6, IF(AND((SUM(N$21:N22)-N$18)&lt;0,M23=""),$D$6*$D$7,"")))))</f>
        <v>40000</v>
      </c>
      <c r="O23" s="228">
        <f>IF(N23=$D$6,$D$6,IF(N23=$D$6*$D$7,$D$6*$D$8, IF(N23=$D$6*$D$8,$D$6*$D$9, IF(N23=$D$6*$D$9, $D$6, IF(AND((SUM(O$21:O22)-O$18)&lt;0,N23=""),$D$6*$D$7,"")))))</f>
        <v>40000</v>
      </c>
      <c r="P23" s="229">
        <f>IF(O23=$D$6,$D$6,IF(O23=$D$6*$D$7,$D$6*$D$8, IF(O23=$D$6*$D$8,$D$6*$D$9, IF(O23=$D$6*$D$9, $D$6, IF(AND((SUM(P$21:P22)-P$18)&lt;0,O23=""),$D$6*$D$7,"")))))</f>
        <v>40000</v>
      </c>
      <c r="Q23" s="227">
        <f>IF(P23=$D$6,$D$6,IF(P23=$D$6*$D$7,$D$6*$D$8, IF(P23=$D$6*$D$8,$D$6*$D$9, IF(P23=$D$6*$D$9, $D$6, IF(AND((SUM(Q$21:Q22)-Q$18)&lt;0,P23=""),$D$6*$D$7,"")))))</f>
        <v>40000</v>
      </c>
      <c r="R23" s="228">
        <f>IF(Q23=$D$6,$D$6,IF(Q23=$D$6*$D$7,$D$6*$D$8, IF(Q23=$D$6*$D$8,$D$6*$D$9, IF(Q23=$D$6*$D$9, $D$6, IF(AND((SUM(R$21:R22)-R$18)&lt;0,Q23=""),$D$6*$D$7,"")))))</f>
        <v>40000</v>
      </c>
      <c r="S23" s="228">
        <f>IF(R23=$D$6,$D$6,IF(R23=$D$6*$D$7,$D$6*$D$8, IF(R23=$D$6*$D$8,$D$6*$D$9, IF(R23=$D$6*$D$9, $D$6, IF(AND((SUM(S$21:S22)-S$18)&lt;0,R23=""),$D$6*$D$7,"")))))</f>
        <v>40000</v>
      </c>
      <c r="T23" s="228">
        <f>IF(S23=$D$6,$D$6,IF(S23=$D$6*$D$7,$D$6*$D$8, IF(S23=$D$6*$D$8,$D$6*$D$9, IF(S23=$D$6*$D$9, $D$6, IF(AND((SUM(T$21:T22)-T$18)&lt;0,S23=""),$D$6*$D$7,"")))))</f>
        <v>40000</v>
      </c>
      <c r="U23" s="228">
        <f>IF(T23=$D$6,$D$6,IF(T23=$D$6*$D$7,$D$6*$D$8, IF(T23=$D$6*$D$8,$D$6*$D$9, IF(T23=$D$6*$D$9, $D$6, IF(AND((SUM(U$21:U22)-U$18)&lt;0,T23=""),$D$6*$D$7,"")))))</f>
        <v>40000</v>
      </c>
      <c r="V23" s="228">
        <f>IF(U23=$D$6,$D$6,IF(U23=$D$6*$D$7,$D$6*$D$8, IF(U23=$D$6*$D$8,$D$6*$D$9, IF(U23=$D$6*$D$9, $D$6, IF(AND((SUM(V$21:V22)-V$18)&lt;0,U23=""),$D$6*$D$7,"")))))</f>
        <v>40000</v>
      </c>
      <c r="W23" s="228">
        <f>IF(V23=$D$6,$D$6,IF(V23=$D$6*$D$7,$D$6*$D$8, IF(V23=$D$6*$D$8,$D$6*$D$9, IF(V23=$D$6*$D$9, $D$6, IF(AND((SUM(W$21:W22)-W$18)&lt;0,V23=""),$D$6*$D$7,"")))))</f>
        <v>40000</v>
      </c>
      <c r="X23" s="228">
        <f>IF(W23=$D$6,$D$6,IF(W23=$D$6*$D$7,$D$6*$D$8, IF(W23=$D$6*$D$8,$D$6*$D$9, IF(W23=$D$6*$D$9, $D$6, IF(AND((SUM(X$21:X22)-X$18)&lt;0,W23=""),$D$6*$D$7,"")))))</f>
        <v>40000</v>
      </c>
      <c r="Y23" s="228">
        <f>IF(X23=$D$6,$D$6,IF(X23=$D$6*$D$7,$D$6*$D$8, IF(X23=$D$6*$D$8,$D$6*$D$9, IF(X23=$D$6*$D$9, $D$6, IF(AND((SUM(Y$21:Y22)-Y$18)&lt;0,X23=""),$D$6*$D$7,"")))))</f>
        <v>40000</v>
      </c>
      <c r="Z23" s="228">
        <f>IF(Y23=$D$6,$D$6,IF(Y23=$D$6*$D$7,$D$6*$D$8, IF(Y23=$D$6*$D$8,$D$6*$D$9, IF(Y23=$D$6*$D$9, $D$6, IF(AND((SUM(Z$21:Z22)-Z$18)&lt;0,Y23=""),$D$6*$D$7,"")))))</f>
        <v>40000</v>
      </c>
      <c r="AA23" s="228">
        <f>IF(Z23=$D$6,$D$6,IF(Z23=$D$6*$D$7,$D$6*$D$8, IF(Z23=$D$6*$D$8,$D$6*$D$9, IF(Z23=$D$6*$D$9, $D$6, IF(AND((SUM(AA$21:AA22)-AA$18)&lt;0,Z23=""),$D$6*$D$7,"")))))</f>
        <v>40000</v>
      </c>
      <c r="AB23" s="229">
        <f>IF(AA23=$D$6,$D$6,IF(AA23=$D$6*$D$7,$D$6*$D$8, IF(AA23=$D$6*$D$8,$D$6*$D$9, IF(AA23=$D$6*$D$9, $D$6, IF(AND((SUM(AB$21:AB22)-AB$18)&lt;0,AA23=""),$D$6*$D$7,"")))))</f>
        <v>40000</v>
      </c>
      <c r="AC23" s="146"/>
    </row>
    <row r="24" spans="1:30">
      <c r="A24" s="145"/>
      <c r="B24" s="170"/>
      <c r="C24" s="143" t="s">
        <v>82</v>
      </c>
      <c r="D24" s="183">
        <f>IF($D$18&gt;SUM(D$21:D23),$D$6,0)</f>
        <v>40000</v>
      </c>
      <c r="E24" s="227">
        <f>IF(D24=$D$6,$D$6,IF(D24=$D$6*$D$7,$D$6*$D$8, IF(D24=$D$6*$D$8,$D$6*$D$9, IF(D24=$D$6*$D$9, $D$6, IF(AND((SUM(E$21:E23)-E$18)&lt;0,D24=""),$D$6*$D$7,"")))))</f>
        <v>40000</v>
      </c>
      <c r="F24" s="228">
        <f>IF(E24=$D$6,$D$6,IF(E24=$D$6*$D$7,$D$6*$D$8, IF(E24=$D$6*$D$8,$D$6*$D$9, IF(E24=$D$6*$D$9, $D$6, IF(AND((SUM(F$21:F23)-F$18)&lt;0,E24=""),$D$6*$D$7,"")))))</f>
        <v>40000</v>
      </c>
      <c r="G24" s="228">
        <f>IF(F24=$D$6,$D$6,IF(F24=$D$6*$D$7,$D$6*$D$8, IF(F24=$D$6*$D$8,$D$6*$D$9, IF(F24=$D$6*$D$9, $D$6, IF(AND((SUM(G$21:G23)-G$18)&lt;0,F24=""),$D$6*$D$7,"")))))</f>
        <v>40000</v>
      </c>
      <c r="H24" s="228">
        <f>IF(G24=$D$6,$D$6,IF(G24=$D$6*$D$7,$D$6*$D$8, IF(G24=$D$6*$D$8,$D$6*$D$9, IF(G24=$D$6*$D$9, $D$6, IF(AND((SUM(H$21:H23)-H$18)&lt;0,G24=""),$D$6*$D$7,"")))))</f>
        <v>40000</v>
      </c>
      <c r="I24" s="228">
        <f>IF(H24=$D$6,$D$6,IF(H24=$D$6*$D$7,$D$6*$D$8, IF(H24=$D$6*$D$8,$D$6*$D$9, IF(H24=$D$6*$D$9, $D$6, IF(AND((SUM(I$21:I23)-I$18)&lt;0,H24=""),$D$6*$D$7,"")))))</f>
        <v>40000</v>
      </c>
      <c r="J24" s="228">
        <f>IF(I24=$D$6,$D$6,IF(I24=$D$6*$D$7,$D$6*$D$8, IF(I24=$D$6*$D$8,$D$6*$D$9, IF(I24=$D$6*$D$9, $D$6, IF(AND((SUM(J$21:J23)-J$18)&lt;0,I24=""),$D$6*$D$7,"")))))</f>
        <v>40000</v>
      </c>
      <c r="K24" s="228">
        <f>IF(J24=$D$6,$D$6,IF(J24=$D$6*$D$7,$D$6*$D$8, IF(J24=$D$6*$D$8,$D$6*$D$9, IF(J24=$D$6*$D$9, $D$6, IF(AND((SUM(K$21:K23)-K$18)&lt;0,J24=""),$D$6*$D$7,"")))))</f>
        <v>40000</v>
      </c>
      <c r="L24" s="228">
        <f>IF(K24=$D$6,$D$6,IF(K24=$D$6*$D$7,$D$6*$D$8, IF(K24=$D$6*$D$8,$D$6*$D$9, IF(K24=$D$6*$D$9, $D$6, IF(AND((SUM(L$21:L23)-L$18)&lt;0,K24=""),$D$6*$D$7,"")))))</f>
        <v>40000</v>
      </c>
      <c r="M24" s="228">
        <f>IF(L24=$D$6,$D$6,IF(L24=$D$6*$D$7,$D$6*$D$8, IF(L24=$D$6*$D$8,$D$6*$D$9, IF(L24=$D$6*$D$9, $D$6, IF(AND((SUM(M$21:M23)-M$18)&lt;0,L24=""),$D$6*$D$7,"")))))</f>
        <v>40000</v>
      </c>
      <c r="N24" s="228">
        <f>IF(M24=$D$6,$D$6,IF(M24=$D$6*$D$7,$D$6*$D$8, IF(M24=$D$6*$D$8,$D$6*$D$9, IF(M24=$D$6*$D$9, $D$6, IF(AND((SUM(N$21:N23)-N$18)&lt;0,M24=""),$D$6*$D$7,"")))))</f>
        <v>40000</v>
      </c>
      <c r="O24" s="228">
        <f>IF(N24=$D$6,$D$6,IF(N24=$D$6*$D$7,$D$6*$D$8, IF(N24=$D$6*$D$8,$D$6*$D$9, IF(N24=$D$6*$D$9, $D$6, IF(AND((SUM(O$21:O23)-O$18)&lt;0,N24=""),$D$6*$D$7,"")))))</f>
        <v>40000</v>
      </c>
      <c r="P24" s="229">
        <f>IF(O24=$D$6,$D$6,IF(O24=$D$6*$D$7,$D$6*$D$8, IF(O24=$D$6*$D$8,$D$6*$D$9, IF(O24=$D$6*$D$9, $D$6, IF(AND((SUM(P$21:P23)-P$18)&lt;0,O24=""),$D$6*$D$7,"")))))</f>
        <v>40000</v>
      </c>
      <c r="Q24" s="227">
        <f>IF(P24=$D$6,$D$6,IF(P24=$D$6*$D$7,$D$6*$D$8, IF(P24=$D$6*$D$8,$D$6*$D$9, IF(P24=$D$6*$D$9, $D$6, IF(AND((SUM(Q$21:Q23)-Q$18)&lt;0,P24=""),$D$6*$D$7,"")))))</f>
        <v>40000</v>
      </c>
      <c r="R24" s="228">
        <f>IF(Q24=$D$6,$D$6,IF(Q24=$D$6*$D$7,$D$6*$D$8, IF(Q24=$D$6*$D$8,$D$6*$D$9, IF(Q24=$D$6*$D$9, $D$6, IF(AND((SUM(R$21:R23)-R$18)&lt;0,Q24=""),$D$6*$D$7,"")))))</f>
        <v>40000</v>
      </c>
      <c r="S24" s="228">
        <f>IF(R24=$D$6,$D$6,IF(R24=$D$6*$D$7,$D$6*$D$8, IF(R24=$D$6*$D$8,$D$6*$D$9, IF(R24=$D$6*$D$9, $D$6, IF(AND((SUM(S$21:S23)-S$18)&lt;0,R24=""),$D$6*$D$7,"")))))</f>
        <v>40000</v>
      </c>
      <c r="T24" s="228">
        <f>IF(S24=$D$6,$D$6,IF(S24=$D$6*$D$7,$D$6*$D$8, IF(S24=$D$6*$D$8,$D$6*$D$9, IF(S24=$D$6*$D$9, $D$6, IF(AND((SUM(T$21:T23)-T$18)&lt;0,S24=""),$D$6*$D$7,"")))))</f>
        <v>40000</v>
      </c>
      <c r="U24" s="228">
        <f>IF(T24=$D$6,$D$6,IF(T24=$D$6*$D$7,$D$6*$D$8, IF(T24=$D$6*$D$8,$D$6*$D$9, IF(T24=$D$6*$D$9, $D$6, IF(AND((SUM(U$21:U23)-U$18)&lt;0,T24=""),$D$6*$D$7,"")))))</f>
        <v>40000</v>
      </c>
      <c r="V24" s="228">
        <f>IF(U24=$D$6,$D$6,IF(U24=$D$6*$D$7,$D$6*$D$8, IF(U24=$D$6*$D$8,$D$6*$D$9, IF(U24=$D$6*$D$9, $D$6, IF(AND((SUM(V$21:V23)-V$18)&lt;0,U24=""),$D$6*$D$7,"")))))</f>
        <v>40000</v>
      </c>
      <c r="W24" s="228">
        <f>IF(V24=$D$6,$D$6,IF(V24=$D$6*$D$7,$D$6*$D$8, IF(V24=$D$6*$D$8,$D$6*$D$9, IF(V24=$D$6*$D$9, $D$6, IF(AND((SUM(W$21:W23)-W$18)&lt;0,V24=""),$D$6*$D$7,"")))))</f>
        <v>40000</v>
      </c>
      <c r="X24" s="228">
        <f>IF(W24=$D$6,$D$6,IF(W24=$D$6*$D$7,$D$6*$D$8, IF(W24=$D$6*$D$8,$D$6*$D$9, IF(W24=$D$6*$D$9, $D$6, IF(AND((SUM(X$21:X23)-X$18)&lt;0,W24=""),$D$6*$D$7,"")))))</f>
        <v>40000</v>
      </c>
      <c r="Y24" s="228">
        <f>IF(X24=$D$6,$D$6,IF(X24=$D$6*$D$7,$D$6*$D$8, IF(X24=$D$6*$D$8,$D$6*$D$9, IF(X24=$D$6*$D$9, $D$6, IF(AND((SUM(Y$21:Y23)-Y$18)&lt;0,X24=""),$D$6*$D$7,"")))))</f>
        <v>40000</v>
      </c>
      <c r="Z24" s="228">
        <f>IF(Y24=$D$6,$D$6,IF(Y24=$D$6*$D$7,$D$6*$D$8, IF(Y24=$D$6*$D$8,$D$6*$D$9, IF(Y24=$D$6*$D$9, $D$6, IF(AND((SUM(Z$21:Z23)-Z$18)&lt;0,Y24=""),$D$6*$D$7,"")))))</f>
        <v>40000</v>
      </c>
      <c r="AA24" s="228">
        <f>IF(Z24=$D$6,$D$6,IF(Z24=$D$6*$D$7,$D$6*$D$8, IF(Z24=$D$6*$D$8,$D$6*$D$9, IF(Z24=$D$6*$D$9, $D$6, IF(AND((SUM(AA$21:AA23)-AA$18)&lt;0,Z24=""),$D$6*$D$7,"")))))</f>
        <v>40000</v>
      </c>
      <c r="AB24" s="229">
        <f>IF(AA24=$D$6,$D$6,IF(AA24=$D$6*$D$7,$D$6*$D$8, IF(AA24=$D$6*$D$8,$D$6*$D$9, IF(AA24=$D$6*$D$9, $D$6, IF(AND((SUM(AB$21:AB23)-AB$18)&lt;0,AA24=""),$D$6*$D$7,"")))))</f>
        <v>40000</v>
      </c>
      <c r="AC24" s="146"/>
    </row>
    <row r="25" spans="1:30">
      <c r="A25" s="145"/>
      <c r="B25" s="170"/>
      <c r="C25" s="143" t="s">
        <v>83</v>
      </c>
      <c r="D25" s="183">
        <f>IF($D$18&gt;SUM(D$21:D24),$D$6,0)</f>
        <v>40000</v>
      </c>
      <c r="E25" s="227">
        <f>IF(D25=$D$6,$D$6,IF(D25=$D$6*$D$7,$D$6*$D$8, IF(D25=$D$6*$D$8,$D$6*$D$9, IF(D25=$D$6*$D$9, $D$6, IF(AND((SUM(E$21:E24)-E$18)&lt;0,D25=""),$D$6*$D$7,"")))))</f>
        <v>40000</v>
      </c>
      <c r="F25" s="228">
        <f>IF(E25=$D$6,$D$6,IF(E25=$D$6*$D$7,$D$6*$D$8, IF(E25=$D$6*$D$8,$D$6*$D$9, IF(E25=$D$6*$D$9, $D$6, IF(AND((SUM(F$21:F24)-F$18)&lt;0,E25=""),$D$6*$D$7,"")))))</f>
        <v>40000</v>
      </c>
      <c r="G25" s="228">
        <f>IF(F25=$D$6,$D$6,IF(F25=$D$6*$D$7,$D$6*$D$8, IF(F25=$D$6*$D$8,$D$6*$D$9, IF(F25=$D$6*$D$9, $D$6, IF(AND((SUM(G$21:G24)-G$18)&lt;0,F25=""),$D$6*$D$7,"")))))</f>
        <v>40000</v>
      </c>
      <c r="H25" s="228">
        <f>IF(G25=$D$6,$D$6,IF(G25=$D$6*$D$7,$D$6*$D$8, IF(G25=$D$6*$D$8,$D$6*$D$9, IF(G25=$D$6*$D$9, $D$6, IF(AND((SUM(H$21:H24)-H$18)&lt;0,G25=""),$D$6*$D$7,"")))))</f>
        <v>40000</v>
      </c>
      <c r="I25" s="228">
        <f>IF(H25=$D$6,$D$6,IF(H25=$D$6*$D$7,$D$6*$D$8, IF(H25=$D$6*$D$8,$D$6*$D$9, IF(H25=$D$6*$D$9, $D$6, IF(AND((SUM(I$21:I24)-I$18)&lt;0,H25=""),$D$6*$D$7,"")))))</f>
        <v>40000</v>
      </c>
      <c r="J25" s="228">
        <f>IF(I25=$D$6,$D$6,IF(I25=$D$6*$D$7,$D$6*$D$8, IF(I25=$D$6*$D$8,$D$6*$D$9, IF(I25=$D$6*$D$9, $D$6, IF(AND((SUM(J$21:J24)-J$18)&lt;0,I25=""),$D$6*$D$7,"")))))</f>
        <v>40000</v>
      </c>
      <c r="K25" s="228">
        <f>IF(J25=$D$6,$D$6,IF(J25=$D$6*$D$7,$D$6*$D$8, IF(J25=$D$6*$D$8,$D$6*$D$9, IF(J25=$D$6*$D$9, $D$6, IF(AND((SUM(K$21:K24)-K$18)&lt;0,J25=""),$D$6*$D$7,"")))))</f>
        <v>40000</v>
      </c>
      <c r="L25" s="228">
        <f>IF(K25=$D$6,$D$6,IF(K25=$D$6*$D$7,$D$6*$D$8, IF(K25=$D$6*$D$8,$D$6*$D$9, IF(K25=$D$6*$D$9, $D$6, IF(AND((SUM(L$21:L24)-L$18)&lt;0,K25=""),$D$6*$D$7,"")))))</f>
        <v>40000</v>
      </c>
      <c r="M25" s="228">
        <f>IF(L25=$D$6,$D$6,IF(L25=$D$6*$D$7,$D$6*$D$8, IF(L25=$D$6*$D$8,$D$6*$D$9, IF(L25=$D$6*$D$9, $D$6, IF(AND((SUM(M$21:M24)-M$18)&lt;0,L25=""),$D$6*$D$7,"")))))</f>
        <v>40000</v>
      </c>
      <c r="N25" s="228">
        <f>IF(M25=$D$6,$D$6,IF(M25=$D$6*$D$7,$D$6*$D$8, IF(M25=$D$6*$D$8,$D$6*$D$9, IF(M25=$D$6*$D$9, $D$6, IF(AND((SUM(N$21:N24)-N$18)&lt;0,M25=""),$D$6*$D$7,"")))))</f>
        <v>40000</v>
      </c>
      <c r="O25" s="228">
        <f>IF(N25=$D$6,$D$6,IF(N25=$D$6*$D$7,$D$6*$D$8, IF(N25=$D$6*$D$8,$D$6*$D$9, IF(N25=$D$6*$D$9, $D$6, IF(AND((SUM(O$21:O24)-O$18)&lt;0,N25=""),$D$6*$D$7,"")))))</f>
        <v>40000</v>
      </c>
      <c r="P25" s="229">
        <f>IF(O25=$D$6,$D$6,IF(O25=$D$6*$D$7,$D$6*$D$8, IF(O25=$D$6*$D$8,$D$6*$D$9, IF(O25=$D$6*$D$9, $D$6, IF(AND((SUM(P$21:P24)-P$18)&lt;0,O25=""),$D$6*$D$7,"")))))</f>
        <v>40000</v>
      </c>
      <c r="Q25" s="227">
        <f>IF(P25=$D$6,$D$6,IF(P25=$D$6*$D$7,$D$6*$D$8, IF(P25=$D$6*$D$8,$D$6*$D$9, IF(P25=$D$6*$D$9, $D$6, IF(AND((SUM(Q$21:Q24)-Q$18)&lt;0,P25=""),$D$6*$D$7,"")))))</f>
        <v>40000</v>
      </c>
      <c r="R25" s="228">
        <f>IF(Q25=$D$6,$D$6,IF(Q25=$D$6*$D$7,$D$6*$D$8, IF(Q25=$D$6*$D$8,$D$6*$D$9, IF(Q25=$D$6*$D$9, $D$6, IF(AND((SUM(R$21:R24)-R$18)&lt;0,Q25=""),$D$6*$D$7,"")))))</f>
        <v>40000</v>
      </c>
      <c r="S25" s="228">
        <f>IF(R25=$D$6,$D$6,IF(R25=$D$6*$D$7,$D$6*$D$8, IF(R25=$D$6*$D$8,$D$6*$D$9, IF(R25=$D$6*$D$9, $D$6, IF(AND((SUM(S$21:S24)-S$18)&lt;0,R25=""),$D$6*$D$7,"")))))</f>
        <v>40000</v>
      </c>
      <c r="T25" s="228">
        <f>IF(S25=$D$6,$D$6,IF(S25=$D$6*$D$7,$D$6*$D$8, IF(S25=$D$6*$D$8,$D$6*$D$9, IF(S25=$D$6*$D$9, $D$6, IF(AND((SUM(T$21:T24)-T$18)&lt;0,S25=""),$D$6*$D$7,"")))))</f>
        <v>40000</v>
      </c>
      <c r="U25" s="228">
        <f>IF(T25=$D$6,$D$6,IF(T25=$D$6*$D$7,$D$6*$D$8, IF(T25=$D$6*$D$8,$D$6*$D$9, IF(T25=$D$6*$D$9, $D$6, IF(AND((SUM(U$21:U24)-U$18)&lt;0,T25=""),$D$6*$D$7,"")))))</f>
        <v>40000</v>
      </c>
      <c r="V25" s="228">
        <f>IF(U25=$D$6,$D$6,IF(U25=$D$6*$D$7,$D$6*$D$8, IF(U25=$D$6*$D$8,$D$6*$D$9, IF(U25=$D$6*$D$9, $D$6, IF(AND((SUM(V$21:V24)-V$18)&lt;0,U25=""),$D$6*$D$7,"")))))</f>
        <v>40000</v>
      </c>
      <c r="W25" s="228">
        <f>IF(V25=$D$6,$D$6,IF(V25=$D$6*$D$7,$D$6*$D$8, IF(V25=$D$6*$D$8,$D$6*$D$9, IF(V25=$D$6*$D$9, $D$6, IF(AND((SUM(W$21:W24)-W$18)&lt;0,V25=""),$D$6*$D$7,"")))))</f>
        <v>40000</v>
      </c>
      <c r="X25" s="228">
        <f>IF(W25=$D$6,$D$6,IF(W25=$D$6*$D$7,$D$6*$D$8, IF(W25=$D$6*$D$8,$D$6*$D$9, IF(W25=$D$6*$D$9, $D$6, IF(AND((SUM(X$21:X24)-X$18)&lt;0,W25=""),$D$6*$D$7,"")))))</f>
        <v>40000</v>
      </c>
      <c r="Y25" s="228">
        <f>IF(X25=$D$6,$D$6,IF(X25=$D$6*$D$7,$D$6*$D$8, IF(X25=$D$6*$D$8,$D$6*$D$9, IF(X25=$D$6*$D$9, $D$6, IF(AND((SUM(Y$21:Y24)-Y$18)&lt;0,X25=""),$D$6*$D$7,"")))))</f>
        <v>40000</v>
      </c>
      <c r="Z25" s="228">
        <f>IF(Y25=$D$6,$D$6,IF(Y25=$D$6*$D$7,$D$6*$D$8, IF(Y25=$D$6*$D$8,$D$6*$D$9, IF(Y25=$D$6*$D$9, $D$6, IF(AND((SUM(Z$21:Z24)-Z$18)&lt;0,Y25=""),$D$6*$D$7,"")))))</f>
        <v>40000</v>
      </c>
      <c r="AA25" s="228">
        <f>IF(Z25=$D$6,$D$6,IF(Z25=$D$6*$D$7,$D$6*$D$8, IF(Z25=$D$6*$D$8,$D$6*$D$9, IF(Z25=$D$6*$D$9, $D$6, IF(AND((SUM(AA$21:AA24)-AA$18)&lt;0,Z25=""),$D$6*$D$7,"")))))</f>
        <v>40000</v>
      </c>
      <c r="AB25" s="229">
        <f>IF(AA25=$D$6,$D$6,IF(AA25=$D$6*$D$7,$D$6*$D$8, IF(AA25=$D$6*$D$8,$D$6*$D$9, IF(AA25=$D$6*$D$9, $D$6, IF(AND((SUM(AB$21:AB24)-AB$18)&lt;0,AA25=""),$D$6*$D$7,"")))))</f>
        <v>40000</v>
      </c>
      <c r="AC25" s="146"/>
    </row>
    <row r="26" spans="1:30">
      <c r="A26" s="145"/>
      <c r="B26" s="170"/>
      <c r="C26" s="143" t="s">
        <v>84</v>
      </c>
      <c r="D26" s="183">
        <f>IF($D$18&gt;SUM(D$21:D25),$D$6,0)</f>
        <v>0</v>
      </c>
      <c r="E26" s="227" t="str">
        <f>IF(D26=$D$6,$D$6,IF(D26=$D$6*$D$7,$D$6*$D$8, IF(D26=$D$6*$D$8,$D$6*$D$9, IF(D26=$D$6*$D$9, $D$6, IF(AND((SUM(E$21:E25)-E$18)&lt;0,D26=""),$D$6*$D$7,"")))))</f>
        <v/>
      </c>
      <c r="F26" s="228">
        <f>IF(E26=$D$6,$D$6,IF(E26=$D$6*$D$7,$D$6*$D$8, IF(E26=$D$6*$D$8,$D$6*$D$9, IF(E26=$D$6*$D$9, $D$6, IF(AND((SUM(F$21:F25)-F$18)&lt;0,E26=""),$D$6*$D$7,"")))))</f>
        <v>10000</v>
      </c>
      <c r="G26" s="228">
        <f>IF(F26=$D$6,$D$6,IF(F26=$D$6*$D$7,$D$6*$D$8, IF(F26=$D$6*$D$8,$D$6*$D$9, IF(F26=$D$6*$D$9, $D$6, IF(AND((SUM(G$21:G25)-G$18)&lt;0,F26=""),$D$6*$D$7,"")))))</f>
        <v>20000</v>
      </c>
      <c r="H26" s="228">
        <f>IF(G26=$D$6,$D$6,IF(G26=$D$6*$D$7,$D$6*$D$8, IF(G26=$D$6*$D$8,$D$6*$D$9, IF(G26=$D$6*$D$9, $D$6, IF(AND((SUM(H$21:H25)-H$18)&lt;0,G26=""),$D$6*$D$7,"")))))</f>
        <v>30000</v>
      </c>
      <c r="I26" s="228">
        <f>IF(H26=$D$6,$D$6,IF(H26=$D$6*$D$7,$D$6*$D$8, IF(H26=$D$6*$D$8,$D$6*$D$9, IF(H26=$D$6*$D$9, $D$6, IF(AND((SUM(I$21:I25)-I$18)&lt;0,H26=""),$D$6*$D$7,"")))))</f>
        <v>40000</v>
      </c>
      <c r="J26" s="228">
        <f>IF(I26=$D$6,$D$6,IF(I26=$D$6*$D$7,$D$6*$D$8, IF(I26=$D$6*$D$8,$D$6*$D$9, IF(I26=$D$6*$D$9, $D$6, IF(AND((SUM(J$21:J25)-J$18)&lt;0,I26=""),$D$6*$D$7,"")))))</f>
        <v>40000</v>
      </c>
      <c r="K26" s="228">
        <f>IF(J26=$D$6,$D$6,IF(J26=$D$6*$D$7,$D$6*$D$8, IF(J26=$D$6*$D$8,$D$6*$D$9, IF(J26=$D$6*$D$9, $D$6, IF(AND((SUM(K$21:K25)-K$18)&lt;0,J26=""),$D$6*$D$7,"")))))</f>
        <v>40000</v>
      </c>
      <c r="L26" s="228">
        <f>IF(K26=$D$6,$D$6,IF(K26=$D$6*$D$7,$D$6*$D$8, IF(K26=$D$6*$D$8,$D$6*$D$9, IF(K26=$D$6*$D$9, $D$6, IF(AND((SUM(L$21:L25)-L$18)&lt;0,K26=""),$D$6*$D$7,"")))))</f>
        <v>40000</v>
      </c>
      <c r="M26" s="228">
        <f>IF(L26=$D$6,$D$6,IF(L26=$D$6*$D$7,$D$6*$D$8, IF(L26=$D$6*$D$8,$D$6*$D$9, IF(L26=$D$6*$D$9, $D$6, IF(AND((SUM(M$21:M25)-M$18)&lt;0,L26=""),$D$6*$D$7,"")))))</f>
        <v>40000</v>
      </c>
      <c r="N26" s="228">
        <f>IF(M26=$D$6,$D$6,IF(M26=$D$6*$D$7,$D$6*$D$8, IF(M26=$D$6*$D$8,$D$6*$D$9, IF(M26=$D$6*$D$9, $D$6, IF(AND((SUM(N$21:N25)-N$18)&lt;0,M26=""),$D$6*$D$7,"")))))</f>
        <v>40000</v>
      </c>
      <c r="O26" s="228">
        <f>IF(N26=$D$6,$D$6,IF(N26=$D$6*$D$7,$D$6*$D$8, IF(N26=$D$6*$D$8,$D$6*$D$9, IF(N26=$D$6*$D$9, $D$6, IF(AND((SUM(O$21:O25)-O$18)&lt;0,N26=""),$D$6*$D$7,"")))))</f>
        <v>40000</v>
      </c>
      <c r="P26" s="229">
        <f>IF(O26=$D$6,$D$6,IF(O26=$D$6*$D$7,$D$6*$D$8, IF(O26=$D$6*$D$8,$D$6*$D$9, IF(O26=$D$6*$D$9, $D$6, IF(AND((SUM(P$21:P25)-P$18)&lt;0,O26=""),$D$6*$D$7,"")))))</f>
        <v>40000</v>
      </c>
      <c r="Q26" s="227">
        <f>IF(P26=$D$6,$D$6,IF(P26=$D$6*$D$7,$D$6*$D$8, IF(P26=$D$6*$D$8,$D$6*$D$9, IF(P26=$D$6*$D$9, $D$6, IF(AND((SUM(Q$21:Q25)-Q$18)&lt;0,P26=""),$D$6*$D$7,"")))))</f>
        <v>40000</v>
      </c>
      <c r="R26" s="228">
        <f>IF(Q26=$D$6,$D$6,IF(Q26=$D$6*$D$7,$D$6*$D$8, IF(Q26=$D$6*$D$8,$D$6*$D$9, IF(Q26=$D$6*$D$9, $D$6, IF(AND((SUM(R$21:R25)-R$18)&lt;0,Q26=""),$D$6*$D$7,"")))))</f>
        <v>40000</v>
      </c>
      <c r="S26" s="228">
        <f>IF(R26=$D$6,$D$6,IF(R26=$D$6*$D$7,$D$6*$D$8, IF(R26=$D$6*$D$8,$D$6*$D$9, IF(R26=$D$6*$D$9, $D$6, IF(AND((SUM(S$21:S25)-S$18)&lt;0,R26=""),$D$6*$D$7,"")))))</f>
        <v>40000</v>
      </c>
      <c r="T26" s="228">
        <f>IF(S26=$D$6,$D$6,IF(S26=$D$6*$D$7,$D$6*$D$8, IF(S26=$D$6*$D$8,$D$6*$D$9, IF(S26=$D$6*$D$9, $D$6, IF(AND((SUM(T$21:T25)-T$18)&lt;0,S26=""),$D$6*$D$7,"")))))</f>
        <v>40000</v>
      </c>
      <c r="U26" s="228">
        <f>IF(T26=$D$6,$D$6,IF(T26=$D$6*$D$7,$D$6*$D$8, IF(T26=$D$6*$D$8,$D$6*$D$9, IF(T26=$D$6*$D$9, $D$6, IF(AND((SUM(U$21:U25)-U$18)&lt;0,T26=""),$D$6*$D$7,"")))))</f>
        <v>40000</v>
      </c>
      <c r="V26" s="228">
        <f>IF(U26=$D$6,$D$6,IF(U26=$D$6*$D$7,$D$6*$D$8, IF(U26=$D$6*$D$8,$D$6*$D$9, IF(U26=$D$6*$D$9, $D$6, IF(AND((SUM(V$21:V25)-V$18)&lt;0,U26=""),$D$6*$D$7,"")))))</f>
        <v>40000</v>
      </c>
      <c r="W26" s="228">
        <f>IF(V26=$D$6,$D$6,IF(V26=$D$6*$D$7,$D$6*$D$8, IF(V26=$D$6*$D$8,$D$6*$D$9, IF(V26=$D$6*$D$9, $D$6, IF(AND((SUM(W$21:W25)-W$18)&lt;0,V26=""),$D$6*$D$7,"")))))</f>
        <v>40000</v>
      </c>
      <c r="X26" s="228">
        <f>IF(W26=$D$6,$D$6,IF(W26=$D$6*$D$7,$D$6*$D$8, IF(W26=$D$6*$D$8,$D$6*$D$9, IF(W26=$D$6*$D$9, $D$6, IF(AND((SUM(X$21:X25)-X$18)&lt;0,W26=""),$D$6*$D$7,"")))))</f>
        <v>40000</v>
      </c>
      <c r="Y26" s="228">
        <f>IF(X26=$D$6,$D$6,IF(X26=$D$6*$D$7,$D$6*$D$8, IF(X26=$D$6*$D$8,$D$6*$D$9, IF(X26=$D$6*$D$9, $D$6, IF(AND((SUM(Y$21:Y25)-Y$18)&lt;0,X26=""),$D$6*$D$7,"")))))</f>
        <v>40000</v>
      </c>
      <c r="Z26" s="228">
        <f>IF(Y26=$D$6,$D$6,IF(Y26=$D$6*$D$7,$D$6*$D$8, IF(Y26=$D$6*$D$8,$D$6*$D$9, IF(Y26=$D$6*$D$9, $D$6, IF(AND((SUM(Z$21:Z25)-Z$18)&lt;0,Y26=""),$D$6*$D$7,"")))))</f>
        <v>40000</v>
      </c>
      <c r="AA26" s="228">
        <f>IF(Z26=$D$6,$D$6,IF(Z26=$D$6*$D$7,$D$6*$D$8, IF(Z26=$D$6*$D$8,$D$6*$D$9, IF(Z26=$D$6*$D$9, $D$6, IF(AND((SUM(AA$21:AA25)-AA$18)&lt;0,Z26=""),$D$6*$D$7,"")))))</f>
        <v>40000</v>
      </c>
      <c r="AB26" s="229">
        <f>IF(AA26=$D$6,$D$6,IF(AA26=$D$6*$D$7,$D$6*$D$8, IF(AA26=$D$6*$D$8,$D$6*$D$9, IF(AA26=$D$6*$D$9, $D$6, IF(AND((SUM(AB$21:AB25)-AB$18)&lt;0,AA26=""),$D$6*$D$7,"")))))</f>
        <v>40000</v>
      </c>
      <c r="AC26" s="146"/>
    </row>
    <row r="27" spans="1:30">
      <c r="A27" s="145"/>
      <c r="B27" s="170"/>
      <c r="C27" s="143" t="s">
        <v>85</v>
      </c>
      <c r="D27" s="183">
        <f>IF($D$18&gt;SUM(D$21:D26),$D$6,0)</f>
        <v>0</v>
      </c>
      <c r="E27" s="227" t="str">
        <f>IF(D27=$D$6,$D$6,IF(D27=$D$6*$D$7,$D$6*$D$8, IF(D27=$D$6*$D$8,$D$6*$D$9, IF(D27=$D$6*$D$9, $D$6, IF(AND((SUM(E$21:E26)-E$18)&lt;0,D27=""),$D$6*$D$7,"")))))</f>
        <v/>
      </c>
      <c r="F27" s="228">
        <f>IF(E27=$D$6,$D$6,IF(E27=$D$6*$D$7,$D$6*$D$8, IF(E27=$D$6*$D$8,$D$6*$D$9, IF(E27=$D$6*$D$9, $D$6, IF(AND((SUM(F$21:F26)-F$18)&lt;0,E27=""),$D$6*$D$7,"")))))</f>
        <v>10000</v>
      </c>
      <c r="G27" s="228">
        <f>IF(F27=$D$6,$D$6,IF(F27=$D$6*$D$7,$D$6*$D$8, IF(F27=$D$6*$D$8,$D$6*$D$9, IF(F27=$D$6*$D$9, $D$6, IF(AND((SUM(G$21:G26)-G$18)&lt;0,F27=""),$D$6*$D$7,"")))))</f>
        <v>20000</v>
      </c>
      <c r="H27" s="228">
        <f>IF(G27=$D$6,$D$6,IF(G27=$D$6*$D$7,$D$6*$D$8, IF(G27=$D$6*$D$8,$D$6*$D$9, IF(G27=$D$6*$D$9, $D$6, IF(AND((SUM(H$21:H26)-H$18)&lt;0,G27=""),$D$6*$D$7,"")))))</f>
        <v>30000</v>
      </c>
      <c r="I27" s="228">
        <f>IF(H27=$D$6,$D$6,IF(H27=$D$6*$D$7,$D$6*$D$8, IF(H27=$D$6*$D$8,$D$6*$D$9, IF(H27=$D$6*$D$9, $D$6, IF(AND((SUM(I$21:I26)-I$18)&lt;0,H27=""),$D$6*$D$7,"")))))</f>
        <v>40000</v>
      </c>
      <c r="J27" s="228">
        <f>IF(I27=$D$6,$D$6,IF(I27=$D$6*$D$7,$D$6*$D$8, IF(I27=$D$6*$D$8,$D$6*$D$9, IF(I27=$D$6*$D$9, $D$6, IF(AND((SUM(J$21:J26)-J$18)&lt;0,I27=""),$D$6*$D$7,"")))))</f>
        <v>40000</v>
      </c>
      <c r="K27" s="228">
        <f>IF(J27=$D$6,$D$6,IF(J27=$D$6*$D$7,$D$6*$D$8, IF(J27=$D$6*$D$8,$D$6*$D$9, IF(J27=$D$6*$D$9, $D$6, IF(AND((SUM(K$21:K26)-K$18)&lt;0,J27=""),$D$6*$D$7,"")))))</f>
        <v>40000</v>
      </c>
      <c r="L27" s="228">
        <f>IF(K27=$D$6,$D$6,IF(K27=$D$6*$D$7,$D$6*$D$8, IF(K27=$D$6*$D$8,$D$6*$D$9, IF(K27=$D$6*$D$9, $D$6, IF(AND((SUM(L$21:L26)-L$18)&lt;0,K27=""),$D$6*$D$7,"")))))</f>
        <v>40000</v>
      </c>
      <c r="M27" s="228">
        <f>IF(L27=$D$6,$D$6,IF(L27=$D$6*$D$7,$D$6*$D$8, IF(L27=$D$6*$D$8,$D$6*$D$9, IF(L27=$D$6*$D$9, $D$6, IF(AND((SUM(M$21:M26)-M$18)&lt;0,L27=""),$D$6*$D$7,"")))))</f>
        <v>40000</v>
      </c>
      <c r="N27" s="228">
        <f>IF(M27=$D$6,$D$6,IF(M27=$D$6*$D$7,$D$6*$D$8, IF(M27=$D$6*$D$8,$D$6*$D$9, IF(M27=$D$6*$D$9, $D$6, IF(AND((SUM(N$21:N26)-N$18)&lt;0,M27=""),$D$6*$D$7,"")))))</f>
        <v>40000</v>
      </c>
      <c r="O27" s="228">
        <f>IF(N27=$D$6,$D$6,IF(N27=$D$6*$D$7,$D$6*$D$8, IF(N27=$D$6*$D$8,$D$6*$D$9, IF(N27=$D$6*$D$9, $D$6, IF(AND((SUM(O$21:O26)-O$18)&lt;0,N27=""),$D$6*$D$7,"")))))</f>
        <v>40000</v>
      </c>
      <c r="P27" s="229">
        <f>IF(O27=$D$6,$D$6,IF(O27=$D$6*$D$7,$D$6*$D$8, IF(O27=$D$6*$D$8,$D$6*$D$9, IF(O27=$D$6*$D$9, $D$6, IF(AND((SUM(P$21:P26)-P$18)&lt;0,O27=""),$D$6*$D$7,"")))))</f>
        <v>40000</v>
      </c>
      <c r="Q27" s="227">
        <f>IF(P27=$D$6,$D$6,IF(P27=$D$6*$D$7,$D$6*$D$8, IF(P27=$D$6*$D$8,$D$6*$D$9, IF(P27=$D$6*$D$9, $D$6, IF(AND((SUM(Q$21:Q26)-Q$18)&lt;0,P27=""),$D$6*$D$7,"")))))</f>
        <v>40000</v>
      </c>
      <c r="R27" s="228">
        <f>IF(Q27=$D$6,$D$6,IF(Q27=$D$6*$D$7,$D$6*$D$8, IF(Q27=$D$6*$D$8,$D$6*$D$9, IF(Q27=$D$6*$D$9, $D$6, IF(AND((SUM(R$21:R26)-R$18)&lt;0,Q27=""),$D$6*$D$7,"")))))</f>
        <v>40000</v>
      </c>
      <c r="S27" s="228">
        <f>IF(R27=$D$6,$D$6,IF(R27=$D$6*$D$7,$D$6*$D$8, IF(R27=$D$6*$D$8,$D$6*$D$9, IF(R27=$D$6*$D$9, $D$6, IF(AND((SUM(S$21:S26)-S$18)&lt;0,R27=""),$D$6*$D$7,"")))))</f>
        <v>40000</v>
      </c>
      <c r="T27" s="228">
        <f>IF(S27=$D$6,$D$6,IF(S27=$D$6*$D$7,$D$6*$D$8, IF(S27=$D$6*$D$8,$D$6*$D$9, IF(S27=$D$6*$D$9, $D$6, IF(AND((SUM(T$21:T26)-T$18)&lt;0,S27=""),$D$6*$D$7,"")))))</f>
        <v>40000</v>
      </c>
      <c r="U27" s="228">
        <f>IF(T27=$D$6,$D$6,IF(T27=$D$6*$D$7,$D$6*$D$8, IF(T27=$D$6*$D$8,$D$6*$D$9, IF(T27=$D$6*$D$9, $D$6, IF(AND((SUM(U$21:U26)-U$18)&lt;0,T27=""),$D$6*$D$7,"")))))</f>
        <v>40000</v>
      </c>
      <c r="V27" s="228">
        <f>IF(U27=$D$6,$D$6,IF(U27=$D$6*$D$7,$D$6*$D$8, IF(U27=$D$6*$D$8,$D$6*$D$9, IF(U27=$D$6*$D$9, $D$6, IF(AND((SUM(V$21:V26)-V$18)&lt;0,U27=""),$D$6*$D$7,"")))))</f>
        <v>40000</v>
      </c>
      <c r="W27" s="228">
        <f>IF(V27=$D$6,$D$6,IF(V27=$D$6*$D$7,$D$6*$D$8, IF(V27=$D$6*$D$8,$D$6*$D$9, IF(V27=$D$6*$D$9, $D$6, IF(AND((SUM(W$21:W26)-W$18)&lt;0,V27=""),$D$6*$D$7,"")))))</f>
        <v>40000</v>
      </c>
      <c r="X27" s="228">
        <f>IF(W27=$D$6,$D$6,IF(W27=$D$6*$D$7,$D$6*$D$8, IF(W27=$D$6*$D$8,$D$6*$D$9, IF(W27=$D$6*$D$9, $D$6, IF(AND((SUM(X$21:X26)-X$18)&lt;0,W27=""),$D$6*$D$7,"")))))</f>
        <v>40000</v>
      </c>
      <c r="Y27" s="228">
        <f>IF(X27=$D$6,$D$6,IF(X27=$D$6*$D$7,$D$6*$D$8, IF(X27=$D$6*$D$8,$D$6*$D$9, IF(X27=$D$6*$D$9, $D$6, IF(AND((SUM(Y$21:Y26)-Y$18)&lt;0,X27=""),$D$6*$D$7,"")))))</f>
        <v>40000</v>
      </c>
      <c r="Z27" s="228">
        <f>IF(Y27=$D$6,$D$6,IF(Y27=$D$6*$D$7,$D$6*$D$8, IF(Y27=$D$6*$D$8,$D$6*$D$9, IF(Y27=$D$6*$D$9, $D$6, IF(AND((SUM(Z$21:Z26)-Z$18)&lt;0,Y27=""),$D$6*$D$7,"")))))</f>
        <v>40000</v>
      </c>
      <c r="AA27" s="228">
        <f>IF(Z27=$D$6,$D$6,IF(Z27=$D$6*$D$7,$D$6*$D$8, IF(Z27=$D$6*$D$8,$D$6*$D$9, IF(Z27=$D$6*$D$9, $D$6, IF(AND((SUM(AA$21:AA26)-AA$18)&lt;0,Z27=""),$D$6*$D$7,"")))))</f>
        <v>40000</v>
      </c>
      <c r="AB27" s="229">
        <f>IF(AA27=$D$6,$D$6,IF(AA27=$D$6*$D$7,$D$6*$D$8, IF(AA27=$D$6*$D$8,$D$6*$D$9, IF(AA27=$D$6*$D$9, $D$6, IF(AND((SUM(AB$21:AB26)-AB$18)&lt;0,AA27=""),$D$6*$D$7,"")))))</f>
        <v>40000</v>
      </c>
      <c r="AC27" s="146"/>
    </row>
    <row r="28" spans="1:30">
      <c r="A28" s="145"/>
      <c r="B28" s="170"/>
      <c r="C28" s="143" t="s">
        <v>86</v>
      </c>
      <c r="D28" s="183">
        <f>IF($D$18&gt;SUM(D$21:D27),$D$6,0)</f>
        <v>0</v>
      </c>
      <c r="E28" s="227" t="str">
        <f>IF(D28=$D$6,$D$6,IF(D28=$D$6*$D$7,$D$6*$D$8, IF(D28=$D$6*$D$8,$D$6*$D$9, IF(D28=$D$6*$D$9, $D$6, IF(AND((SUM(E$21:E27)-E$18)&lt;0,D28=""),$D$6*$D$7,"")))))</f>
        <v/>
      </c>
      <c r="F28" s="228">
        <f>IF(E28=$D$6,$D$6,IF(E28=$D$6*$D$7,$D$6*$D$8, IF(E28=$D$6*$D$8,$D$6*$D$9, IF(E28=$D$6*$D$9, $D$6, IF(AND((SUM(F$21:F27)-F$18)&lt;0,E28=""),$D$6*$D$7,"")))))</f>
        <v>10000</v>
      </c>
      <c r="G28" s="228">
        <f>IF(F28=$D$6,$D$6,IF(F28=$D$6*$D$7,$D$6*$D$8, IF(F28=$D$6*$D$8,$D$6*$D$9, IF(F28=$D$6*$D$9, $D$6, IF(AND((SUM(G$21:G27)-G$18)&lt;0,F28=""),$D$6*$D$7,"")))))</f>
        <v>20000</v>
      </c>
      <c r="H28" s="228">
        <f>IF(G28=$D$6,$D$6,IF(G28=$D$6*$D$7,$D$6*$D$8, IF(G28=$D$6*$D$8,$D$6*$D$9, IF(G28=$D$6*$D$9, $D$6, IF(AND((SUM(H$21:H27)-H$18)&lt;0,G28=""),$D$6*$D$7,"")))))</f>
        <v>30000</v>
      </c>
      <c r="I28" s="228">
        <f>IF(H28=$D$6,$D$6,IF(H28=$D$6*$D$7,$D$6*$D$8, IF(H28=$D$6*$D$8,$D$6*$D$9, IF(H28=$D$6*$D$9, $D$6, IF(AND((SUM(I$21:I27)-I$18)&lt;0,H28=""),$D$6*$D$7,"")))))</f>
        <v>40000</v>
      </c>
      <c r="J28" s="228">
        <f>IF(I28=$D$6,$D$6,IF(I28=$D$6*$D$7,$D$6*$D$8, IF(I28=$D$6*$D$8,$D$6*$D$9, IF(I28=$D$6*$D$9, $D$6, IF(AND((SUM(J$21:J27)-J$18)&lt;0,I28=""),$D$6*$D$7,"")))))</f>
        <v>40000</v>
      </c>
      <c r="K28" s="228">
        <f>IF(J28=$D$6,$D$6,IF(J28=$D$6*$D$7,$D$6*$D$8, IF(J28=$D$6*$D$8,$D$6*$D$9, IF(J28=$D$6*$D$9, $D$6, IF(AND((SUM(K$21:K27)-K$18)&lt;0,J28=""),$D$6*$D$7,"")))))</f>
        <v>40000</v>
      </c>
      <c r="L28" s="228">
        <f>IF(K28=$D$6,$D$6,IF(K28=$D$6*$D$7,$D$6*$D$8, IF(K28=$D$6*$D$8,$D$6*$D$9, IF(K28=$D$6*$D$9, $D$6, IF(AND((SUM(L$21:L27)-L$18)&lt;0,K28=""),$D$6*$D$7,"")))))</f>
        <v>40000</v>
      </c>
      <c r="M28" s="228">
        <f>IF(L28=$D$6,$D$6,IF(L28=$D$6*$D$7,$D$6*$D$8, IF(L28=$D$6*$D$8,$D$6*$D$9, IF(L28=$D$6*$D$9, $D$6, IF(AND((SUM(M$21:M27)-M$18)&lt;0,L28=""),$D$6*$D$7,"")))))</f>
        <v>40000</v>
      </c>
      <c r="N28" s="228">
        <f>IF(M28=$D$6,$D$6,IF(M28=$D$6*$D$7,$D$6*$D$8, IF(M28=$D$6*$D$8,$D$6*$D$9, IF(M28=$D$6*$D$9, $D$6, IF(AND((SUM(N$21:N27)-N$18)&lt;0,M28=""),$D$6*$D$7,"")))))</f>
        <v>40000</v>
      </c>
      <c r="O28" s="228">
        <f>IF(N28=$D$6,$D$6,IF(N28=$D$6*$D$7,$D$6*$D$8, IF(N28=$D$6*$D$8,$D$6*$D$9, IF(N28=$D$6*$D$9, $D$6, IF(AND((SUM(O$21:O27)-O$18)&lt;0,N28=""),$D$6*$D$7,"")))))</f>
        <v>40000</v>
      </c>
      <c r="P28" s="229">
        <f>IF(O28=$D$6,$D$6,IF(O28=$D$6*$D$7,$D$6*$D$8, IF(O28=$D$6*$D$8,$D$6*$D$9, IF(O28=$D$6*$D$9, $D$6, IF(AND((SUM(P$21:P27)-P$18)&lt;0,O28=""),$D$6*$D$7,"")))))</f>
        <v>40000</v>
      </c>
      <c r="Q28" s="227">
        <f>IF(P28=$D$6,$D$6,IF(P28=$D$6*$D$7,$D$6*$D$8, IF(P28=$D$6*$D$8,$D$6*$D$9, IF(P28=$D$6*$D$9, $D$6, IF(AND((SUM(Q$21:Q27)-Q$18)&lt;0,P28=""),$D$6*$D$7,"")))))</f>
        <v>40000</v>
      </c>
      <c r="R28" s="228">
        <f>IF(Q28=$D$6,$D$6,IF(Q28=$D$6*$D$7,$D$6*$D$8, IF(Q28=$D$6*$D$8,$D$6*$D$9, IF(Q28=$D$6*$D$9, $D$6, IF(AND((SUM(R$21:R27)-R$18)&lt;0,Q28=""),$D$6*$D$7,"")))))</f>
        <v>40000</v>
      </c>
      <c r="S28" s="228">
        <f>IF(R28=$D$6,$D$6,IF(R28=$D$6*$D$7,$D$6*$D$8, IF(R28=$D$6*$D$8,$D$6*$D$9, IF(R28=$D$6*$D$9, $D$6, IF(AND((SUM(S$21:S27)-S$18)&lt;0,R28=""),$D$6*$D$7,"")))))</f>
        <v>40000</v>
      </c>
      <c r="T28" s="228">
        <f>IF(S28=$D$6,$D$6,IF(S28=$D$6*$D$7,$D$6*$D$8, IF(S28=$D$6*$D$8,$D$6*$D$9, IF(S28=$D$6*$D$9, $D$6, IF(AND((SUM(T$21:T27)-T$18)&lt;0,S28=""),$D$6*$D$7,"")))))</f>
        <v>40000</v>
      </c>
      <c r="U28" s="228">
        <f>IF(T28=$D$6,$D$6,IF(T28=$D$6*$D$7,$D$6*$D$8, IF(T28=$D$6*$D$8,$D$6*$D$9, IF(T28=$D$6*$D$9, $D$6, IF(AND((SUM(U$21:U27)-U$18)&lt;0,T28=""),$D$6*$D$7,"")))))</f>
        <v>40000</v>
      </c>
      <c r="V28" s="228">
        <f>IF(U28=$D$6,$D$6,IF(U28=$D$6*$D$7,$D$6*$D$8, IF(U28=$D$6*$D$8,$D$6*$D$9, IF(U28=$D$6*$D$9, $D$6, IF(AND((SUM(V$21:V27)-V$18)&lt;0,U28=""),$D$6*$D$7,"")))))</f>
        <v>40000</v>
      </c>
      <c r="W28" s="228">
        <f>IF(V28=$D$6,$D$6,IF(V28=$D$6*$D$7,$D$6*$D$8, IF(V28=$D$6*$D$8,$D$6*$D$9, IF(V28=$D$6*$D$9, $D$6, IF(AND((SUM(W$21:W27)-W$18)&lt;0,V28=""),$D$6*$D$7,"")))))</f>
        <v>40000</v>
      </c>
      <c r="X28" s="228">
        <f>IF(W28=$D$6,$D$6,IF(W28=$D$6*$D$7,$D$6*$D$8, IF(W28=$D$6*$D$8,$D$6*$D$9, IF(W28=$D$6*$D$9, $D$6, IF(AND((SUM(X$21:X27)-X$18)&lt;0,W28=""),$D$6*$D$7,"")))))</f>
        <v>40000</v>
      </c>
      <c r="Y28" s="228">
        <f>IF(X28=$D$6,$D$6,IF(X28=$D$6*$D$7,$D$6*$D$8, IF(X28=$D$6*$D$8,$D$6*$D$9, IF(X28=$D$6*$D$9, $D$6, IF(AND((SUM(Y$21:Y27)-Y$18)&lt;0,X28=""),$D$6*$D$7,"")))))</f>
        <v>40000</v>
      </c>
      <c r="Z28" s="228">
        <f>IF(Y28=$D$6,$D$6,IF(Y28=$D$6*$D$7,$D$6*$D$8, IF(Y28=$D$6*$D$8,$D$6*$D$9, IF(Y28=$D$6*$D$9, $D$6, IF(AND((SUM(Z$21:Z27)-Z$18)&lt;0,Y28=""),$D$6*$D$7,"")))))</f>
        <v>40000</v>
      </c>
      <c r="AA28" s="228">
        <f>IF(Z28=$D$6,$D$6,IF(Z28=$D$6*$D$7,$D$6*$D$8, IF(Z28=$D$6*$D$8,$D$6*$D$9, IF(Z28=$D$6*$D$9, $D$6, IF(AND((SUM(AA$21:AA27)-AA$18)&lt;0,Z28=""),$D$6*$D$7,"")))))</f>
        <v>40000</v>
      </c>
      <c r="AB28" s="229">
        <f>IF(AA28=$D$6,$D$6,IF(AA28=$D$6*$D$7,$D$6*$D$8, IF(AA28=$D$6*$D$8,$D$6*$D$9, IF(AA28=$D$6*$D$9, $D$6, IF(AND((SUM(AB$21:AB27)-AB$18)&lt;0,AA28=""),$D$6*$D$7,"")))))</f>
        <v>40000</v>
      </c>
      <c r="AC28" s="146"/>
    </row>
    <row r="29" spans="1:30">
      <c r="A29" s="145"/>
      <c r="B29" s="170"/>
      <c r="C29" s="143" t="s">
        <v>87</v>
      </c>
      <c r="D29" s="183">
        <f>IF($D$18&gt;SUM(D$21:D28),$D$6,0)</f>
        <v>0</v>
      </c>
      <c r="E29" s="227" t="str">
        <f>IF(D29=$D$6,$D$6,IF(D29=$D$6*$D$7,$D$6*$D$8, IF(D29=$D$6*$D$8,$D$6*$D$9, IF(D29=$D$6*$D$9, $D$6, IF(AND((SUM(E$21:E28)-E$18)&lt;0,D29=""),$D$6*$D$7,"")))))</f>
        <v/>
      </c>
      <c r="F29" s="228">
        <f>IF(E29=$D$6,$D$6,IF(E29=$D$6*$D$7,$D$6*$D$8, IF(E29=$D$6*$D$8,$D$6*$D$9, IF(E29=$D$6*$D$9, $D$6, IF(AND((SUM(F$21:F28)-F$18)&lt;0,E29=""),$D$6*$D$7,"")))))</f>
        <v>10000</v>
      </c>
      <c r="G29" s="228">
        <f>IF(F29=$D$6,$D$6,IF(F29=$D$6*$D$7,$D$6*$D$8, IF(F29=$D$6*$D$8,$D$6*$D$9, IF(F29=$D$6*$D$9, $D$6, IF(AND((SUM(G$21:G28)-G$18)&lt;0,F29=""),$D$6*$D$7,"")))))</f>
        <v>20000</v>
      </c>
      <c r="H29" s="228">
        <f>IF(G29=$D$6,$D$6,IF(G29=$D$6*$D$7,$D$6*$D$8, IF(G29=$D$6*$D$8,$D$6*$D$9, IF(G29=$D$6*$D$9, $D$6, IF(AND((SUM(H$21:H28)-H$18)&lt;0,G29=""),$D$6*$D$7,"")))))</f>
        <v>30000</v>
      </c>
      <c r="I29" s="228">
        <f>IF(H29=$D$6,$D$6,IF(H29=$D$6*$D$7,$D$6*$D$8, IF(H29=$D$6*$D$8,$D$6*$D$9, IF(H29=$D$6*$D$9, $D$6, IF(AND((SUM(I$21:I28)-I$18)&lt;0,H29=""),$D$6*$D$7,"")))))</f>
        <v>40000</v>
      </c>
      <c r="J29" s="228">
        <f>IF(I29=$D$6,$D$6,IF(I29=$D$6*$D$7,$D$6*$D$8, IF(I29=$D$6*$D$8,$D$6*$D$9, IF(I29=$D$6*$D$9, $D$6, IF(AND((SUM(J$21:J28)-J$18)&lt;0,I29=""),$D$6*$D$7,"")))))</f>
        <v>40000</v>
      </c>
      <c r="K29" s="228">
        <f>IF(J29=$D$6,$D$6,IF(J29=$D$6*$D$7,$D$6*$D$8, IF(J29=$D$6*$D$8,$D$6*$D$9, IF(J29=$D$6*$D$9, $D$6, IF(AND((SUM(K$21:K28)-K$18)&lt;0,J29=""),$D$6*$D$7,"")))))</f>
        <v>40000</v>
      </c>
      <c r="L29" s="228">
        <f>IF(K29=$D$6,$D$6,IF(K29=$D$6*$D$7,$D$6*$D$8, IF(K29=$D$6*$D$8,$D$6*$D$9, IF(K29=$D$6*$D$9, $D$6, IF(AND((SUM(L$21:L28)-L$18)&lt;0,K29=""),$D$6*$D$7,"")))))</f>
        <v>40000</v>
      </c>
      <c r="M29" s="228">
        <f>IF(L29=$D$6,$D$6,IF(L29=$D$6*$D$7,$D$6*$D$8, IF(L29=$D$6*$D$8,$D$6*$D$9, IF(L29=$D$6*$D$9, $D$6, IF(AND((SUM(M$21:M28)-M$18)&lt;0,L29=""),$D$6*$D$7,"")))))</f>
        <v>40000</v>
      </c>
      <c r="N29" s="228">
        <f>IF(M29=$D$6,$D$6,IF(M29=$D$6*$D$7,$D$6*$D$8, IF(M29=$D$6*$D$8,$D$6*$D$9, IF(M29=$D$6*$D$9, $D$6, IF(AND((SUM(N$21:N28)-N$18)&lt;0,M29=""),$D$6*$D$7,"")))))</f>
        <v>40000</v>
      </c>
      <c r="O29" s="228">
        <f>IF(N29=$D$6,$D$6,IF(N29=$D$6*$D$7,$D$6*$D$8, IF(N29=$D$6*$D$8,$D$6*$D$9, IF(N29=$D$6*$D$9, $D$6, IF(AND((SUM(O$21:O28)-O$18)&lt;0,N29=""),$D$6*$D$7,"")))))</f>
        <v>40000</v>
      </c>
      <c r="P29" s="229">
        <f>IF(O29=$D$6,$D$6,IF(O29=$D$6*$D$7,$D$6*$D$8, IF(O29=$D$6*$D$8,$D$6*$D$9, IF(O29=$D$6*$D$9, $D$6, IF(AND((SUM(P$21:P28)-P$18)&lt;0,O29=""),$D$6*$D$7,"")))))</f>
        <v>40000</v>
      </c>
      <c r="Q29" s="227">
        <f>IF(P29=$D$6,$D$6,IF(P29=$D$6*$D$7,$D$6*$D$8, IF(P29=$D$6*$D$8,$D$6*$D$9, IF(P29=$D$6*$D$9, $D$6, IF(AND((SUM(Q$21:Q28)-Q$18)&lt;0,P29=""),$D$6*$D$7,"")))))</f>
        <v>40000</v>
      </c>
      <c r="R29" s="228">
        <f>IF(Q29=$D$6,$D$6,IF(Q29=$D$6*$D$7,$D$6*$D$8, IF(Q29=$D$6*$D$8,$D$6*$D$9, IF(Q29=$D$6*$D$9, $D$6, IF(AND((SUM(R$21:R28)-R$18)&lt;0,Q29=""),$D$6*$D$7,"")))))</f>
        <v>40000</v>
      </c>
      <c r="S29" s="228">
        <f>IF(R29=$D$6,$D$6,IF(R29=$D$6*$D$7,$D$6*$D$8, IF(R29=$D$6*$D$8,$D$6*$D$9, IF(R29=$D$6*$D$9, $D$6, IF(AND((SUM(S$21:S28)-S$18)&lt;0,R29=""),$D$6*$D$7,"")))))</f>
        <v>40000</v>
      </c>
      <c r="T29" s="228">
        <f>IF(S29=$D$6,$D$6,IF(S29=$D$6*$D$7,$D$6*$D$8, IF(S29=$D$6*$D$8,$D$6*$D$9, IF(S29=$D$6*$D$9, $D$6, IF(AND((SUM(T$21:T28)-T$18)&lt;0,S29=""),$D$6*$D$7,"")))))</f>
        <v>40000</v>
      </c>
      <c r="U29" s="228">
        <f>IF(T29=$D$6,$D$6,IF(T29=$D$6*$D$7,$D$6*$D$8, IF(T29=$D$6*$D$8,$D$6*$D$9, IF(T29=$D$6*$D$9, $D$6, IF(AND((SUM(U$21:U28)-U$18)&lt;0,T29=""),$D$6*$D$7,"")))))</f>
        <v>40000</v>
      </c>
      <c r="V29" s="228">
        <f>IF(U29=$D$6,$D$6,IF(U29=$D$6*$D$7,$D$6*$D$8, IF(U29=$D$6*$D$8,$D$6*$D$9, IF(U29=$D$6*$D$9, $D$6, IF(AND((SUM(V$21:V28)-V$18)&lt;0,U29=""),$D$6*$D$7,"")))))</f>
        <v>40000</v>
      </c>
      <c r="W29" s="228">
        <f>IF(V29=$D$6,$D$6,IF(V29=$D$6*$D$7,$D$6*$D$8, IF(V29=$D$6*$D$8,$D$6*$D$9, IF(V29=$D$6*$D$9, $D$6, IF(AND((SUM(W$21:W28)-W$18)&lt;0,V29=""),$D$6*$D$7,"")))))</f>
        <v>40000</v>
      </c>
      <c r="X29" s="228">
        <f>IF(W29=$D$6,$D$6,IF(W29=$D$6*$D$7,$D$6*$D$8, IF(W29=$D$6*$D$8,$D$6*$D$9, IF(W29=$D$6*$D$9, $D$6, IF(AND((SUM(X$21:X28)-X$18)&lt;0,W29=""),$D$6*$D$7,"")))))</f>
        <v>40000</v>
      </c>
      <c r="Y29" s="228">
        <f>IF(X29=$D$6,$D$6,IF(X29=$D$6*$D$7,$D$6*$D$8, IF(X29=$D$6*$D$8,$D$6*$D$9, IF(X29=$D$6*$D$9, $D$6, IF(AND((SUM(Y$21:Y28)-Y$18)&lt;0,X29=""),$D$6*$D$7,"")))))</f>
        <v>40000</v>
      </c>
      <c r="Z29" s="228">
        <f>IF(Y29=$D$6,$D$6,IF(Y29=$D$6*$D$7,$D$6*$D$8, IF(Y29=$D$6*$D$8,$D$6*$D$9, IF(Y29=$D$6*$D$9, $D$6, IF(AND((SUM(Z$21:Z28)-Z$18)&lt;0,Y29=""),$D$6*$D$7,"")))))</f>
        <v>40000</v>
      </c>
      <c r="AA29" s="228">
        <f>IF(Z29=$D$6,$D$6,IF(Z29=$D$6*$D$7,$D$6*$D$8, IF(Z29=$D$6*$D$8,$D$6*$D$9, IF(Z29=$D$6*$D$9, $D$6, IF(AND((SUM(AA$21:AA28)-AA$18)&lt;0,Z29=""),$D$6*$D$7,"")))))</f>
        <v>40000</v>
      </c>
      <c r="AB29" s="229">
        <f>IF(AA29=$D$6,$D$6,IF(AA29=$D$6*$D$7,$D$6*$D$8, IF(AA29=$D$6*$D$8,$D$6*$D$9, IF(AA29=$D$6*$D$9, $D$6, IF(AND((SUM(AB$21:AB28)-AB$18)&lt;0,AA29=""),$D$6*$D$7,"")))))</f>
        <v>40000</v>
      </c>
      <c r="AC29" s="146"/>
    </row>
    <row r="30" spans="1:30">
      <c r="A30" s="145"/>
      <c r="B30" s="170"/>
      <c r="C30" s="143" t="s">
        <v>88</v>
      </c>
      <c r="D30" s="183">
        <f>IF($D$18&gt;SUM(D$21:D29),$D$6,0)</f>
        <v>0</v>
      </c>
      <c r="E30" s="227" t="str">
        <f>IF(D30=$D$6,$D$6,IF(D30=$D$6*$D$7,$D$6*$D$8, IF(D30=$D$6*$D$8,$D$6*$D$9, IF(D30=$D$6*$D$9, $D$6, IF(AND((SUM(E$21:E29)-E$18)&lt;0,D30=""),$D$6*$D$7,"")))))</f>
        <v/>
      </c>
      <c r="F30" s="228">
        <f>IF(E30=$D$6,$D$6,IF(E30=$D$6*$D$7,$D$6*$D$8, IF(E30=$D$6*$D$8,$D$6*$D$9, IF(E30=$D$6*$D$9, $D$6, IF(AND((SUM(F$21:F29)-F$18)&lt;0,E30=""),$D$6*$D$7,"")))))</f>
        <v>10000</v>
      </c>
      <c r="G30" s="228">
        <f>IF(F30=$D$6,$D$6,IF(F30=$D$6*$D$7,$D$6*$D$8, IF(F30=$D$6*$D$8,$D$6*$D$9, IF(F30=$D$6*$D$9, $D$6, IF(AND((SUM(G$21:G29)-G$18)&lt;0,F30=""),$D$6*$D$7,"")))))</f>
        <v>20000</v>
      </c>
      <c r="H30" s="228">
        <f>IF(G30=$D$6,$D$6,IF(G30=$D$6*$D$7,$D$6*$D$8, IF(G30=$D$6*$D$8,$D$6*$D$9, IF(G30=$D$6*$D$9, $D$6, IF(AND((SUM(H$21:H29)-H$18)&lt;0,G30=""),$D$6*$D$7,"")))))</f>
        <v>30000</v>
      </c>
      <c r="I30" s="228">
        <f>IF(H30=$D$6,$D$6,IF(H30=$D$6*$D$7,$D$6*$D$8, IF(H30=$D$6*$D$8,$D$6*$D$9, IF(H30=$D$6*$D$9, $D$6, IF(AND((SUM(I$21:I29)-I$18)&lt;0,H30=""),$D$6*$D$7,"")))))</f>
        <v>40000</v>
      </c>
      <c r="J30" s="228">
        <f>IF(I30=$D$6,$D$6,IF(I30=$D$6*$D$7,$D$6*$D$8, IF(I30=$D$6*$D$8,$D$6*$D$9, IF(I30=$D$6*$D$9, $D$6, IF(AND((SUM(J$21:J29)-J$18)&lt;0,I30=""),$D$6*$D$7,"")))))</f>
        <v>40000</v>
      </c>
      <c r="K30" s="228">
        <f>IF(J30=$D$6,$D$6,IF(J30=$D$6*$D$7,$D$6*$D$8, IF(J30=$D$6*$D$8,$D$6*$D$9, IF(J30=$D$6*$D$9, $D$6, IF(AND((SUM(K$21:K29)-K$18)&lt;0,J30=""),$D$6*$D$7,"")))))</f>
        <v>40000</v>
      </c>
      <c r="L30" s="228">
        <f>IF(K30=$D$6,$D$6,IF(K30=$D$6*$D$7,$D$6*$D$8, IF(K30=$D$6*$D$8,$D$6*$D$9, IF(K30=$D$6*$D$9, $D$6, IF(AND((SUM(L$21:L29)-L$18)&lt;0,K30=""),$D$6*$D$7,"")))))</f>
        <v>40000</v>
      </c>
      <c r="M30" s="228">
        <f>IF(L30=$D$6,$D$6,IF(L30=$D$6*$D$7,$D$6*$D$8, IF(L30=$D$6*$D$8,$D$6*$D$9, IF(L30=$D$6*$D$9, $D$6, IF(AND((SUM(M$21:M29)-M$18)&lt;0,L30=""),$D$6*$D$7,"")))))</f>
        <v>40000</v>
      </c>
      <c r="N30" s="228">
        <f>IF(M30=$D$6,$D$6,IF(M30=$D$6*$D$7,$D$6*$D$8, IF(M30=$D$6*$D$8,$D$6*$D$9, IF(M30=$D$6*$D$9, $D$6, IF(AND((SUM(N$21:N29)-N$18)&lt;0,M30=""),$D$6*$D$7,"")))))</f>
        <v>40000</v>
      </c>
      <c r="O30" s="228">
        <f>IF(N30=$D$6,$D$6,IF(N30=$D$6*$D$7,$D$6*$D$8, IF(N30=$D$6*$D$8,$D$6*$D$9, IF(N30=$D$6*$D$9, $D$6, IF(AND((SUM(O$21:O29)-O$18)&lt;0,N30=""),$D$6*$D$7,"")))))</f>
        <v>40000</v>
      </c>
      <c r="P30" s="229">
        <f>IF(O30=$D$6,$D$6,IF(O30=$D$6*$D$7,$D$6*$D$8, IF(O30=$D$6*$D$8,$D$6*$D$9, IF(O30=$D$6*$D$9, $D$6, IF(AND((SUM(P$21:P29)-P$18)&lt;0,O30=""),$D$6*$D$7,"")))))</f>
        <v>40000</v>
      </c>
      <c r="Q30" s="227">
        <f>IF(P30=$D$6,$D$6,IF(P30=$D$6*$D$7,$D$6*$D$8, IF(P30=$D$6*$D$8,$D$6*$D$9, IF(P30=$D$6*$D$9, $D$6, IF(AND((SUM(Q$21:Q29)-Q$18)&lt;0,P30=""),$D$6*$D$7,"")))))</f>
        <v>40000</v>
      </c>
      <c r="R30" s="228">
        <f>IF(Q30=$D$6,$D$6,IF(Q30=$D$6*$D$7,$D$6*$D$8, IF(Q30=$D$6*$D$8,$D$6*$D$9, IF(Q30=$D$6*$D$9, $D$6, IF(AND((SUM(R$21:R29)-R$18)&lt;0,Q30=""),$D$6*$D$7,"")))))</f>
        <v>40000</v>
      </c>
      <c r="S30" s="228">
        <f>IF(R30=$D$6,$D$6,IF(R30=$D$6*$D$7,$D$6*$D$8, IF(R30=$D$6*$D$8,$D$6*$D$9, IF(R30=$D$6*$D$9, $D$6, IF(AND((SUM(S$21:S29)-S$18)&lt;0,R30=""),$D$6*$D$7,"")))))</f>
        <v>40000</v>
      </c>
      <c r="T30" s="228">
        <f>IF(S30=$D$6,$D$6,IF(S30=$D$6*$D$7,$D$6*$D$8, IF(S30=$D$6*$D$8,$D$6*$D$9, IF(S30=$D$6*$D$9, $D$6, IF(AND((SUM(T$21:T29)-T$18)&lt;0,S30=""),$D$6*$D$7,"")))))</f>
        <v>40000</v>
      </c>
      <c r="U30" s="228">
        <f>IF(T30=$D$6,$D$6,IF(T30=$D$6*$D$7,$D$6*$D$8, IF(T30=$D$6*$D$8,$D$6*$D$9, IF(T30=$D$6*$D$9, $D$6, IF(AND((SUM(U$21:U29)-U$18)&lt;0,T30=""),$D$6*$D$7,"")))))</f>
        <v>40000</v>
      </c>
      <c r="V30" s="228">
        <f>IF(U30=$D$6,$D$6,IF(U30=$D$6*$D$7,$D$6*$D$8, IF(U30=$D$6*$D$8,$D$6*$D$9, IF(U30=$D$6*$D$9, $D$6, IF(AND((SUM(V$21:V29)-V$18)&lt;0,U30=""),$D$6*$D$7,"")))))</f>
        <v>40000</v>
      </c>
      <c r="W30" s="228">
        <f>IF(V30=$D$6,$D$6,IF(V30=$D$6*$D$7,$D$6*$D$8, IF(V30=$D$6*$D$8,$D$6*$D$9, IF(V30=$D$6*$D$9, $D$6, IF(AND((SUM(W$21:W29)-W$18)&lt;0,V30=""),$D$6*$D$7,"")))))</f>
        <v>40000</v>
      </c>
      <c r="X30" s="228">
        <f>IF(W30=$D$6,$D$6,IF(W30=$D$6*$D$7,$D$6*$D$8, IF(W30=$D$6*$D$8,$D$6*$D$9, IF(W30=$D$6*$D$9, $D$6, IF(AND((SUM(X$21:X29)-X$18)&lt;0,W30=""),$D$6*$D$7,"")))))</f>
        <v>40000</v>
      </c>
      <c r="Y30" s="228">
        <f>IF(X30=$D$6,$D$6,IF(X30=$D$6*$D$7,$D$6*$D$8, IF(X30=$D$6*$D$8,$D$6*$D$9, IF(X30=$D$6*$D$9, $D$6, IF(AND((SUM(Y$21:Y29)-Y$18)&lt;0,X30=""),$D$6*$D$7,"")))))</f>
        <v>40000</v>
      </c>
      <c r="Z30" s="228">
        <f>IF(Y30=$D$6,$D$6,IF(Y30=$D$6*$D$7,$D$6*$D$8, IF(Y30=$D$6*$D$8,$D$6*$D$9, IF(Y30=$D$6*$D$9, $D$6, IF(AND((SUM(Z$21:Z29)-Z$18)&lt;0,Y30=""),$D$6*$D$7,"")))))</f>
        <v>40000</v>
      </c>
      <c r="AA30" s="228">
        <f>IF(Z30=$D$6,$D$6,IF(Z30=$D$6*$D$7,$D$6*$D$8, IF(Z30=$D$6*$D$8,$D$6*$D$9, IF(Z30=$D$6*$D$9, $D$6, IF(AND((SUM(AA$21:AA29)-AA$18)&lt;0,Z30=""),$D$6*$D$7,"")))))</f>
        <v>40000</v>
      </c>
      <c r="AB30" s="229">
        <f>IF(AA30=$D$6,$D$6,IF(AA30=$D$6*$D$7,$D$6*$D$8, IF(AA30=$D$6*$D$8,$D$6*$D$9, IF(AA30=$D$6*$D$9, $D$6, IF(AND((SUM(AB$21:AB29)-AB$18)&lt;0,AA30=""),$D$6*$D$7,"")))))</f>
        <v>40000</v>
      </c>
      <c r="AC30" s="146"/>
    </row>
    <row r="31" spans="1:30">
      <c r="A31" s="145"/>
      <c r="B31" s="170"/>
      <c r="C31" s="143" t="s">
        <v>89</v>
      </c>
      <c r="D31" s="183">
        <f>IF($D$18&gt;SUM(D$21:D30),$D$6,0)</f>
        <v>0</v>
      </c>
      <c r="E31" s="227" t="str">
        <f>IF(D31=$D$6,$D$6,IF(D31=$D$6*$D$7,$D$6*$D$8, IF(D31=$D$6*$D$8,$D$6*$D$9, IF(D31=$D$6*$D$9, $D$6, IF(AND((SUM(E$21:E30)-E$18)&lt;0,D31=""),$D$6*$D$7,"")))))</f>
        <v/>
      </c>
      <c r="F31" s="228">
        <f>IF(E31=$D$6,$D$6,IF(E31=$D$6*$D$7,$D$6*$D$8, IF(E31=$D$6*$D$8,$D$6*$D$9, IF(E31=$D$6*$D$9, $D$6, IF(AND((SUM(F$21:F30)-F$18)&lt;0,E31=""),$D$6*$D$7,"")))))</f>
        <v>10000</v>
      </c>
      <c r="G31" s="228">
        <f>IF(F31=$D$6,$D$6,IF(F31=$D$6*$D$7,$D$6*$D$8, IF(F31=$D$6*$D$8,$D$6*$D$9, IF(F31=$D$6*$D$9, $D$6, IF(AND((SUM(G$21:G30)-G$18)&lt;0,F31=""),$D$6*$D$7,"")))))</f>
        <v>20000</v>
      </c>
      <c r="H31" s="228">
        <f>IF(G31=$D$6,$D$6,IF(G31=$D$6*$D$7,$D$6*$D$8, IF(G31=$D$6*$D$8,$D$6*$D$9, IF(G31=$D$6*$D$9, $D$6, IF(AND((SUM(H$21:H30)-H$18)&lt;0,G31=""),$D$6*$D$7,"")))))</f>
        <v>30000</v>
      </c>
      <c r="I31" s="228">
        <f>IF(H31=$D$6,$D$6,IF(H31=$D$6*$D$7,$D$6*$D$8, IF(H31=$D$6*$D$8,$D$6*$D$9, IF(H31=$D$6*$D$9, $D$6, IF(AND((SUM(I$21:I30)-I$18)&lt;0,H31=""),$D$6*$D$7,"")))))</f>
        <v>40000</v>
      </c>
      <c r="J31" s="228">
        <f>IF(I31=$D$6,$D$6,IF(I31=$D$6*$D$7,$D$6*$D$8, IF(I31=$D$6*$D$8,$D$6*$D$9, IF(I31=$D$6*$D$9, $D$6, IF(AND((SUM(J$21:J30)-J$18)&lt;0,I31=""),$D$6*$D$7,"")))))</f>
        <v>40000</v>
      </c>
      <c r="K31" s="228">
        <f>IF(J31=$D$6,$D$6,IF(J31=$D$6*$D$7,$D$6*$D$8, IF(J31=$D$6*$D$8,$D$6*$D$9, IF(J31=$D$6*$D$9, $D$6, IF(AND((SUM(K$21:K30)-K$18)&lt;0,J31=""),$D$6*$D$7,"")))))</f>
        <v>40000</v>
      </c>
      <c r="L31" s="228">
        <f>IF(K31=$D$6,$D$6,IF(K31=$D$6*$D$7,$D$6*$D$8, IF(K31=$D$6*$D$8,$D$6*$D$9, IF(K31=$D$6*$D$9, $D$6, IF(AND((SUM(L$21:L30)-L$18)&lt;0,K31=""),$D$6*$D$7,"")))))</f>
        <v>40000</v>
      </c>
      <c r="M31" s="228">
        <f>IF(L31=$D$6,$D$6,IF(L31=$D$6*$D$7,$D$6*$D$8, IF(L31=$D$6*$D$8,$D$6*$D$9, IF(L31=$D$6*$D$9, $D$6, IF(AND((SUM(M$21:M30)-M$18)&lt;0,L31=""),$D$6*$D$7,"")))))</f>
        <v>40000</v>
      </c>
      <c r="N31" s="228">
        <f>IF(M31=$D$6,$D$6,IF(M31=$D$6*$D$7,$D$6*$D$8, IF(M31=$D$6*$D$8,$D$6*$D$9, IF(M31=$D$6*$D$9, $D$6, IF(AND((SUM(N$21:N30)-N$18)&lt;0,M31=""),$D$6*$D$7,"")))))</f>
        <v>40000</v>
      </c>
      <c r="O31" s="228">
        <f>IF(N31=$D$6,$D$6,IF(N31=$D$6*$D$7,$D$6*$D$8, IF(N31=$D$6*$D$8,$D$6*$D$9, IF(N31=$D$6*$D$9, $D$6, IF(AND((SUM(O$21:O30)-O$18)&lt;0,N31=""),$D$6*$D$7,"")))))</f>
        <v>40000</v>
      </c>
      <c r="P31" s="229">
        <f>IF(O31=$D$6,$D$6,IF(O31=$D$6*$D$7,$D$6*$D$8, IF(O31=$D$6*$D$8,$D$6*$D$9, IF(O31=$D$6*$D$9, $D$6, IF(AND((SUM(P$21:P30)-P$18)&lt;0,O31=""),$D$6*$D$7,"")))))</f>
        <v>40000</v>
      </c>
      <c r="Q31" s="227">
        <f>IF(P31=$D$6,$D$6,IF(P31=$D$6*$D$7,$D$6*$D$8, IF(P31=$D$6*$D$8,$D$6*$D$9, IF(P31=$D$6*$D$9, $D$6, IF(AND((SUM(Q$21:Q30)-Q$18)&lt;0,P31=""),$D$6*$D$7,"")))))</f>
        <v>40000</v>
      </c>
      <c r="R31" s="228">
        <f>IF(Q31=$D$6,$D$6,IF(Q31=$D$6*$D$7,$D$6*$D$8, IF(Q31=$D$6*$D$8,$D$6*$D$9, IF(Q31=$D$6*$D$9, $D$6, IF(AND((SUM(R$21:R30)-R$18)&lt;0,Q31=""),$D$6*$D$7,"")))))</f>
        <v>40000</v>
      </c>
      <c r="S31" s="228">
        <f>IF(R31=$D$6,$D$6,IF(R31=$D$6*$D$7,$D$6*$D$8, IF(R31=$D$6*$D$8,$D$6*$D$9, IF(R31=$D$6*$D$9, $D$6, IF(AND((SUM(S$21:S30)-S$18)&lt;0,R31=""),$D$6*$D$7,"")))))</f>
        <v>40000</v>
      </c>
      <c r="T31" s="228">
        <f>IF(S31=$D$6,$D$6,IF(S31=$D$6*$D$7,$D$6*$D$8, IF(S31=$D$6*$D$8,$D$6*$D$9, IF(S31=$D$6*$D$9, $D$6, IF(AND((SUM(T$21:T30)-T$18)&lt;0,S31=""),$D$6*$D$7,"")))))</f>
        <v>40000</v>
      </c>
      <c r="U31" s="228">
        <f>IF(T31=$D$6,$D$6,IF(T31=$D$6*$D$7,$D$6*$D$8, IF(T31=$D$6*$D$8,$D$6*$D$9, IF(T31=$D$6*$D$9, $D$6, IF(AND((SUM(U$21:U30)-U$18)&lt;0,T31=""),$D$6*$D$7,"")))))</f>
        <v>40000</v>
      </c>
      <c r="V31" s="228">
        <f>IF(U31=$D$6,$D$6,IF(U31=$D$6*$D$7,$D$6*$D$8, IF(U31=$D$6*$D$8,$D$6*$D$9, IF(U31=$D$6*$D$9, $D$6, IF(AND((SUM(V$21:V30)-V$18)&lt;0,U31=""),$D$6*$D$7,"")))))</f>
        <v>40000</v>
      </c>
      <c r="W31" s="228">
        <f>IF(V31=$D$6,$D$6,IF(V31=$D$6*$D$7,$D$6*$D$8, IF(V31=$D$6*$D$8,$D$6*$D$9, IF(V31=$D$6*$D$9, $D$6, IF(AND((SUM(W$21:W30)-W$18)&lt;0,V31=""),$D$6*$D$7,"")))))</f>
        <v>40000</v>
      </c>
      <c r="X31" s="228">
        <f>IF(W31=$D$6,$D$6,IF(W31=$D$6*$D$7,$D$6*$D$8, IF(W31=$D$6*$D$8,$D$6*$D$9, IF(W31=$D$6*$D$9, $D$6, IF(AND((SUM(X$21:X30)-X$18)&lt;0,W31=""),$D$6*$D$7,"")))))</f>
        <v>40000</v>
      </c>
      <c r="Y31" s="228">
        <f>IF(X31=$D$6,$D$6,IF(X31=$D$6*$D$7,$D$6*$D$8, IF(X31=$D$6*$D$8,$D$6*$D$9, IF(X31=$D$6*$D$9, $D$6, IF(AND((SUM(Y$21:Y30)-Y$18)&lt;0,X31=""),$D$6*$D$7,"")))))</f>
        <v>40000</v>
      </c>
      <c r="Z31" s="228">
        <f>IF(Y31=$D$6,$D$6,IF(Y31=$D$6*$D$7,$D$6*$D$8, IF(Y31=$D$6*$D$8,$D$6*$D$9, IF(Y31=$D$6*$D$9, $D$6, IF(AND((SUM(Z$21:Z30)-Z$18)&lt;0,Y31=""),$D$6*$D$7,"")))))</f>
        <v>40000</v>
      </c>
      <c r="AA31" s="228">
        <f>IF(Z31=$D$6,$D$6,IF(Z31=$D$6*$D$7,$D$6*$D$8, IF(Z31=$D$6*$D$8,$D$6*$D$9, IF(Z31=$D$6*$D$9, $D$6, IF(AND((SUM(AA$21:AA30)-AA$18)&lt;0,Z31=""),$D$6*$D$7,"")))))</f>
        <v>40000</v>
      </c>
      <c r="AB31" s="229">
        <f>IF(AA31=$D$6,$D$6,IF(AA31=$D$6*$D$7,$D$6*$D$8, IF(AA31=$D$6*$D$8,$D$6*$D$9, IF(AA31=$D$6*$D$9, $D$6, IF(AND((SUM(AB$21:AB30)-AB$18)&lt;0,AA31=""),$D$6*$D$7,"")))))</f>
        <v>40000</v>
      </c>
      <c r="AC31" s="146"/>
    </row>
    <row r="32" spans="1:30">
      <c r="A32" s="145"/>
      <c r="B32" s="170"/>
      <c r="C32" s="143" t="s">
        <v>90</v>
      </c>
      <c r="D32" s="183">
        <f>IF($D$18&gt;SUM(D$21:D31),$D$6,0)</f>
        <v>0</v>
      </c>
      <c r="E32" s="227" t="str">
        <f>IF(D32=$D$6,$D$6,IF(D32=$D$6*$D$7,$D$6*$D$8, IF(D32=$D$6*$D$8,$D$6*$D$9, IF(D32=$D$6*$D$9, $D$6, IF(AND((SUM(E$21:E31)-E$18)&lt;0,D32=""),$D$6*$D$7,"")))))</f>
        <v/>
      </c>
      <c r="F32" s="228" t="str">
        <f>IF(E32=$D$6,$D$6,IF(E32=$D$6*$D$7,$D$6*$D$8, IF(E32=$D$6*$D$8,$D$6*$D$9, IF(E32=$D$6*$D$9, $D$6, IF(AND((SUM(F$21:F31)-F$18)&lt;0,E32=""),$D$6*$D$7,"")))))</f>
        <v/>
      </c>
      <c r="G32" s="228" t="str">
        <f>IF(F32=$D$6,$D$6,IF(F32=$D$6*$D$7,$D$6*$D$8, IF(F32=$D$6*$D$8,$D$6*$D$9, IF(F32=$D$6*$D$9, $D$6, IF(AND((SUM(G$21:G31)-G$18)&lt;0,F32=""),$D$6*$D$7,"")))))</f>
        <v/>
      </c>
      <c r="H32" s="228" t="str">
        <f>IF(G32=$D$6,$D$6,IF(G32=$D$6*$D$7,$D$6*$D$8, IF(G32=$D$6*$D$8,$D$6*$D$9, IF(G32=$D$6*$D$9, $D$6, IF(AND((SUM(H$21:H31)-H$18)&lt;0,G32=""),$D$6*$D$7,"")))))</f>
        <v/>
      </c>
      <c r="I32" s="228" t="str">
        <f>IF(H32=$D$6,$D$6,IF(H32=$D$6*$D$7,$D$6*$D$8, IF(H32=$D$6*$D$8,$D$6*$D$9, IF(H32=$D$6*$D$9, $D$6, IF(AND((SUM(I$21:I31)-I$18)&lt;0,H32=""),$D$6*$D$7,"")))))</f>
        <v/>
      </c>
      <c r="J32" s="228" t="str">
        <f>IF(I32=$D$6,$D$6,IF(I32=$D$6*$D$7,$D$6*$D$8, IF(I32=$D$6*$D$8,$D$6*$D$9, IF(I32=$D$6*$D$9, $D$6, IF(AND((SUM(J$21:J31)-J$18)&lt;0,I32=""),$D$6*$D$7,"")))))</f>
        <v/>
      </c>
      <c r="K32" s="228" t="str">
        <f>IF(J32=$D$6,$D$6,IF(J32=$D$6*$D$7,$D$6*$D$8, IF(J32=$D$6*$D$8,$D$6*$D$9, IF(J32=$D$6*$D$9, $D$6, IF(AND((SUM(K$21:K31)-K$18)&lt;0,J32=""),$D$6*$D$7,"")))))</f>
        <v/>
      </c>
      <c r="L32" s="228" t="str">
        <f>IF(K32=$D$6,$D$6,IF(K32=$D$6*$D$7,$D$6*$D$8, IF(K32=$D$6*$D$8,$D$6*$D$9, IF(K32=$D$6*$D$9, $D$6, IF(AND((SUM(L$21:L31)-L$18)&lt;0,K32=""),$D$6*$D$7,"")))))</f>
        <v/>
      </c>
      <c r="M32" s="228" t="str">
        <f>IF(L32=$D$6,$D$6,IF(L32=$D$6*$D$7,$D$6*$D$8, IF(L32=$D$6*$D$8,$D$6*$D$9, IF(L32=$D$6*$D$9, $D$6, IF(AND((SUM(M$21:M31)-M$18)&lt;0,L32=""),$D$6*$D$7,"")))))</f>
        <v/>
      </c>
      <c r="N32" s="228" t="str">
        <f>IF(M32=$D$6,$D$6,IF(M32=$D$6*$D$7,$D$6*$D$8, IF(M32=$D$6*$D$8,$D$6*$D$9, IF(M32=$D$6*$D$9, $D$6, IF(AND((SUM(N$21:N31)-N$18)&lt;0,M32=""),$D$6*$D$7,"")))))</f>
        <v/>
      </c>
      <c r="O32" s="228" t="str">
        <f>IF(N32=$D$6,$D$6,IF(N32=$D$6*$D$7,$D$6*$D$8, IF(N32=$D$6*$D$8,$D$6*$D$9, IF(N32=$D$6*$D$9, $D$6, IF(AND((SUM(O$21:O31)-O$18)&lt;0,N32=""),$D$6*$D$7,"")))))</f>
        <v/>
      </c>
      <c r="P32" s="229" t="str">
        <f>IF(O32=$D$6,$D$6,IF(O32=$D$6*$D$7,$D$6*$D$8, IF(O32=$D$6*$D$8,$D$6*$D$9, IF(O32=$D$6*$D$9, $D$6, IF(AND((SUM(P$21:P31)-P$18)&lt;0,O32=""),$D$6*$D$7,"")))))</f>
        <v/>
      </c>
      <c r="Q32" s="227" t="str">
        <f>IF(P32=$D$6,$D$6,IF(P32=$D$6*$D$7,$D$6*$D$8, IF(P32=$D$6*$D$8,$D$6*$D$9, IF(P32=$D$6*$D$9, $D$6, IF(AND((SUM(Q$21:Q31)-Q$18)&lt;0,P32=""),$D$6*$D$7,"")))))</f>
        <v/>
      </c>
      <c r="R32" s="228" t="str">
        <f>IF(Q32=$D$6,$D$6,IF(Q32=$D$6*$D$7,$D$6*$D$8, IF(Q32=$D$6*$D$8,$D$6*$D$9, IF(Q32=$D$6*$D$9, $D$6, IF(AND((SUM(R$21:R31)-R$18)&lt;0,Q32=""),$D$6*$D$7,"")))))</f>
        <v/>
      </c>
      <c r="S32" s="228" t="str">
        <f>IF(R32=$D$6,$D$6,IF(R32=$D$6*$D$7,$D$6*$D$8, IF(R32=$D$6*$D$8,$D$6*$D$9, IF(R32=$D$6*$D$9, $D$6, IF(AND((SUM(S$21:S31)-S$18)&lt;0,R32=""),$D$6*$D$7,"")))))</f>
        <v/>
      </c>
      <c r="T32" s="228" t="str">
        <f>IF(S32=$D$6,$D$6,IF(S32=$D$6*$D$7,$D$6*$D$8, IF(S32=$D$6*$D$8,$D$6*$D$9, IF(S32=$D$6*$D$9, $D$6, IF(AND((SUM(T$21:T31)-T$18)&lt;0,S32=""),$D$6*$D$7,"")))))</f>
        <v/>
      </c>
      <c r="U32" s="228" t="str">
        <f>IF(T32=$D$6,$D$6,IF(T32=$D$6*$D$7,$D$6*$D$8, IF(T32=$D$6*$D$8,$D$6*$D$9, IF(T32=$D$6*$D$9, $D$6, IF(AND((SUM(U$21:U31)-U$18)&lt;0,T32=""),$D$6*$D$7,"")))))</f>
        <v/>
      </c>
      <c r="V32" s="228">
        <f>IF(U32=$D$6,$D$6,IF(U32=$D$6*$D$7,$D$6*$D$8, IF(U32=$D$6*$D$8,$D$6*$D$9, IF(U32=$D$6*$D$9, $D$6, IF(AND((SUM(V$21:V31)-V$18)&lt;0,U32=""),$D$6*$D$7,"")))))</f>
        <v>10000</v>
      </c>
      <c r="W32" s="228">
        <f>IF(V32=$D$6,$D$6,IF(V32=$D$6*$D$7,$D$6*$D$8, IF(V32=$D$6*$D$8,$D$6*$D$9, IF(V32=$D$6*$D$9, $D$6, IF(AND((SUM(W$21:W31)-W$18)&lt;0,V32=""),$D$6*$D$7,"")))))</f>
        <v>20000</v>
      </c>
      <c r="X32" s="228">
        <f>IF(W32=$D$6,$D$6,IF(W32=$D$6*$D$7,$D$6*$D$8, IF(W32=$D$6*$D$8,$D$6*$D$9, IF(W32=$D$6*$D$9, $D$6, IF(AND((SUM(X$21:X31)-X$18)&lt;0,W32=""),$D$6*$D$7,"")))))</f>
        <v>30000</v>
      </c>
      <c r="Y32" s="228">
        <f>IF(X32=$D$6,$D$6,IF(X32=$D$6*$D$7,$D$6*$D$8, IF(X32=$D$6*$D$8,$D$6*$D$9, IF(X32=$D$6*$D$9, $D$6, IF(AND((SUM(Y$21:Y31)-Y$18)&lt;0,X32=""),$D$6*$D$7,"")))))</f>
        <v>40000</v>
      </c>
      <c r="Z32" s="228">
        <f>IF(Y32=$D$6,$D$6,IF(Y32=$D$6*$D$7,$D$6*$D$8, IF(Y32=$D$6*$D$8,$D$6*$D$9, IF(Y32=$D$6*$D$9, $D$6, IF(AND((SUM(Z$21:Z31)-Z$18)&lt;0,Y32=""),$D$6*$D$7,"")))))</f>
        <v>40000</v>
      </c>
      <c r="AA32" s="228">
        <f>IF(Z32=$D$6,$D$6,IF(Z32=$D$6*$D$7,$D$6*$D$8, IF(Z32=$D$6*$D$8,$D$6*$D$9, IF(Z32=$D$6*$D$9, $D$6, IF(AND((SUM(AA$21:AA31)-AA$18)&lt;0,Z32=""),$D$6*$D$7,"")))))</f>
        <v>40000</v>
      </c>
      <c r="AB32" s="229">
        <f>IF(AA32=$D$6,$D$6,IF(AA32=$D$6*$D$7,$D$6*$D$8, IF(AA32=$D$6*$D$8,$D$6*$D$9, IF(AA32=$D$6*$D$9, $D$6, IF(AND((SUM(AB$21:AB31)-AB$18)&lt;0,AA32=""),$D$6*$D$7,"")))))</f>
        <v>40000</v>
      </c>
      <c r="AC32" s="146"/>
    </row>
    <row r="33" spans="1:29">
      <c r="A33" s="145"/>
      <c r="B33" s="170"/>
      <c r="C33" s="143" t="s">
        <v>91</v>
      </c>
      <c r="D33" s="183">
        <f>IF($D$18&gt;SUM(D$21:D32),$D$6,0)</f>
        <v>0</v>
      </c>
      <c r="E33" s="227" t="str">
        <f>IF(D33=$D$6,$D$6,IF(D33=$D$6*$D$7,$D$6*$D$8, IF(D33=$D$6*$D$8,$D$6*$D$9, IF(D33=$D$6*$D$9, $D$6, IF(AND((SUM(E$21:E32)-E$18)&lt;0,D33=""),$D$6*$D$7,"")))))</f>
        <v/>
      </c>
      <c r="F33" s="228" t="str">
        <f>IF(E33=$D$6,$D$6,IF(E33=$D$6*$D$7,$D$6*$D$8, IF(E33=$D$6*$D$8,$D$6*$D$9, IF(E33=$D$6*$D$9, $D$6, IF(AND((SUM(F$21:F32)-F$18)&lt;0,E33=""),$D$6*$D$7,"")))))</f>
        <v/>
      </c>
      <c r="G33" s="228" t="str">
        <f>IF(F33=$D$6,$D$6,IF(F33=$D$6*$D$7,$D$6*$D$8, IF(F33=$D$6*$D$8,$D$6*$D$9, IF(F33=$D$6*$D$9, $D$6, IF(AND((SUM(G$21:G32)-G$18)&lt;0,F33=""),$D$6*$D$7,"")))))</f>
        <v/>
      </c>
      <c r="H33" s="228" t="str">
        <f>IF(G33=$D$6,$D$6,IF(G33=$D$6*$D$7,$D$6*$D$8, IF(G33=$D$6*$D$8,$D$6*$D$9, IF(G33=$D$6*$D$9, $D$6, IF(AND((SUM(H$21:H32)-H$18)&lt;0,G33=""),$D$6*$D$7,"")))))</f>
        <v/>
      </c>
      <c r="I33" s="228" t="str">
        <f>IF(H33=$D$6,$D$6,IF(H33=$D$6*$D$7,$D$6*$D$8, IF(H33=$D$6*$D$8,$D$6*$D$9, IF(H33=$D$6*$D$9, $D$6, IF(AND((SUM(I$21:I32)-I$18)&lt;0,H33=""),$D$6*$D$7,"")))))</f>
        <v/>
      </c>
      <c r="J33" s="228" t="str">
        <f>IF(I33=$D$6,$D$6,IF(I33=$D$6*$D$7,$D$6*$D$8, IF(I33=$D$6*$D$8,$D$6*$D$9, IF(I33=$D$6*$D$9, $D$6, IF(AND((SUM(J$21:J32)-J$18)&lt;0,I33=""),$D$6*$D$7,"")))))</f>
        <v/>
      </c>
      <c r="K33" s="228" t="str">
        <f>IF(J33=$D$6,$D$6,IF(J33=$D$6*$D$7,$D$6*$D$8, IF(J33=$D$6*$D$8,$D$6*$D$9, IF(J33=$D$6*$D$9, $D$6, IF(AND((SUM(K$21:K32)-K$18)&lt;0,J33=""),$D$6*$D$7,"")))))</f>
        <v/>
      </c>
      <c r="L33" s="228" t="str">
        <f>IF(K33=$D$6,$D$6,IF(K33=$D$6*$D$7,$D$6*$D$8, IF(K33=$D$6*$D$8,$D$6*$D$9, IF(K33=$D$6*$D$9, $D$6, IF(AND((SUM(L$21:L32)-L$18)&lt;0,K33=""),$D$6*$D$7,"")))))</f>
        <v/>
      </c>
      <c r="M33" s="228" t="str">
        <f>IF(L33=$D$6,$D$6,IF(L33=$D$6*$D$7,$D$6*$D$8, IF(L33=$D$6*$D$8,$D$6*$D$9, IF(L33=$D$6*$D$9, $D$6, IF(AND((SUM(M$21:M32)-M$18)&lt;0,L33=""),$D$6*$D$7,"")))))</f>
        <v/>
      </c>
      <c r="N33" s="228" t="str">
        <f>IF(M33=$D$6,$D$6,IF(M33=$D$6*$D$7,$D$6*$D$8, IF(M33=$D$6*$D$8,$D$6*$D$9, IF(M33=$D$6*$D$9, $D$6, IF(AND((SUM(N$21:N32)-N$18)&lt;0,M33=""),$D$6*$D$7,"")))))</f>
        <v/>
      </c>
      <c r="O33" s="228" t="str">
        <f>IF(N33=$D$6,$D$6,IF(N33=$D$6*$D$7,$D$6*$D$8, IF(N33=$D$6*$D$8,$D$6*$D$9, IF(N33=$D$6*$D$9, $D$6, IF(AND((SUM(O$21:O32)-O$18)&lt;0,N33=""),$D$6*$D$7,"")))))</f>
        <v/>
      </c>
      <c r="P33" s="229" t="str">
        <f>IF(O33=$D$6,$D$6,IF(O33=$D$6*$D$7,$D$6*$D$8, IF(O33=$D$6*$D$8,$D$6*$D$9, IF(O33=$D$6*$D$9, $D$6, IF(AND((SUM(P$21:P32)-P$18)&lt;0,O33=""),$D$6*$D$7,"")))))</f>
        <v/>
      </c>
      <c r="Q33" s="227" t="str">
        <f>IF(P33=$D$6,$D$6,IF(P33=$D$6*$D$7,$D$6*$D$8, IF(P33=$D$6*$D$8,$D$6*$D$9, IF(P33=$D$6*$D$9, $D$6, IF(AND((SUM(Q$21:Q32)-Q$18)&lt;0,P33=""),$D$6*$D$7,"")))))</f>
        <v/>
      </c>
      <c r="R33" s="228" t="str">
        <f>IF(Q33=$D$6,$D$6,IF(Q33=$D$6*$D$7,$D$6*$D$8, IF(Q33=$D$6*$D$8,$D$6*$D$9, IF(Q33=$D$6*$D$9, $D$6, IF(AND((SUM(R$21:R32)-R$18)&lt;0,Q33=""),$D$6*$D$7,"")))))</f>
        <v/>
      </c>
      <c r="S33" s="228" t="str">
        <f>IF(R33=$D$6,$D$6,IF(R33=$D$6*$D$7,$D$6*$D$8, IF(R33=$D$6*$D$8,$D$6*$D$9, IF(R33=$D$6*$D$9, $D$6, IF(AND((SUM(S$21:S32)-S$18)&lt;0,R33=""),$D$6*$D$7,"")))))</f>
        <v/>
      </c>
      <c r="T33" s="228" t="str">
        <f>IF(S33=$D$6,$D$6,IF(S33=$D$6*$D$7,$D$6*$D$8, IF(S33=$D$6*$D$8,$D$6*$D$9, IF(S33=$D$6*$D$9, $D$6, IF(AND((SUM(T$21:T32)-T$18)&lt;0,S33=""),$D$6*$D$7,"")))))</f>
        <v/>
      </c>
      <c r="U33" s="228" t="str">
        <f>IF(T33=$D$6,$D$6,IF(T33=$D$6*$D$7,$D$6*$D$8, IF(T33=$D$6*$D$8,$D$6*$D$9, IF(T33=$D$6*$D$9, $D$6, IF(AND((SUM(U$21:U32)-U$18)&lt;0,T33=""),$D$6*$D$7,"")))))</f>
        <v/>
      </c>
      <c r="V33" s="228">
        <f>IF(U33=$D$6,$D$6,IF(U33=$D$6*$D$7,$D$6*$D$8, IF(U33=$D$6*$D$8,$D$6*$D$9, IF(U33=$D$6*$D$9, $D$6, IF(AND((SUM(V$21:V32)-V$18)&lt;0,U33=""),$D$6*$D$7,"")))))</f>
        <v>10000</v>
      </c>
      <c r="W33" s="228">
        <f>IF(V33=$D$6,$D$6,IF(V33=$D$6*$D$7,$D$6*$D$8, IF(V33=$D$6*$D$8,$D$6*$D$9, IF(V33=$D$6*$D$9, $D$6, IF(AND((SUM(W$21:W32)-W$18)&lt;0,V33=""),$D$6*$D$7,"")))))</f>
        <v>20000</v>
      </c>
      <c r="X33" s="228">
        <f>IF(W33=$D$6,$D$6,IF(W33=$D$6*$D$7,$D$6*$D$8, IF(W33=$D$6*$D$8,$D$6*$D$9, IF(W33=$D$6*$D$9, $D$6, IF(AND((SUM(X$21:X32)-X$18)&lt;0,W33=""),$D$6*$D$7,"")))))</f>
        <v>30000</v>
      </c>
      <c r="Y33" s="228">
        <f>IF(X33=$D$6,$D$6,IF(X33=$D$6*$D$7,$D$6*$D$8, IF(X33=$D$6*$D$8,$D$6*$D$9, IF(X33=$D$6*$D$9, $D$6, IF(AND((SUM(Y$21:Y32)-Y$18)&lt;0,X33=""),$D$6*$D$7,"")))))</f>
        <v>40000</v>
      </c>
      <c r="Z33" s="228">
        <f>IF(Y33=$D$6,$D$6,IF(Y33=$D$6*$D$7,$D$6*$D$8, IF(Y33=$D$6*$D$8,$D$6*$D$9, IF(Y33=$D$6*$D$9, $D$6, IF(AND((SUM(Z$21:Z32)-Z$18)&lt;0,Y33=""),$D$6*$D$7,"")))))</f>
        <v>40000</v>
      </c>
      <c r="AA33" s="228">
        <f>IF(Z33=$D$6,$D$6,IF(Z33=$D$6*$D$7,$D$6*$D$8, IF(Z33=$D$6*$D$8,$D$6*$D$9, IF(Z33=$D$6*$D$9, $D$6, IF(AND((SUM(AA$21:AA32)-AA$18)&lt;0,Z33=""),$D$6*$D$7,"")))))</f>
        <v>40000</v>
      </c>
      <c r="AB33" s="229">
        <f>IF(AA33=$D$6,$D$6,IF(AA33=$D$6*$D$7,$D$6*$D$8, IF(AA33=$D$6*$D$8,$D$6*$D$9, IF(AA33=$D$6*$D$9, $D$6, IF(AND((SUM(AB$21:AB32)-AB$18)&lt;0,AA33=""),$D$6*$D$7,"")))))</f>
        <v>40000</v>
      </c>
      <c r="AC33" s="146"/>
    </row>
    <row r="34" spans="1:29">
      <c r="A34" s="145"/>
      <c r="B34" s="170"/>
      <c r="C34" s="143" t="s">
        <v>92</v>
      </c>
      <c r="D34" s="183">
        <f>IF($D$18&gt;SUM(D$21:D33),$D$6,0)</f>
        <v>0</v>
      </c>
      <c r="E34" s="227" t="str">
        <f>IF(D34=$D$6,$D$6,IF(D34=$D$6*$D$7,$D$6*$D$8, IF(D34=$D$6*$D$8,$D$6*$D$9, IF(D34=$D$6*$D$9, $D$6, IF(AND((SUM(E$21:E33)-E$18)&lt;0,D34=""),$D$6*$D$7,"")))))</f>
        <v/>
      </c>
      <c r="F34" s="228" t="str">
        <f>IF(E34=$D$6,$D$6,IF(E34=$D$6*$D$7,$D$6*$D$8, IF(E34=$D$6*$D$8,$D$6*$D$9, IF(E34=$D$6*$D$9, $D$6, IF(AND((SUM(F$21:F33)-F$18)&lt;0,E34=""),$D$6*$D$7,"")))))</f>
        <v/>
      </c>
      <c r="G34" s="228" t="str">
        <f>IF(F34=$D$6,$D$6,IF(F34=$D$6*$D$7,$D$6*$D$8, IF(F34=$D$6*$D$8,$D$6*$D$9, IF(F34=$D$6*$D$9, $D$6, IF(AND((SUM(G$21:G33)-G$18)&lt;0,F34=""),$D$6*$D$7,"")))))</f>
        <v/>
      </c>
      <c r="H34" s="228" t="str">
        <f>IF(G34=$D$6,$D$6,IF(G34=$D$6*$D$7,$D$6*$D$8, IF(G34=$D$6*$D$8,$D$6*$D$9, IF(G34=$D$6*$D$9, $D$6, IF(AND((SUM(H$21:H33)-H$18)&lt;0,G34=""),$D$6*$D$7,"")))))</f>
        <v/>
      </c>
      <c r="I34" s="228" t="str">
        <f>IF(H34=$D$6,$D$6,IF(H34=$D$6*$D$7,$D$6*$D$8, IF(H34=$D$6*$D$8,$D$6*$D$9, IF(H34=$D$6*$D$9, $D$6, IF(AND((SUM(I$21:I33)-I$18)&lt;0,H34=""),$D$6*$D$7,"")))))</f>
        <v/>
      </c>
      <c r="J34" s="228" t="str">
        <f>IF(I34=$D$6,$D$6,IF(I34=$D$6*$D$7,$D$6*$D$8, IF(I34=$D$6*$D$8,$D$6*$D$9, IF(I34=$D$6*$D$9, $D$6, IF(AND((SUM(J$21:J33)-J$18)&lt;0,I34=""),$D$6*$D$7,"")))))</f>
        <v/>
      </c>
      <c r="K34" s="228" t="str">
        <f>IF(J34=$D$6,$D$6,IF(J34=$D$6*$D$7,$D$6*$D$8, IF(J34=$D$6*$D$8,$D$6*$D$9, IF(J34=$D$6*$D$9, $D$6, IF(AND((SUM(K$21:K33)-K$18)&lt;0,J34=""),$D$6*$D$7,"")))))</f>
        <v/>
      </c>
      <c r="L34" s="228" t="str">
        <f>IF(K34=$D$6,$D$6,IF(K34=$D$6*$D$7,$D$6*$D$8, IF(K34=$D$6*$D$8,$D$6*$D$9, IF(K34=$D$6*$D$9, $D$6, IF(AND((SUM(L$21:L33)-L$18)&lt;0,K34=""),$D$6*$D$7,"")))))</f>
        <v/>
      </c>
      <c r="M34" s="228" t="str">
        <f>IF(L34=$D$6,$D$6,IF(L34=$D$6*$D$7,$D$6*$D$8, IF(L34=$D$6*$D$8,$D$6*$D$9, IF(L34=$D$6*$D$9, $D$6, IF(AND((SUM(M$21:M33)-M$18)&lt;0,L34=""),$D$6*$D$7,"")))))</f>
        <v/>
      </c>
      <c r="N34" s="228" t="str">
        <f>IF(M34=$D$6,$D$6,IF(M34=$D$6*$D$7,$D$6*$D$8, IF(M34=$D$6*$D$8,$D$6*$D$9, IF(M34=$D$6*$D$9, $D$6, IF(AND((SUM(N$21:N33)-N$18)&lt;0,M34=""),$D$6*$D$7,"")))))</f>
        <v/>
      </c>
      <c r="O34" s="228" t="str">
        <f>IF(N34=$D$6,$D$6,IF(N34=$D$6*$D$7,$D$6*$D$8, IF(N34=$D$6*$D$8,$D$6*$D$9, IF(N34=$D$6*$D$9, $D$6, IF(AND((SUM(O$21:O33)-O$18)&lt;0,N34=""),$D$6*$D$7,"")))))</f>
        <v/>
      </c>
      <c r="P34" s="229" t="str">
        <f>IF(O34=$D$6,$D$6,IF(O34=$D$6*$D$7,$D$6*$D$8, IF(O34=$D$6*$D$8,$D$6*$D$9, IF(O34=$D$6*$D$9, $D$6, IF(AND((SUM(P$21:P33)-P$18)&lt;0,O34=""),$D$6*$D$7,"")))))</f>
        <v/>
      </c>
      <c r="Q34" s="227" t="str">
        <f>IF(P34=$D$6,$D$6,IF(P34=$D$6*$D$7,$D$6*$D$8, IF(P34=$D$6*$D$8,$D$6*$D$9, IF(P34=$D$6*$D$9, $D$6, IF(AND((SUM(Q$21:Q33)-Q$18)&lt;0,P34=""),$D$6*$D$7,"")))))</f>
        <v/>
      </c>
      <c r="R34" s="228" t="str">
        <f>IF(Q34=$D$6,$D$6,IF(Q34=$D$6*$D$7,$D$6*$D$8, IF(Q34=$D$6*$D$8,$D$6*$D$9, IF(Q34=$D$6*$D$9, $D$6, IF(AND((SUM(R$21:R33)-R$18)&lt;0,Q34=""),$D$6*$D$7,"")))))</f>
        <v/>
      </c>
      <c r="S34" s="228" t="str">
        <f>IF(R34=$D$6,$D$6,IF(R34=$D$6*$D$7,$D$6*$D$8, IF(R34=$D$6*$D$8,$D$6*$D$9, IF(R34=$D$6*$D$9, $D$6, IF(AND((SUM(S$21:S33)-S$18)&lt;0,R34=""),$D$6*$D$7,"")))))</f>
        <v/>
      </c>
      <c r="T34" s="228" t="str">
        <f>IF(S34=$D$6,$D$6,IF(S34=$D$6*$D$7,$D$6*$D$8, IF(S34=$D$6*$D$8,$D$6*$D$9, IF(S34=$D$6*$D$9, $D$6, IF(AND((SUM(T$21:T33)-T$18)&lt;0,S34=""),$D$6*$D$7,"")))))</f>
        <v/>
      </c>
      <c r="U34" s="228" t="str">
        <f>IF(T34=$D$6,$D$6,IF(T34=$D$6*$D$7,$D$6*$D$8, IF(T34=$D$6*$D$8,$D$6*$D$9, IF(T34=$D$6*$D$9, $D$6, IF(AND((SUM(U$21:U33)-U$18)&lt;0,T34=""),$D$6*$D$7,"")))))</f>
        <v/>
      </c>
      <c r="V34" s="228" t="str">
        <f>IF(U34=$D$6,$D$6,IF(U34=$D$6*$D$7,$D$6*$D$8, IF(U34=$D$6*$D$8,$D$6*$D$9, IF(U34=$D$6*$D$9, $D$6, IF(AND((SUM(V$21:V33)-V$18)&lt;0,U34=""),$D$6*$D$7,"")))))</f>
        <v/>
      </c>
      <c r="W34" s="228" t="str">
        <f>IF(V34=$D$6,$D$6,IF(V34=$D$6*$D$7,$D$6*$D$8, IF(V34=$D$6*$D$8,$D$6*$D$9, IF(V34=$D$6*$D$9, $D$6, IF(AND((SUM(W$21:W33)-W$18)&lt;0,V34=""),$D$6*$D$7,"")))))</f>
        <v/>
      </c>
      <c r="X34" s="228">
        <f>IF(W34=$D$6,$D$6,IF(W34=$D$6*$D$7,$D$6*$D$8, IF(W34=$D$6*$D$8,$D$6*$D$9, IF(W34=$D$6*$D$9, $D$6, IF(AND((SUM(X$21:X33)-X$18)&lt;0,W34=""),$D$6*$D$7,"")))))</f>
        <v>10000</v>
      </c>
      <c r="Y34" s="228">
        <f>IF(X34=$D$6,$D$6,IF(X34=$D$6*$D$7,$D$6*$D$8, IF(X34=$D$6*$D$8,$D$6*$D$9, IF(X34=$D$6*$D$9, $D$6, IF(AND((SUM(Y$21:Y33)-Y$18)&lt;0,X34=""),$D$6*$D$7,"")))))</f>
        <v>20000</v>
      </c>
      <c r="Z34" s="228">
        <f>IF(Y34=$D$6,$D$6,IF(Y34=$D$6*$D$7,$D$6*$D$8, IF(Y34=$D$6*$D$8,$D$6*$D$9, IF(Y34=$D$6*$D$9, $D$6, IF(AND((SUM(Z$21:Z33)-Z$18)&lt;0,Y34=""),$D$6*$D$7,"")))))</f>
        <v>30000</v>
      </c>
      <c r="AA34" s="228">
        <f>IF(Z34=$D$6,$D$6,IF(Z34=$D$6*$D$7,$D$6*$D$8, IF(Z34=$D$6*$D$8,$D$6*$D$9, IF(Z34=$D$6*$D$9, $D$6, IF(AND((SUM(AA$21:AA33)-AA$18)&lt;0,Z34=""),$D$6*$D$7,"")))))</f>
        <v>40000</v>
      </c>
      <c r="AB34" s="229">
        <f>IF(AA34=$D$6,$D$6,IF(AA34=$D$6*$D$7,$D$6*$D$8, IF(AA34=$D$6*$D$8,$D$6*$D$9, IF(AA34=$D$6*$D$9, $D$6, IF(AND((SUM(AB$21:AB33)-AB$18)&lt;0,AA34=""),$D$6*$D$7,"")))))</f>
        <v>40000</v>
      </c>
      <c r="AC34" s="146"/>
    </row>
    <row r="35" spans="1:29">
      <c r="A35" s="145"/>
      <c r="B35" s="170"/>
      <c r="C35" s="143" t="s">
        <v>93</v>
      </c>
      <c r="D35" s="183">
        <f>IF($D$18&gt;SUM(D$21:D34),$D$6,0)</f>
        <v>0</v>
      </c>
      <c r="E35" s="227" t="str">
        <f>IF(D35=$D$6,$D$6,IF(D35=$D$6*$D$7,$D$6*$D$8, IF(D35=$D$6*$D$8,$D$6*$D$9, IF(D35=$D$6*$D$9, $D$6, IF(AND((SUM(E$21:E34)-E$18)&lt;0,D35=""),$D$6*$D$7,"")))))</f>
        <v/>
      </c>
      <c r="F35" s="228" t="str">
        <f>IF(E35=$D$6,$D$6,IF(E35=$D$6*$D$7,$D$6*$D$8, IF(E35=$D$6*$D$8,$D$6*$D$9, IF(E35=$D$6*$D$9, $D$6, IF(AND((SUM(F$21:F34)-F$18)&lt;0,E35=""),$D$6*$D$7,"")))))</f>
        <v/>
      </c>
      <c r="G35" s="228" t="str">
        <f>IF(F35=$D$6,$D$6,IF(F35=$D$6*$D$7,$D$6*$D$8, IF(F35=$D$6*$D$8,$D$6*$D$9, IF(F35=$D$6*$D$9, $D$6, IF(AND((SUM(G$21:G34)-G$18)&lt;0,F35=""),$D$6*$D$7,"")))))</f>
        <v/>
      </c>
      <c r="H35" s="228" t="str">
        <f>IF(G35=$D$6,$D$6,IF(G35=$D$6*$D$7,$D$6*$D$8, IF(G35=$D$6*$D$8,$D$6*$D$9, IF(G35=$D$6*$D$9, $D$6, IF(AND((SUM(H$21:H34)-H$18)&lt;0,G35=""),$D$6*$D$7,"")))))</f>
        <v/>
      </c>
      <c r="I35" s="228" t="str">
        <f>IF(H35=$D$6,$D$6,IF(H35=$D$6*$D$7,$D$6*$D$8, IF(H35=$D$6*$D$8,$D$6*$D$9, IF(H35=$D$6*$D$9, $D$6, IF(AND((SUM(I$21:I34)-I$18)&lt;0,H35=""),$D$6*$D$7,"")))))</f>
        <v/>
      </c>
      <c r="J35" s="228" t="str">
        <f>IF(I35=$D$6,$D$6,IF(I35=$D$6*$D$7,$D$6*$D$8, IF(I35=$D$6*$D$8,$D$6*$D$9, IF(I35=$D$6*$D$9, $D$6, IF(AND((SUM(J$21:J34)-J$18)&lt;0,I35=""),$D$6*$D$7,"")))))</f>
        <v/>
      </c>
      <c r="K35" s="228" t="str">
        <f>IF(J35=$D$6,$D$6,IF(J35=$D$6*$D$7,$D$6*$D$8, IF(J35=$D$6*$D$8,$D$6*$D$9, IF(J35=$D$6*$D$9, $D$6, IF(AND((SUM(K$21:K34)-K$18)&lt;0,J35=""),$D$6*$D$7,"")))))</f>
        <v/>
      </c>
      <c r="L35" s="228" t="str">
        <f>IF(K35=$D$6,$D$6,IF(K35=$D$6*$D$7,$D$6*$D$8, IF(K35=$D$6*$D$8,$D$6*$D$9, IF(K35=$D$6*$D$9, $D$6, IF(AND((SUM(L$21:L34)-L$18)&lt;0,K35=""),$D$6*$D$7,"")))))</f>
        <v/>
      </c>
      <c r="M35" s="228" t="str">
        <f>IF(L35=$D$6,$D$6,IF(L35=$D$6*$D$7,$D$6*$D$8, IF(L35=$D$6*$D$8,$D$6*$D$9, IF(L35=$D$6*$D$9, $D$6, IF(AND((SUM(M$21:M34)-M$18)&lt;0,L35=""),$D$6*$D$7,"")))))</f>
        <v/>
      </c>
      <c r="N35" s="228" t="str">
        <f>IF(M35=$D$6,$D$6,IF(M35=$D$6*$D$7,$D$6*$D$8, IF(M35=$D$6*$D$8,$D$6*$D$9, IF(M35=$D$6*$D$9, $D$6, IF(AND((SUM(N$21:N34)-N$18)&lt;0,M35=""),$D$6*$D$7,"")))))</f>
        <v/>
      </c>
      <c r="O35" s="228" t="str">
        <f>IF(N35=$D$6,$D$6,IF(N35=$D$6*$D$7,$D$6*$D$8, IF(N35=$D$6*$D$8,$D$6*$D$9, IF(N35=$D$6*$D$9, $D$6, IF(AND((SUM(O$21:O34)-O$18)&lt;0,N35=""),$D$6*$D$7,"")))))</f>
        <v/>
      </c>
      <c r="P35" s="229" t="str">
        <f>IF(O35=$D$6,$D$6,IF(O35=$D$6*$D$7,$D$6*$D$8, IF(O35=$D$6*$D$8,$D$6*$D$9, IF(O35=$D$6*$D$9, $D$6, IF(AND((SUM(P$21:P34)-P$18)&lt;0,O35=""),$D$6*$D$7,"")))))</f>
        <v/>
      </c>
      <c r="Q35" s="227" t="str">
        <f>IF(P35=$D$6,$D$6,IF(P35=$D$6*$D$7,$D$6*$D$8, IF(P35=$D$6*$D$8,$D$6*$D$9, IF(P35=$D$6*$D$9, $D$6, IF(AND((SUM(Q$21:Q34)-Q$18)&lt;0,P35=""),$D$6*$D$7,"")))))</f>
        <v/>
      </c>
      <c r="R35" s="228" t="str">
        <f>IF(Q35=$D$6,$D$6,IF(Q35=$D$6*$D$7,$D$6*$D$8, IF(Q35=$D$6*$D$8,$D$6*$D$9, IF(Q35=$D$6*$D$9, $D$6, IF(AND((SUM(R$21:R34)-R$18)&lt;0,Q35=""),$D$6*$D$7,"")))))</f>
        <v/>
      </c>
      <c r="S35" s="228" t="str">
        <f>IF(R35=$D$6,$D$6,IF(R35=$D$6*$D$7,$D$6*$D$8, IF(R35=$D$6*$D$8,$D$6*$D$9, IF(R35=$D$6*$D$9, $D$6, IF(AND((SUM(S$21:S34)-S$18)&lt;0,R35=""),$D$6*$D$7,"")))))</f>
        <v/>
      </c>
      <c r="T35" s="228" t="str">
        <f>IF(S35=$D$6,$D$6,IF(S35=$D$6*$D$7,$D$6*$D$8, IF(S35=$D$6*$D$8,$D$6*$D$9, IF(S35=$D$6*$D$9, $D$6, IF(AND((SUM(T$21:T34)-T$18)&lt;0,S35=""),$D$6*$D$7,"")))))</f>
        <v/>
      </c>
      <c r="U35" s="228" t="str">
        <f>IF(T35=$D$6,$D$6,IF(T35=$D$6*$D$7,$D$6*$D$8, IF(T35=$D$6*$D$8,$D$6*$D$9, IF(T35=$D$6*$D$9, $D$6, IF(AND((SUM(U$21:U34)-U$18)&lt;0,T35=""),$D$6*$D$7,"")))))</f>
        <v/>
      </c>
      <c r="V35" s="228" t="str">
        <f>IF(U35=$D$6,$D$6,IF(U35=$D$6*$D$7,$D$6*$D$8, IF(U35=$D$6*$D$8,$D$6*$D$9, IF(U35=$D$6*$D$9, $D$6, IF(AND((SUM(V$21:V34)-V$18)&lt;0,U35=""),$D$6*$D$7,"")))))</f>
        <v/>
      </c>
      <c r="W35" s="228" t="str">
        <f>IF(V35=$D$6,$D$6,IF(V35=$D$6*$D$7,$D$6*$D$8, IF(V35=$D$6*$D$8,$D$6*$D$9, IF(V35=$D$6*$D$9, $D$6, IF(AND((SUM(W$21:W34)-W$18)&lt;0,V35=""),$D$6*$D$7,"")))))</f>
        <v/>
      </c>
      <c r="X35" s="228">
        <f>IF(W35=$D$6,$D$6,IF(W35=$D$6*$D$7,$D$6*$D$8, IF(W35=$D$6*$D$8,$D$6*$D$9, IF(W35=$D$6*$D$9, $D$6, IF(AND((SUM(X$21:X34)-X$18)&lt;0,W35=""),$D$6*$D$7,"")))))</f>
        <v>10000</v>
      </c>
      <c r="Y35" s="228">
        <f>IF(X35=$D$6,$D$6,IF(X35=$D$6*$D$7,$D$6*$D$8, IF(X35=$D$6*$D$8,$D$6*$D$9, IF(X35=$D$6*$D$9, $D$6, IF(AND((SUM(Y$21:Y34)-Y$18)&lt;0,X35=""),$D$6*$D$7,"")))))</f>
        <v>20000</v>
      </c>
      <c r="Z35" s="228">
        <f>IF(Y35=$D$6,$D$6,IF(Y35=$D$6*$D$7,$D$6*$D$8, IF(Y35=$D$6*$D$8,$D$6*$D$9, IF(Y35=$D$6*$D$9, $D$6, IF(AND((SUM(Z$21:Z34)-Z$18)&lt;0,Y35=""),$D$6*$D$7,"")))))</f>
        <v>30000</v>
      </c>
      <c r="AA35" s="228">
        <f>IF(Z35=$D$6,$D$6,IF(Z35=$D$6*$D$7,$D$6*$D$8, IF(Z35=$D$6*$D$8,$D$6*$D$9, IF(Z35=$D$6*$D$9, $D$6, IF(AND((SUM(AA$21:AA34)-AA$18)&lt;0,Z35=""),$D$6*$D$7,"")))))</f>
        <v>40000</v>
      </c>
      <c r="AB35" s="229">
        <f>IF(AA35=$D$6,$D$6,IF(AA35=$D$6*$D$7,$D$6*$D$8, IF(AA35=$D$6*$D$8,$D$6*$D$9, IF(AA35=$D$6*$D$9, $D$6, IF(AND((SUM(AB$21:AB34)-AB$18)&lt;0,AA35=""),$D$6*$D$7,"")))))</f>
        <v>40000</v>
      </c>
      <c r="AC35" s="146"/>
    </row>
    <row r="36" spans="1:29">
      <c r="A36" s="145"/>
      <c r="B36" s="170"/>
      <c r="C36" s="143" t="s">
        <v>94</v>
      </c>
      <c r="D36" s="183">
        <f>IF($D$18&gt;SUM(D$21:D35),$D$6,0)</f>
        <v>0</v>
      </c>
      <c r="E36" s="227" t="str">
        <f>IF(D36=$D$6,$D$6,IF(D36=$D$6*$D$7,$D$6*$D$8, IF(D36=$D$6*$D$8,$D$6*$D$9, IF(D36=$D$6*$D$9, $D$6, IF(AND((SUM(E$21:E35)-E$18)&lt;0,D36=""),$D$6*$D$7,"")))))</f>
        <v/>
      </c>
      <c r="F36" s="228" t="str">
        <f>IF(E36=$D$6,$D$6,IF(E36=$D$6*$D$7,$D$6*$D$8, IF(E36=$D$6*$D$8,$D$6*$D$9, IF(E36=$D$6*$D$9, $D$6, IF(AND((SUM(F$21:F35)-F$18)&lt;0,E36=""),$D$6*$D$7,"")))))</f>
        <v/>
      </c>
      <c r="G36" s="228" t="str">
        <f>IF(F36=$D$6,$D$6,IF(F36=$D$6*$D$7,$D$6*$D$8, IF(F36=$D$6*$D$8,$D$6*$D$9, IF(F36=$D$6*$D$9, $D$6, IF(AND((SUM(G$21:G35)-G$18)&lt;0,F36=""),$D$6*$D$7,"")))))</f>
        <v/>
      </c>
      <c r="H36" s="228" t="str">
        <f>IF(G36=$D$6,$D$6,IF(G36=$D$6*$D$7,$D$6*$D$8, IF(G36=$D$6*$D$8,$D$6*$D$9, IF(G36=$D$6*$D$9, $D$6, IF(AND((SUM(H$21:H35)-H$18)&lt;0,G36=""),$D$6*$D$7,"")))))</f>
        <v/>
      </c>
      <c r="I36" s="228" t="str">
        <f>IF(H36=$D$6,$D$6,IF(H36=$D$6*$D$7,$D$6*$D$8, IF(H36=$D$6*$D$8,$D$6*$D$9, IF(H36=$D$6*$D$9, $D$6, IF(AND((SUM(I$21:I35)-I$18)&lt;0,H36=""),$D$6*$D$7,"")))))</f>
        <v/>
      </c>
      <c r="J36" s="228" t="str">
        <f>IF(I36=$D$6,$D$6,IF(I36=$D$6*$D$7,$D$6*$D$8, IF(I36=$D$6*$D$8,$D$6*$D$9, IF(I36=$D$6*$D$9, $D$6, IF(AND((SUM(J$21:J35)-J$18)&lt;0,I36=""),$D$6*$D$7,"")))))</f>
        <v/>
      </c>
      <c r="K36" s="228" t="str">
        <f>IF(J36=$D$6,$D$6,IF(J36=$D$6*$D$7,$D$6*$D$8, IF(J36=$D$6*$D$8,$D$6*$D$9, IF(J36=$D$6*$D$9, $D$6, IF(AND((SUM(K$21:K35)-K$18)&lt;0,J36=""),$D$6*$D$7,"")))))</f>
        <v/>
      </c>
      <c r="L36" s="228" t="str">
        <f>IF(K36=$D$6,$D$6,IF(K36=$D$6*$D$7,$D$6*$D$8, IF(K36=$D$6*$D$8,$D$6*$D$9, IF(K36=$D$6*$D$9, $D$6, IF(AND((SUM(L$21:L35)-L$18)&lt;0,K36=""),$D$6*$D$7,"")))))</f>
        <v/>
      </c>
      <c r="M36" s="228" t="str">
        <f>IF(L36=$D$6,$D$6,IF(L36=$D$6*$D$7,$D$6*$D$8, IF(L36=$D$6*$D$8,$D$6*$D$9, IF(L36=$D$6*$D$9, $D$6, IF(AND((SUM(M$21:M35)-M$18)&lt;0,L36=""),$D$6*$D$7,"")))))</f>
        <v/>
      </c>
      <c r="N36" s="228" t="str">
        <f>IF(M36=$D$6,$D$6,IF(M36=$D$6*$D$7,$D$6*$D$8, IF(M36=$D$6*$D$8,$D$6*$D$9, IF(M36=$D$6*$D$9, $D$6, IF(AND((SUM(N$21:N35)-N$18)&lt;0,M36=""),$D$6*$D$7,"")))))</f>
        <v/>
      </c>
      <c r="O36" s="228" t="str">
        <f>IF(N36=$D$6,$D$6,IF(N36=$D$6*$D$7,$D$6*$D$8, IF(N36=$D$6*$D$8,$D$6*$D$9, IF(N36=$D$6*$D$9, $D$6, IF(AND((SUM(O$21:O35)-O$18)&lt;0,N36=""),$D$6*$D$7,"")))))</f>
        <v/>
      </c>
      <c r="P36" s="229" t="str">
        <f>IF(O36=$D$6,$D$6,IF(O36=$D$6*$D$7,$D$6*$D$8, IF(O36=$D$6*$D$8,$D$6*$D$9, IF(O36=$D$6*$D$9, $D$6, IF(AND((SUM(P$21:P35)-P$18)&lt;0,O36=""),$D$6*$D$7,"")))))</f>
        <v/>
      </c>
      <c r="Q36" s="227" t="str">
        <f>IF(P36=$D$6,$D$6,IF(P36=$D$6*$D$7,$D$6*$D$8, IF(P36=$D$6*$D$8,$D$6*$D$9, IF(P36=$D$6*$D$9, $D$6, IF(AND((SUM(Q$21:Q35)-Q$18)&lt;0,P36=""),$D$6*$D$7,"")))))</f>
        <v/>
      </c>
      <c r="R36" s="228" t="str">
        <f>IF(Q36=$D$6,$D$6,IF(Q36=$D$6*$D$7,$D$6*$D$8, IF(Q36=$D$6*$D$8,$D$6*$D$9, IF(Q36=$D$6*$D$9, $D$6, IF(AND((SUM(R$21:R35)-R$18)&lt;0,Q36=""),$D$6*$D$7,"")))))</f>
        <v/>
      </c>
      <c r="S36" s="228" t="str">
        <f>IF(R36=$D$6,$D$6,IF(R36=$D$6*$D$7,$D$6*$D$8, IF(R36=$D$6*$D$8,$D$6*$D$9, IF(R36=$D$6*$D$9, $D$6, IF(AND((SUM(S$21:S35)-S$18)&lt;0,R36=""),$D$6*$D$7,"")))))</f>
        <v/>
      </c>
      <c r="T36" s="228" t="str">
        <f>IF(S36=$D$6,$D$6,IF(S36=$D$6*$D$7,$D$6*$D$8, IF(S36=$D$6*$D$8,$D$6*$D$9, IF(S36=$D$6*$D$9, $D$6, IF(AND((SUM(T$21:T35)-T$18)&lt;0,S36=""),$D$6*$D$7,"")))))</f>
        <v/>
      </c>
      <c r="U36" s="228" t="str">
        <f>IF(T36=$D$6,$D$6,IF(T36=$D$6*$D$7,$D$6*$D$8, IF(T36=$D$6*$D$8,$D$6*$D$9, IF(T36=$D$6*$D$9, $D$6, IF(AND((SUM(U$21:U35)-U$18)&lt;0,T36=""),$D$6*$D$7,"")))))</f>
        <v/>
      </c>
      <c r="V36" s="228" t="str">
        <f>IF(U36=$D$6,$D$6,IF(U36=$D$6*$D$7,$D$6*$D$8, IF(U36=$D$6*$D$8,$D$6*$D$9, IF(U36=$D$6*$D$9, $D$6, IF(AND((SUM(V$21:V35)-V$18)&lt;0,U36=""),$D$6*$D$7,"")))))</f>
        <v/>
      </c>
      <c r="W36" s="228" t="str">
        <f>IF(V36=$D$6,$D$6,IF(V36=$D$6*$D$7,$D$6*$D$8, IF(V36=$D$6*$D$8,$D$6*$D$9, IF(V36=$D$6*$D$9, $D$6, IF(AND((SUM(W$21:W35)-W$18)&lt;0,V36=""),$D$6*$D$7,"")))))</f>
        <v/>
      </c>
      <c r="X36" s="228" t="str">
        <f>IF(W36=$D$6,$D$6,IF(W36=$D$6*$D$7,$D$6*$D$8, IF(W36=$D$6*$D$8,$D$6*$D$9, IF(W36=$D$6*$D$9, $D$6, IF(AND((SUM(X$21:X35)-X$18)&lt;0,W36=""),$D$6*$D$7,"")))))</f>
        <v/>
      </c>
      <c r="Y36" s="228">
        <f>IF(X36=$D$6,$D$6,IF(X36=$D$6*$D$7,$D$6*$D$8, IF(X36=$D$6*$D$8,$D$6*$D$9, IF(X36=$D$6*$D$9, $D$6, IF(AND((SUM(Y$21:Y35)-Y$18)&lt;0,X36=""),$D$6*$D$7,"")))))</f>
        <v>10000</v>
      </c>
      <c r="Z36" s="228">
        <f>IF(Y36=$D$6,$D$6,IF(Y36=$D$6*$D$7,$D$6*$D$8, IF(Y36=$D$6*$D$8,$D$6*$D$9, IF(Y36=$D$6*$D$9, $D$6, IF(AND((SUM(Z$21:Z35)-Z$18)&lt;0,Y36=""),$D$6*$D$7,"")))))</f>
        <v>20000</v>
      </c>
      <c r="AA36" s="228">
        <f>IF(Z36=$D$6,$D$6,IF(Z36=$D$6*$D$7,$D$6*$D$8, IF(Z36=$D$6*$D$8,$D$6*$D$9, IF(Z36=$D$6*$D$9, $D$6, IF(AND((SUM(AA$21:AA35)-AA$18)&lt;0,Z36=""),$D$6*$D$7,"")))))</f>
        <v>30000</v>
      </c>
      <c r="AB36" s="229">
        <f>IF(AA36=$D$6,$D$6,IF(AA36=$D$6*$D$7,$D$6*$D$8, IF(AA36=$D$6*$D$8,$D$6*$D$9, IF(AA36=$D$6*$D$9, $D$6, IF(AND((SUM(AB$21:AB35)-AB$18)&lt;0,AA36=""),$D$6*$D$7,"")))))</f>
        <v>40000</v>
      </c>
      <c r="AC36" s="146"/>
    </row>
    <row r="37" spans="1:29">
      <c r="A37" s="145"/>
      <c r="B37" s="170"/>
      <c r="C37" s="143" t="s">
        <v>95</v>
      </c>
      <c r="D37" s="183">
        <f>IF($D$18&gt;SUM(D$21:D36),$D$6,0)</f>
        <v>0</v>
      </c>
      <c r="E37" s="227" t="str">
        <f>IF(D37=$D$6,$D$6,IF(D37=$D$6*$D$7,$D$6*$D$8, IF(D37=$D$6*$D$8,$D$6*$D$9, IF(D37=$D$6*$D$9, $D$6, IF(AND((SUM(E$21:E36)-E$18)&lt;0,D37=""),$D$6*$D$7,"")))))</f>
        <v/>
      </c>
      <c r="F37" s="228" t="str">
        <f>IF(E37=$D$6,$D$6,IF(E37=$D$6*$D$7,$D$6*$D$8, IF(E37=$D$6*$D$8,$D$6*$D$9, IF(E37=$D$6*$D$9, $D$6, IF(AND((SUM(F$21:F36)-F$18)&lt;0,E37=""),$D$6*$D$7,"")))))</f>
        <v/>
      </c>
      <c r="G37" s="228" t="str">
        <f>IF(F37=$D$6,$D$6,IF(F37=$D$6*$D$7,$D$6*$D$8, IF(F37=$D$6*$D$8,$D$6*$D$9, IF(F37=$D$6*$D$9, $D$6, IF(AND((SUM(G$21:G36)-G$18)&lt;0,F37=""),$D$6*$D$7,"")))))</f>
        <v/>
      </c>
      <c r="H37" s="228" t="str">
        <f>IF(G37=$D$6,$D$6,IF(G37=$D$6*$D$7,$D$6*$D$8, IF(G37=$D$6*$D$8,$D$6*$D$9, IF(G37=$D$6*$D$9, $D$6, IF(AND((SUM(H$21:H36)-H$18)&lt;0,G37=""),$D$6*$D$7,"")))))</f>
        <v/>
      </c>
      <c r="I37" s="228" t="str">
        <f>IF(H37=$D$6,$D$6,IF(H37=$D$6*$D$7,$D$6*$D$8, IF(H37=$D$6*$D$8,$D$6*$D$9, IF(H37=$D$6*$D$9, $D$6, IF(AND((SUM(I$21:I36)-I$18)&lt;0,H37=""),$D$6*$D$7,"")))))</f>
        <v/>
      </c>
      <c r="J37" s="228" t="str">
        <f>IF(I37=$D$6,$D$6,IF(I37=$D$6*$D$7,$D$6*$D$8, IF(I37=$D$6*$D$8,$D$6*$D$9, IF(I37=$D$6*$D$9, $D$6, IF(AND((SUM(J$21:J36)-J$18)&lt;0,I37=""),$D$6*$D$7,"")))))</f>
        <v/>
      </c>
      <c r="K37" s="228" t="str">
        <f>IF(J37=$D$6,$D$6,IF(J37=$D$6*$D$7,$D$6*$D$8, IF(J37=$D$6*$D$8,$D$6*$D$9, IF(J37=$D$6*$D$9, $D$6, IF(AND((SUM(K$21:K36)-K$18)&lt;0,J37=""),$D$6*$D$7,"")))))</f>
        <v/>
      </c>
      <c r="L37" s="228" t="str">
        <f>IF(K37=$D$6,$D$6,IF(K37=$D$6*$D$7,$D$6*$D$8, IF(K37=$D$6*$D$8,$D$6*$D$9, IF(K37=$D$6*$D$9, $D$6, IF(AND((SUM(L$21:L36)-L$18)&lt;0,K37=""),$D$6*$D$7,"")))))</f>
        <v/>
      </c>
      <c r="M37" s="228" t="str">
        <f>IF(L37=$D$6,$D$6,IF(L37=$D$6*$D$7,$D$6*$D$8, IF(L37=$D$6*$D$8,$D$6*$D$9, IF(L37=$D$6*$D$9, $D$6, IF(AND((SUM(M$21:M36)-M$18)&lt;0,L37=""),$D$6*$D$7,"")))))</f>
        <v/>
      </c>
      <c r="N37" s="228" t="str">
        <f>IF(M37=$D$6,$D$6,IF(M37=$D$6*$D$7,$D$6*$D$8, IF(M37=$D$6*$D$8,$D$6*$D$9, IF(M37=$D$6*$D$9, $D$6, IF(AND((SUM(N$21:N36)-N$18)&lt;0,M37=""),$D$6*$D$7,"")))))</f>
        <v/>
      </c>
      <c r="O37" s="228" t="str">
        <f>IF(N37=$D$6,$D$6,IF(N37=$D$6*$D$7,$D$6*$D$8, IF(N37=$D$6*$D$8,$D$6*$D$9, IF(N37=$D$6*$D$9, $D$6, IF(AND((SUM(O$21:O36)-O$18)&lt;0,N37=""),$D$6*$D$7,"")))))</f>
        <v/>
      </c>
      <c r="P37" s="229" t="str">
        <f>IF(O37=$D$6,$D$6,IF(O37=$D$6*$D$7,$D$6*$D$8, IF(O37=$D$6*$D$8,$D$6*$D$9, IF(O37=$D$6*$D$9, $D$6, IF(AND((SUM(P$21:P36)-P$18)&lt;0,O37=""),$D$6*$D$7,"")))))</f>
        <v/>
      </c>
      <c r="Q37" s="227" t="str">
        <f>IF(P37=$D$6,$D$6,IF(P37=$D$6*$D$7,$D$6*$D$8, IF(P37=$D$6*$D$8,$D$6*$D$9, IF(P37=$D$6*$D$9, $D$6, IF(AND((SUM(Q$21:Q36)-Q$18)&lt;0,P37=""),$D$6*$D$7,"")))))</f>
        <v/>
      </c>
      <c r="R37" s="228" t="str">
        <f>IF(Q37=$D$6,$D$6,IF(Q37=$D$6*$D$7,$D$6*$D$8, IF(Q37=$D$6*$D$8,$D$6*$D$9, IF(Q37=$D$6*$D$9, $D$6, IF(AND((SUM(R$21:R36)-R$18)&lt;0,Q37=""),$D$6*$D$7,"")))))</f>
        <v/>
      </c>
      <c r="S37" s="228" t="str">
        <f>IF(R37=$D$6,$D$6,IF(R37=$D$6*$D$7,$D$6*$D$8, IF(R37=$D$6*$D$8,$D$6*$D$9, IF(R37=$D$6*$D$9, $D$6, IF(AND((SUM(S$21:S36)-S$18)&lt;0,R37=""),$D$6*$D$7,"")))))</f>
        <v/>
      </c>
      <c r="T37" s="228" t="str">
        <f>IF(S37=$D$6,$D$6,IF(S37=$D$6*$D$7,$D$6*$D$8, IF(S37=$D$6*$D$8,$D$6*$D$9, IF(S37=$D$6*$D$9, $D$6, IF(AND((SUM(T$21:T36)-T$18)&lt;0,S37=""),$D$6*$D$7,"")))))</f>
        <v/>
      </c>
      <c r="U37" s="228" t="str">
        <f>IF(T37=$D$6,$D$6,IF(T37=$D$6*$D$7,$D$6*$D$8, IF(T37=$D$6*$D$8,$D$6*$D$9, IF(T37=$D$6*$D$9, $D$6, IF(AND((SUM(U$21:U36)-U$18)&lt;0,T37=""),$D$6*$D$7,"")))))</f>
        <v/>
      </c>
      <c r="V37" s="228" t="str">
        <f>IF(U37=$D$6,$D$6,IF(U37=$D$6*$D$7,$D$6*$D$8, IF(U37=$D$6*$D$8,$D$6*$D$9, IF(U37=$D$6*$D$9, $D$6, IF(AND((SUM(V$21:V36)-V$18)&lt;0,U37=""),$D$6*$D$7,"")))))</f>
        <v/>
      </c>
      <c r="W37" s="228" t="str">
        <f>IF(V37=$D$6,$D$6,IF(V37=$D$6*$D$7,$D$6*$D$8, IF(V37=$D$6*$D$8,$D$6*$D$9, IF(V37=$D$6*$D$9, $D$6, IF(AND((SUM(W$21:W36)-W$18)&lt;0,V37=""),$D$6*$D$7,"")))))</f>
        <v/>
      </c>
      <c r="X37" s="228" t="str">
        <f>IF(W37=$D$6,$D$6,IF(W37=$D$6*$D$7,$D$6*$D$8, IF(W37=$D$6*$D$8,$D$6*$D$9, IF(W37=$D$6*$D$9, $D$6, IF(AND((SUM(X$21:X36)-X$18)&lt;0,W37=""),$D$6*$D$7,"")))))</f>
        <v/>
      </c>
      <c r="Y37" s="228">
        <f>IF(X37=$D$6,$D$6,IF(X37=$D$6*$D$7,$D$6*$D$8, IF(X37=$D$6*$D$8,$D$6*$D$9, IF(X37=$D$6*$D$9, $D$6, IF(AND((SUM(Y$21:Y36)-Y$18)&lt;0,X37=""),$D$6*$D$7,"")))))</f>
        <v>10000</v>
      </c>
      <c r="Z37" s="228">
        <f>IF(Y37=$D$6,$D$6,IF(Y37=$D$6*$D$7,$D$6*$D$8, IF(Y37=$D$6*$D$8,$D$6*$D$9, IF(Y37=$D$6*$D$9, $D$6, IF(AND((SUM(Z$21:Z36)-Z$18)&lt;0,Y37=""),$D$6*$D$7,"")))))</f>
        <v>20000</v>
      </c>
      <c r="AA37" s="228">
        <f>IF(Z37=$D$6,$D$6,IF(Z37=$D$6*$D$7,$D$6*$D$8, IF(Z37=$D$6*$D$8,$D$6*$D$9, IF(Z37=$D$6*$D$9, $D$6, IF(AND((SUM(AA$21:AA36)-AA$18)&lt;0,Z37=""),$D$6*$D$7,"")))))</f>
        <v>30000</v>
      </c>
      <c r="AB37" s="229">
        <f>IF(AA37=$D$6,$D$6,IF(AA37=$D$6*$D$7,$D$6*$D$8, IF(AA37=$D$6*$D$8,$D$6*$D$9, IF(AA37=$D$6*$D$9, $D$6, IF(AND((SUM(AB$21:AB36)-AB$18)&lt;0,AA37=""),$D$6*$D$7,"")))))</f>
        <v>40000</v>
      </c>
      <c r="AC37" s="146"/>
    </row>
    <row r="38" spans="1:29">
      <c r="A38" s="145"/>
      <c r="B38" s="170"/>
      <c r="C38" s="143" t="s">
        <v>96</v>
      </c>
      <c r="D38" s="183">
        <f>IF($D$18&gt;SUM(D$21:D37),$D$6,0)</f>
        <v>0</v>
      </c>
      <c r="E38" s="227" t="str">
        <f>IF(D38=$D$6,$D$6,IF(D38=$D$6*$D$7,$D$6*$D$8, IF(D38=$D$6*$D$8,$D$6*$D$9, IF(D38=$D$6*$D$9, $D$6, IF(AND((SUM(E$21:E37)-E$18)&lt;0,D38=""),$D$6*$D$7,"")))))</f>
        <v/>
      </c>
      <c r="F38" s="228" t="str">
        <f>IF(E38=$D$6,$D$6,IF(E38=$D$6*$D$7,$D$6*$D$8, IF(E38=$D$6*$D$8,$D$6*$D$9, IF(E38=$D$6*$D$9, $D$6, IF(AND((SUM(F$21:F37)-F$18)&lt;0,E38=""),$D$6*$D$7,"")))))</f>
        <v/>
      </c>
      <c r="G38" s="228" t="str">
        <f>IF(F38=$D$6,$D$6,IF(F38=$D$6*$D$7,$D$6*$D$8, IF(F38=$D$6*$D$8,$D$6*$D$9, IF(F38=$D$6*$D$9, $D$6, IF(AND((SUM(G$21:G37)-G$18)&lt;0,F38=""),$D$6*$D$7,"")))))</f>
        <v/>
      </c>
      <c r="H38" s="228" t="str">
        <f>IF(G38=$D$6,$D$6,IF(G38=$D$6*$D$7,$D$6*$D$8, IF(G38=$D$6*$D$8,$D$6*$D$9, IF(G38=$D$6*$D$9, $D$6, IF(AND((SUM(H$21:H37)-H$18)&lt;0,G38=""),$D$6*$D$7,"")))))</f>
        <v/>
      </c>
      <c r="I38" s="228" t="str">
        <f>IF(H38=$D$6,$D$6,IF(H38=$D$6*$D$7,$D$6*$D$8, IF(H38=$D$6*$D$8,$D$6*$D$9, IF(H38=$D$6*$D$9, $D$6, IF(AND((SUM(I$21:I37)-I$18)&lt;0,H38=""),$D$6*$D$7,"")))))</f>
        <v/>
      </c>
      <c r="J38" s="228" t="str">
        <f>IF(I38=$D$6,$D$6,IF(I38=$D$6*$D$7,$D$6*$D$8, IF(I38=$D$6*$D$8,$D$6*$D$9, IF(I38=$D$6*$D$9, $D$6, IF(AND((SUM(J$21:J37)-J$18)&lt;0,I38=""),$D$6*$D$7,"")))))</f>
        <v/>
      </c>
      <c r="K38" s="228" t="str">
        <f>IF(J38=$D$6,$D$6,IF(J38=$D$6*$D$7,$D$6*$D$8, IF(J38=$D$6*$D$8,$D$6*$D$9, IF(J38=$D$6*$D$9, $D$6, IF(AND((SUM(K$21:K37)-K$18)&lt;0,J38=""),$D$6*$D$7,"")))))</f>
        <v/>
      </c>
      <c r="L38" s="228" t="str">
        <f>IF(K38=$D$6,$D$6,IF(K38=$D$6*$D$7,$D$6*$D$8, IF(K38=$D$6*$D$8,$D$6*$D$9, IF(K38=$D$6*$D$9, $D$6, IF(AND((SUM(L$21:L37)-L$18)&lt;0,K38=""),$D$6*$D$7,"")))))</f>
        <v/>
      </c>
      <c r="M38" s="228" t="str">
        <f>IF(L38=$D$6,$D$6,IF(L38=$D$6*$D$7,$D$6*$D$8, IF(L38=$D$6*$D$8,$D$6*$D$9, IF(L38=$D$6*$D$9, $D$6, IF(AND((SUM(M$21:M37)-M$18)&lt;0,L38=""),$D$6*$D$7,"")))))</f>
        <v/>
      </c>
      <c r="N38" s="228" t="str">
        <f>IF(M38=$D$6,$D$6,IF(M38=$D$6*$D$7,$D$6*$D$8, IF(M38=$D$6*$D$8,$D$6*$D$9, IF(M38=$D$6*$D$9, $D$6, IF(AND((SUM(N$21:N37)-N$18)&lt;0,M38=""),$D$6*$D$7,"")))))</f>
        <v/>
      </c>
      <c r="O38" s="228" t="str">
        <f>IF(N38=$D$6,$D$6,IF(N38=$D$6*$D$7,$D$6*$D$8, IF(N38=$D$6*$D$8,$D$6*$D$9, IF(N38=$D$6*$D$9, $D$6, IF(AND((SUM(O$21:O37)-O$18)&lt;0,N38=""),$D$6*$D$7,"")))))</f>
        <v/>
      </c>
      <c r="P38" s="229" t="str">
        <f>IF(O38=$D$6,$D$6,IF(O38=$D$6*$D$7,$D$6*$D$8, IF(O38=$D$6*$D$8,$D$6*$D$9, IF(O38=$D$6*$D$9, $D$6, IF(AND((SUM(P$21:P37)-P$18)&lt;0,O38=""),$D$6*$D$7,"")))))</f>
        <v/>
      </c>
      <c r="Q38" s="227" t="str">
        <f>IF(P38=$D$6,$D$6,IF(P38=$D$6*$D$7,$D$6*$D$8, IF(P38=$D$6*$D$8,$D$6*$D$9, IF(P38=$D$6*$D$9, $D$6, IF(AND((SUM(Q$21:Q37)-Q$18)&lt;0,P38=""),$D$6*$D$7,"")))))</f>
        <v/>
      </c>
      <c r="R38" s="228" t="str">
        <f>IF(Q38=$D$6,$D$6,IF(Q38=$D$6*$D$7,$D$6*$D$8, IF(Q38=$D$6*$D$8,$D$6*$D$9, IF(Q38=$D$6*$D$9, $D$6, IF(AND((SUM(R$21:R37)-R$18)&lt;0,Q38=""),$D$6*$D$7,"")))))</f>
        <v/>
      </c>
      <c r="S38" s="228" t="str">
        <f>IF(R38=$D$6,$D$6,IF(R38=$D$6*$D$7,$D$6*$D$8, IF(R38=$D$6*$D$8,$D$6*$D$9, IF(R38=$D$6*$D$9, $D$6, IF(AND((SUM(S$21:S37)-S$18)&lt;0,R38=""),$D$6*$D$7,"")))))</f>
        <v/>
      </c>
      <c r="T38" s="228" t="str">
        <f>IF(S38=$D$6,$D$6,IF(S38=$D$6*$D$7,$D$6*$D$8, IF(S38=$D$6*$D$8,$D$6*$D$9, IF(S38=$D$6*$D$9, $D$6, IF(AND((SUM(T$21:T37)-T$18)&lt;0,S38=""),$D$6*$D$7,"")))))</f>
        <v/>
      </c>
      <c r="U38" s="228" t="str">
        <f>IF(T38=$D$6,$D$6,IF(T38=$D$6*$D$7,$D$6*$D$8, IF(T38=$D$6*$D$8,$D$6*$D$9, IF(T38=$D$6*$D$9, $D$6, IF(AND((SUM(U$21:U37)-U$18)&lt;0,T38=""),$D$6*$D$7,"")))))</f>
        <v/>
      </c>
      <c r="V38" s="228" t="str">
        <f>IF(U38=$D$6,$D$6,IF(U38=$D$6*$D$7,$D$6*$D$8, IF(U38=$D$6*$D$8,$D$6*$D$9, IF(U38=$D$6*$D$9, $D$6, IF(AND((SUM(V$21:V37)-V$18)&lt;0,U38=""),$D$6*$D$7,"")))))</f>
        <v/>
      </c>
      <c r="W38" s="228" t="str">
        <f>IF(V38=$D$6,$D$6,IF(V38=$D$6*$D$7,$D$6*$D$8, IF(V38=$D$6*$D$8,$D$6*$D$9, IF(V38=$D$6*$D$9, $D$6, IF(AND((SUM(W$21:W37)-W$18)&lt;0,V38=""),$D$6*$D$7,"")))))</f>
        <v/>
      </c>
      <c r="X38" s="228" t="str">
        <f>IF(W38=$D$6,$D$6,IF(W38=$D$6*$D$7,$D$6*$D$8, IF(W38=$D$6*$D$8,$D$6*$D$9, IF(W38=$D$6*$D$9, $D$6, IF(AND((SUM(X$21:X37)-X$18)&lt;0,W38=""),$D$6*$D$7,"")))))</f>
        <v/>
      </c>
      <c r="Y38" s="228" t="str">
        <f>IF(X38=$D$6,$D$6,IF(X38=$D$6*$D$7,$D$6*$D$8, IF(X38=$D$6*$D$8,$D$6*$D$9, IF(X38=$D$6*$D$9, $D$6, IF(AND((SUM(Y$21:Y37)-Y$18)&lt;0,X38=""),$D$6*$D$7,"")))))</f>
        <v/>
      </c>
      <c r="Z38" s="228" t="str">
        <f>IF(Y38=$D$6,$D$6,IF(Y38=$D$6*$D$7,$D$6*$D$8, IF(Y38=$D$6*$D$8,$D$6*$D$9, IF(Y38=$D$6*$D$9, $D$6, IF(AND((SUM(Z$21:Z37)-Z$18)&lt;0,Y38=""),$D$6*$D$7,"")))))</f>
        <v/>
      </c>
      <c r="AA38" s="228" t="str">
        <f>IF(Z38=$D$6,$D$6,IF(Z38=$D$6*$D$7,$D$6*$D$8, IF(Z38=$D$6*$D$8,$D$6*$D$9, IF(Z38=$D$6*$D$9, $D$6, IF(AND((SUM(AA$21:AA37)-AA$18)&lt;0,Z38=""),$D$6*$D$7,"")))))</f>
        <v/>
      </c>
      <c r="AB38" s="229" t="str">
        <f>IF(AA38=$D$6,$D$6,IF(AA38=$D$6*$D$7,$D$6*$D$8, IF(AA38=$D$6*$D$8,$D$6*$D$9, IF(AA38=$D$6*$D$9, $D$6, IF(AND((SUM(AB$21:AB37)-AB$18)&lt;0,AA38=""),$D$6*$D$7,"")))))</f>
        <v/>
      </c>
      <c r="AC38" s="146"/>
    </row>
    <row r="39" spans="1:29">
      <c r="A39" s="145"/>
      <c r="B39" s="170"/>
      <c r="C39" s="143" t="s">
        <v>97</v>
      </c>
      <c r="D39" s="183">
        <f>IF($D$18&gt;SUM(D$21:D38),$D$6,0)</f>
        <v>0</v>
      </c>
      <c r="E39" s="227" t="str">
        <f>IF(D39=$D$6,$D$6,IF(D39=$D$6*$D$7,$D$6*$D$8, IF(D39=$D$6*$D$8,$D$6*$D$9, IF(D39=$D$6*$D$9, $D$6, IF(AND((SUM(E$21:E38)-E$18)&lt;0,D39=""),$D$6*$D$7,"")))))</f>
        <v/>
      </c>
      <c r="F39" s="228" t="str">
        <f>IF(E39=$D$6,$D$6,IF(E39=$D$6*$D$7,$D$6*$D$8, IF(E39=$D$6*$D$8,$D$6*$D$9, IF(E39=$D$6*$D$9, $D$6, IF(AND((SUM(F$21:F38)-F$18)&lt;0,E39=""),$D$6*$D$7,"")))))</f>
        <v/>
      </c>
      <c r="G39" s="228" t="str">
        <f>IF(F39=$D$6,$D$6,IF(F39=$D$6*$D$7,$D$6*$D$8, IF(F39=$D$6*$D$8,$D$6*$D$9, IF(F39=$D$6*$D$9, $D$6, IF(AND((SUM(G$21:G38)-G$18)&lt;0,F39=""),$D$6*$D$7,"")))))</f>
        <v/>
      </c>
      <c r="H39" s="228" t="str">
        <f>IF(G39=$D$6,$D$6,IF(G39=$D$6*$D$7,$D$6*$D$8, IF(G39=$D$6*$D$8,$D$6*$D$9, IF(G39=$D$6*$D$9, $D$6, IF(AND((SUM(H$21:H38)-H$18)&lt;0,G39=""),$D$6*$D$7,"")))))</f>
        <v/>
      </c>
      <c r="I39" s="228" t="str">
        <f>IF(H39=$D$6,$D$6,IF(H39=$D$6*$D$7,$D$6*$D$8, IF(H39=$D$6*$D$8,$D$6*$D$9, IF(H39=$D$6*$D$9, $D$6, IF(AND((SUM(I$21:I38)-I$18)&lt;0,H39=""),$D$6*$D$7,"")))))</f>
        <v/>
      </c>
      <c r="J39" s="228" t="str">
        <f>IF(I39=$D$6,$D$6,IF(I39=$D$6*$D$7,$D$6*$D$8, IF(I39=$D$6*$D$8,$D$6*$D$9, IF(I39=$D$6*$D$9, $D$6, IF(AND((SUM(J$21:J38)-J$18)&lt;0,I39=""),$D$6*$D$7,"")))))</f>
        <v/>
      </c>
      <c r="K39" s="228" t="str">
        <f>IF(J39=$D$6,$D$6,IF(J39=$D$6*$D$7,$D$6*$D$8, IF(J39=$D$6*$D$8,$D$6*$D$9, IF(J39=$D$6*$D$9, $D$6, IF(AND((SUM(K$21:K38)-K$18)&lt;0,J39=""),$D$6*$D$7,"")))))</f>
        <v/>
      </c>
      <c r="L39" s="228" t="str">
        <f>IF(K39=$D$6,$D$6,IF(K39=$D$6*$D$7,$D$6*$D$8, IF(K39=$D$6*$D$8,$D$6*$D$9, IF(K39=$D$6*$D$9, $D$6, IF(AND((SUM(L$21:L38)-L$18)&lt;0,K39=""),$D$6*$D$7,"")))))</f>
        <v/>
      </c>
      <c r="M39" s="228" t="str">
        <f>IF(L39=$D$6,$D$6,IF(L39=$D$6*$D$7,$D$6*$D$8, IF(L39=$D$6*$D$8,$D$6*$D$9, IF(L39=$D$6*$D$9, $D$6, IF(AND((SUM(M$21:M38)-M$18)&lt;0,L39=""),$D$6*$D$7,"")))))</f>
        <v/>
      </c>
      <c r="N39" s="228" t="str">
        <f>IF(M39=$D$6,$D$6,IF(M39=$D$6*$D$7,$D$6*$D$8, IF(M39=$D$6*$D$8,$D$6*$D$9, IF(M39=$D$6*$D$9, $D$6, IF(AND((SUM(N$21:N38)-N$18)&lt;0,M39=""),$D$6*$D$7,"")))))</f>
        <v/>
      </c>
      <c r="O39" s="228" t="str">
        <f>IF(N39=$D$6,$D$6,IF(N39=$D$6*$D$7,$D$6*$D$8, IF(N39=$D$6*$D$8,$D$6*$D$9, IF(N39=$D$6*$D$9, $D$6, IF(AND((SUM(O$21:O38)-O$18)&lt;0,N39=""),$D$6*$D$7,"")))))</f>
        <v/>
      </c>
      <c r="P39" s="229" t="str">
        <f>IF(O39=$D$6,$D$6,IF(O39=$D$6*$D$7,$D$6*$D$8, IF(O39=$D$6*$D$8,$D$6*$D$9, IF(O39=$D$6*$D$9, $D$6, IF(AND((SUM(P$21:P38)-P$18)&lt;0,O39=""),$D$6*$D$7,"")))))</f>
        <v/>
      </c>
      <c r="Q39" s="227" t="str">
        <f>IF(P39=$D$6,$D$6,IF(P39=$D$6*$D$7,$D$6*$D$8, IF(P39=$D$6*$D$8,$D$6*$D$9, IF(P39=$D$6*$D$9, $D$6, IF(AND((SUM(Q$21:Q38)-Q$18)&lt;0,P39=""),$D$6*$D$7,"")))))</f>
        <v/>
      </c>
      <c r="R39" s="228" t="str">
        <f>IF(Q39=$D$6,$D$6,IF(Q39=$D$6*$D$7,$D$6*$D$8, IF(Q39=$D$6*$D$8,$D$6*$D$9, IF(Q39=$D$6*$D$9, $D$6, IF(AND((SUM(R$21:R38)-R$18)&lt;0,Q39=""),$D$6*$D$7,"")))))</f>
        <v/>
      </c>
      <c r="S39" s="228" t="str">
        <f>IF(R39=$D$6,$D$6,IF(R39=$D$6*$D$7,$D$6*$D$8, IF(R39=$D$6*$D$8,$D$6*$D$9, IF(R39=$D$6*$D$9, $D$6, IF(AND((SUM(S$21:S38)-S$18)&lt;0,R39=""),$D$6*$D$7,"")))))</f>
        <v/>
      </c>
      <c r="T39" s="228" t="str">
        <f>IF(S39=$D$6,$D$6,IF(S39=$D$6*$D$7,$D$6*$D$8, IF(S39=$D$6*$D$8,$D$6*$D$9, IF(S39=$D$6*$D$9, $D$6, IF(AND((SUM(T$21:T38)-T$18)&lt;0,S39=""),$D$6*$D$7,"")))))</f>
        <v/>
      </c>
      <c r="U39" s="228" t="str">
        <f>IF(T39=$D$6,$D$6,IF(T39=$D$6*$D$7,$D$6*$D$8, IF(T39=$D$6*$D$8,$D$6*$D$9, IF(T39=$D$6*$D$9, $D$6, IF(AND((SUM(U$21:U38)-U$18)&lt;0,T39=""),$D$6*$D$7,"")))))</f>
        <v/>
      </c>
      <c r="V39" s="228" t="str">
        <f>IF(U39=$D$6,$D$6,IF(U39=$D$6*$D$7,$D$6*$D$8, IF(U39=$D$6*$D$8,$D$6*$D$9, IF(U39=$D$6*$D$9, $D$6, IF(AND((SUM(V$21:V38)-V$18)&lt;0,U39=""),$D$6*$D$7,"")))))</f>
        <v/>
      </c>
      <c r="W39" s="228" t="str">
        <f>IF(V39=$D$6,$D$6,IF(V39=$D$6*$D$7,$D$6*$D$8, IF(V39=$D$6*$D$8,$D$6*$D$9, IF(V39=$D$6*$D$9, $D$6, IF(AND((SUM(W$21:W38)-W$18)&lt;0,V39=""),$D$6*$D$7,"")))))</f>
        <v/>
      </c>
      <c r="X39" s="228" t="str">
        <f>IF(W39=$D$6,$D$6,IF(W39=$D$6*$D$7,$D$6*$D$8, IF(W39=$D$6*$D$8,$D$6*$D$9, IF(W39=$D$6*$D$9, $D$6, IF(AND((SUM(X$21:X38)-X$18)&lt;0,W39=""),$D$6*$D$7,"")))))</f>
        <v/>
      </c>
      <c r="Y39" s="228" t="str">
        <f>IF(X39=$D$6,$D$6,IF(X39=$D$6*$D$7,$D$6*$D$8, IF(X39=$D$6*$D$8,$D$6*$D$9, IF(X39=$D$6*$D$9, $D$6, IF(AND((SUM(Y$21:Y38)-Y$18)&lt;0,X39=""),$D$6*$D$7,"")))))</f>
        <v/>
      </c>
      <c r="Z39" s="228" t="str">
        <f>IF(Y39=$D$6,$D$6,IF(Y39=$D$6*$D$7,$D$6*$D$8, IF(Y39=$D$6*$D$8,$D$6*$D$9, IF(Y39=$D$6*$D$9, $D$6, IF(AND((SUM(Z$21:Z38)-Z$18)&lt;0,Y39=""),$D$6*$D$7,"")))))</f>
        <v/>
      </c>
      <c r="AA39" s="228" t="str">
        <f>IF(Z39=$D$6,$D$6,IF(Z39=$D$6*$D$7,$D$6*$D$8, IF(Z39=$D$6*$D$8,$D$6*$D$9, IF(Z39=$D$6*$D$9, $D$6, IF(AND((SUM(AA$21:AA38)-AA$18)&lt;0,Z39=""),$D$6*$D$7,"")))))</f>
        <v/>
      </c>
      <c r="AB39" s="229" t="str">
        <f>IF(AA39=$D$6,$D$6,IF(AA39=$D$6*$D$7,$D$6*$D$8, IF(AA39=$D$6*$D$8,$D$6*$D$9, IF(AA39=$D$6*$D$9, $D$6, IF(AND((SUM(AB$21:AB38)-AB$18)&lt;0,AA39=""),$D$6*$D$7,"")))))</f>
        <v/>
      </c>
      <c r="AC39" s="146"/>
    </row>
    <row r="40" spans="1:29">
      <c r="A40" s="145"/>
      <c r="B40" s="170"/>
      <c r="C40" s="143" t="s">
        <v>98</v>
      </c>
      <c r="D40" s="183">
        <f>IF($D$18&gt;SUM(D$21:D39),$D$6,0)</f>
        <v>0</v>
      </c>
      <c r="E40" s="227" t="str">
        <f>IF(D40=$D$6,$D$6,IF(D40=$D$6*$D$7,$D$6*$D$8, IF(D40=$D$6*$D$8,$D$6*$D$9, IF(D40=$D$6*$D$9, $D$6, IF(AND((SUM(E$21:E39)-E$18)&lt;0,D40=""),$D$6*$D$7,"")))))</f>
        <v/>
      </c>
      <c r="F40" s="228" t="str">
        <f>IF(E40=$D$6,$D$6,IF(E40=$D$6*$D$7,$D$6*$D$8, IF(E40=$D$6*$D$8,$D$6*$D$9, IF(E40=$D$6*$D$9, $D$6, IF(AND((SUM(F$21:F39)-F$18)&lt;0,E40=""),$D$6*$D$7,"")))))</f>
        <v/>
      </c>
      <c r="G40" s="228" t="str">
        <f>IF(F40=$D$6,$D$6,IF(F40=$D$6*$D$7,$D$6*$D$8, IF(F40=$D$6*$D$8,$D$6*$D$9, IF(F40=$D$6*$D$9, $D$6, IF(AND((SUM(G$21:G39)-G$18)&lt;0,F40=""),$D$6*$D$7,"")))))</f>
        <v/>
      </c>
      <c r="H40" s="228" t="str">
        <f>IF(G40=$D$6,$D$6,IF(G40=$D$6*$D$7,$D$6*$D$8, IF(G40=$D$6*$D$8,$D$6*$D$9, IF(G40=$D$6*$D$9, $D$6, IF(AND((SUM(H$21:H39)-H$18)&lt;0,G40=""),$D$6*$D$7,"")))))</f>
        <v/>
      </c>
      <c r="I40" s="228" t="str">
        <f>IF(H40=$D$6,$D$6,IF(H40=$D$6*$D$7,$D$6*$D$8, IF(H40=$D$6*$D$8,$D$6*$D$9, IF(H40=$D$6*$D$9, $D$6, IF(AND((SUM(I$21:I39)-I$18)&lt;0,H40=""),$D$6*$D$7,"")))))</f>
        <v/>
      </c>
      <c r="J40" s="228" t="str">
        <f>IF(I40=$D$6,$D$6,IF(I40=$D$6*$D$7,$D$6*$D$8, IF(I40=$D$6*$D$8,$D$6*$D$9, IF(I40=$D$6*$D$9, $D$6, IF(AND((SUM(J$21:J39)-J$18)&lt;0,I40=""),$D$6*$D$7,"")))))</f>
        <v/>
      </c>
      <c r="K40" s="228" t="str">
        <f>IF(J40=$D$6,$D$6,IF(J40=$D$6*$D$7,$D$6*$D$8, IF(J40=$D$6*$D$8,$D$6*$D$9, IF(J40=$D$6*$D$9, $D$6, IF(AND((SUM(K$21:K39)-K$18)&lt;0,J40=""),$D$6*$D$7,"")))))</f>
        <v/>
      </c>
      <c r="L40" s="228" t="str">
        <f>IF(K40=$D$6,$D$6,IF(K40=$D$6*$D$7,$D$6*$D$8, IF(K40=$D$6*$D$8,$D$6*$D$9, IF(K40=$D$6*$D$9, $D$6, IF(AND((SUM(L$21:L39)-L$18)&lt;0,K40=""),$D$6*$D$7,"")))))</f>
        <v/>
      </c>
      <c r="M40" s="228" t="str">
        <f>IF(L40=$D$6,$D$6,IF(L40=$D$6*$D$7,$D$6*$D$8, IF(L40=$D$6*$D$8,$D$6*$D$9, IF(L40=$D$6*$D$9, $D$6, IF(AND((SUM(M$21:M39)-M$18)&lt;0,L40=""),$D$6*$D$7,"")))))</f>
        <v/>
      </c>
      <c r="N40" s="228" t="str">
        <f>IF(M40=$D$6,$D$6,IF(M40=$D$6*$D$7,$D$6*$D$8, IF(M40=$D$6*$D$8,$D$6*$D$9, IF(M40=$D$6*$D$9, $D$6, IF(AND((SUM(N$21:N39)-N$18)&lt;0,M40=""),$D$6*$D$7,"")))))</f>
        <v/>
      </c>
      <c r="O40" s="228" t="str">
        <f>IF(N40=$D$6,$D$6,IF(N40=$D$6*$D$7,$D$6*$D$8, IF(N40=$D$6*$D$8,$D$6*$D$9, IF(N40=$D$6*$D$9, $D$6, IF(AND((SUM(O$21:O39)-O$18)&lt;0,N40=""),$D$6*$D$7,"")))))</f>
        <v/>
      </c>
      <c r="P40" s="229" t="str">
        <f>IF(O40=$D$6,$D$6,IF(O40=$D$6*$D$7,$D$6*$D$8, IF(O40=$D$6*$D$8,$D$6*$D$9, IF(O40=$D$6*$D$9, $D$6, IF(AND((SUM(P$21:P39)-P$18)&lt;0,O40=""),$D$6*$D$7,"")))))</f>
        <v/>
      </c>
      <c r="Q40" s="227" t="str">
        <f>IF(P40=$D$6,$D$6,IF(P40=$D$6*$D$7,$D$6*$D$8, IF(P40=$D$6*$D$8,$D$6*$D$9, IF(P40=$D$6*$D$9, $D$6, IF(AND((SUM(Q$21:Q39)-Q$18)&lt;0,P40=""),$D$6*$D$7,"")))))</f>
        <v/>
      </c>
      <c r="R40" s="228" t="str">
        <f>IF(Q40=$D$6,$D$6,IF(Q40=$D$6*$D$7,$D$6*$D$8, IF(Q40=$D$6*$D$8,$D$6*$D$9, IF(Q40=$D$6*$D$9, $D$6, IF(AND((SUM(R$21:R39)-R$18)&lt;0,Q40=""),$D$6*$D$7,"")))))</f>
        <v/>
      </c>
      <c r="S40" s="228" t="str">
        <f>IF(R40=$D$6,$D$6,IF(R40=$D$6*$D$7,$D$6*$D$8, IF(R40=$D$6*$D$8,$D$6*$D$9, IF(R40=$D$6*$D$9, $D$6, IF(AND((SUM(S$21:S39)-S$18)&lt;0,R40=""),$D$6*$D$7,"")))))</f>
        <v/>
      </c>
      <c r="T40" s="228" t="str">
        <f>IF(S40=$D$6,$D$6,IF(S40=$D$6*$D$7,$D$6*$D$8, IF(S40=$D$6*$D$8,$D$6*$D$9, IF(S40=$D$6*$D$9, $D$6, IF(AND((SUM(T$21:T39)-T$18)&lt;0,S40=""),$D$6*$D$7,"")))))</f>
        <v/>
      </c>
      <c r="U40" s="228" t="str">
        <f>IF(T40=$D$6,$D$6,IF(T40=$D$6*$D$7,$D$6*$D$8, IF(T40=$D$6*$D$8,$D$6*$D$9, IF(T40=$D$6*$D$9, $D$6, IF(AND((SUM(U$21:U39)-U$18)&lt;0,T40=""),$D$6*$D$7,"")))))</f>
        <v/>
      </c>
      <c r="V40" s="228" t="str">
        <f>IF(U40=$D$6,$D$6,IF(U40=$D$6*$D$7,$D$6*$D$8, IF(U40=$D$6*$D$8,$D$6*$D$9, IF(U40=$D$6*$D$9, $D$6, IF(AND((SUM(V$21:V39)-V$18)&lt;0,U40=""),$D$6*$D$7,"")))))</f>
        <v/>
      </c>
      <c r="W40" s="228" t="str">
        <f>IF(V40=$D$6,$D$6,IF(V40=$D$6*$D$7,$D$6*$D$8, IF(V40=$D$6*$D$8,$D$6*$D$9, IF(V40=$D$6*$D$9, $D$6, IF(AND((SUM(W$21:W39)-W$18)&lt;0,V40=""),$D$6*$D$7,"")))))</f>
        <v/>
      </c>
      <c r="X40" s="228" t="str">
        <f>IF(W40=$D$6,$D$6,IF(W40=$D$6*$D$7,$D$6*$D$8, IF(W40=$D$6*$D$8,$D$6*$D$9, IF(W40=$D$6*$D$9, $D$6, IF(AND((SUM(X$21:X39)-X$18)&lt;0,W40=""),$D$6*$D$7,"")))))</f>
        <v/>
      </c>
      <c r="Y40" s="228" t="str">
        <f>IF(X40=$D$6,$D$6,IF(X40=$D$6*$D$7,$D$6*$D$8, IF(X40=$D$6*$D$8,$D$6*$D$9, IF(X40=$D$6*$D$9, $D$6, IF(AND((SUM(Y$21:Y39)-Y$18)&lt;0,X40=""),$D$6*$D$7,"")))))</f>
        <v/>
      </c>
      <c r="Z40" s="228" t="str">
        <f>IF(Y40=$D$6,$D$6,IF(Y40=$D$6*$D$7,$D$6*$D$8, IF(Y40=$D$6*$D$8,$D$6*$D$9, IF(Y40=$D$6*$D$9, $D$6, IF(AND((SUM(Z$21:Z39)-Z$18)&lt;0,Y40=""),$D$6*$D$7,"")))))</f>
        <v/>
      </c>
      <c r="AA40" s="228" t="str">
        <f>IF(Z40=$D$6,$D$6,IF(Z40=$D$6*$D$7,$D$6*$D$8, IF(Z40=$D$6*$D$8,$D$6*$D$9, IF(Z40=$D$6*$D$9, $D$6, IF(AND((SUM(AA$21:AA39)-AA$18)&lt;0,Z40=""),$D$6*$D$7,"")))))</f>
        <v/>
      </c>
      <c r="AB40" s="229" t="str">
        <f>IF(AA40=$D$6,$D$6,IF(AA40=$D$6*$D$7,$D$6*$D$8, IF(AA40=$D$6*$D$8,$D$6*$D$9, IF(AA40=$D$6*$D$9, $D$6, IF(AND((SUM(AB$21:AB39)-AB$18)&lt;0,AA40=""),$D$6*$D$7,"")))))</f>
        <v/>
      </c>
      <c r="AC40" s="146"/>
    </row>
    <row r="41" spans="1:29">
      <c r="A41" s="145"/>
      <c r="B41" s="170"/>
      <c r="C41" s="143" t="s">
        <v>99</v>
      </c>
      <c r="D41" s="183">
        <f>IF($D$18&gt;SUM(D$21:D40),$D$6,0)</f>
        <v>0</v>
      </c>
      <c r="E41" s="227" t="str">
        <f>IF(D41=$D$6,$D$6,IF(D41=$D$6*$D$7,$D$6*$D$8, IF(D41=$D$6*$D$8,$D$6*$D$9, IF(D41=$D$6*$D$9, $D$6, IF(AND((SUM(E$21:E40)-E$18)&lt;0,D41=""),$D$6*$D$7,"")))))</f>
        <v/>
      </c>
      <c r="F41" s="228" t="str">
        <f>IF(E41=$D$6,$D$6,IF(E41=$D$6*$D$7,$D$6*$D$8, IF(E41=$D$6*$D$8,$D$6*$D$9, IF(E41=$D$6*$D$9, $D$6, IF(AND((SUM(F$21:F40)-F$18)&lt;0,E41=""),$D$6*$D$7,"")))))</f>
        <v/>
      </c>
      <c r="G41" s="228" t="str">
        <f>IF(F41=$D$6,$D$6,IF(F41=$D$6*$D$7,$D$6*$D$8, IF(F41=$D$6*$D$8,$D$6*$D$9, IF(F41=$D$6*$D$9, $D$6, IF(AND((SUM(G$21:G40)-G$18)&lt;0,F41=""),$D$6*$D$7,"")))))</f>
        <v/>
      </c>
      <c r="H41" s="228" t="str">
        <f>IF(G41=$D$6,$D$6,IF(G41=$D$6*$D$7,$D$6*$D$8, IF(G41=$D$6*$D$8,$D$6*$D$9, IF(G41=$D$6*$D$9, $D$6, IF(AND((SUM(H$21:H40)-H$18)&lt;0,G41=""),$D$6*$D$7,"")))))</f>
        <v/>
      </c>
      <c r="I41" s="228" t="str">
        <f>IF(H41=$D$6,$D$6,IF(H41=$D$6*$D$7,$D$6*$D$8, IF(H41=$D$6*$D$8,$D$6*$D$9, IF(H41=$D$6*$D$9, $D$6, IF(AND((SUM(I$21:I40)-I$18)&lt;0,H41=""),$D$6*$D$7,"")))))</f>
        <v/>
      </c>
      <c r="J41" s="228" t="str">
        <f>IF(I41=$D$6,$D$6,IF(I41=$D$6*$D$7,$D$6*$D$8, IF(I41=$D$6*$D$8,$D$6*$D$9, IF(I41=$D$6*$D$9, $D$6, IF(AND((SUM(J$21:J40)-J$18)&lt;0,I41=""),$D$6*$D$7,"")))))</f>
        <v/>
      </c>
      <c r="K41" s="228" t="str">
        <f>IF(J41=$D$6,$D$6,IF(J41=$D$6*$D$7,$D$6*$D$8, IF(J41=$D$6*$D$8,$D$6*$D$9, IF(J41=$D$6*$D$9, $D$6, IF(AND((SUM(K$21:K40)-K$18)&lt;0,J41=""),$D$6*$D$7,"")))))</f>
        <v/>
      </c>
      <c r="L41" s="228" t="str">
        <f>IF(K41=$D$6,$D$6,IF(K41=$D$6*$D$7,$D$6*$D$8, IF(K41=$D$6*$D$8,$D$6*$D$9, IF(K41=$D$6*$D$9, $D$6, IF(AND((SUM(L$21:L40)-L$18)&lt;0,K41=""),$D$6*$D$7,"")))))</f>
        <v/>
      </c>
      <c r="M41" s="228" t="str">
        <f>IF(L41=$D$6,$D$6,IF(L41=$D$6*$D$7,$D$6*$D$8, IF(L41=$D$6*$D$8,$D$6*$D$9, IF(L41=$D$6*$D$9, $D$6, IF(AND((SUM(M$21:M40)-M$18)&lt;0,L41=""),$D$6*$D$7,"")))))</f>
        <v/>
      </c>
      <c r="N41" s="228" t="str">
        <f>IF(M41=$D$6,$D$6,IF(M41=$D$6*$D$7,$D$6*$D$8, IF(M41=$D$6*$D$8,$D$6*$D$9, IF(M41=$D$6*$D$9, $D$6, IF(AND((SUM(N$21:N40)-N$18)&lt;0,M41=""),$D$6*$D$7,"")))))</f>
        <v/>
      </c>
      <c r="O41" s="228" t="str">
        <f>IF(N41=$D$6,$D$6,IF(N41=$D$6*$D$7,$D$6*$D$8, IF(N41=$D$6*$D$8,$D$6*$D$9, IF(N41=$D$6*$D$9, $D$6, IF(AND((SUM(O$21:O40)-O$18)&lt;0,N41=""),$D$6*$D$7,"")))))</f>
        <v/>
      </c>
      <c r="P41" s="229" t="str">
        <f>IF(O41=$D$6,$D$6,IF(O41=$D$6*$D$7,$D$6*$D$8, IF(O41=$D$6*$D$8,$D$6*$D$9, IF(O41=$D$6*$D$9, $D$6, IF(AND((SUM(P$21:P40)-P$18)&lt;0,O41=""),$D$6*$D$7,"")))))</f>
        <v/>
      </c>
      <c r="Q41" s="227" t="str">
        <f>IF(P41=$D$6,$D$6,IF(P41=$D$6*$D$7,$D$6*$D$8, IF(P41=$D$6*$D$8,$D$6*$D$9, IF(P41=$D$6*$D$9, $D$6, IF(AND((SUM(Q$21:Q40)-Q$18)&lt;0,P41=""),$D$6*$D$7,"")))))</f>
        <v/>
      </c>
      <c r="R41" s="228" t="str">
        <f>IF(Q41=$D$6,$D$6,IF(Q41=$D$6*$D$7,$D$6*$D$8, IF(Q41=$D$6*$D$8,$D$6*$D$9, IF(Q41=$D$6*$D$9, $D$6, IF(AND((SUM(R$21:R40)-R$18)&lt;0,Q41=""),$D$6*$D$7,"")))))</f>
        <v/>
      </c>
      <c r="S41" s="228" t="str">
        <f>IF(R41=$D$6,$D$6,IF(R41=$D$6*$D$7,$D$6*$D$8, IF(R41=$D$6*$D$8,$D$6*$D$9, IF(R41=$D$6*$D$9, $D$6, IF(AND((SUM(S$21:S40)-S$18)&lt;0,R41=""),$D$6*$D$7,"")))))</f>
        <v/>
      </c>
      <c r="T41" s="228" t="str">
        <f>IF(S41=$D$6,$D$6,IF(S41=$D$6*$D$7,$D$6*$D$8, IF(S41=$D$6*$D$8,$D$6*$D$9, IF(S41=$D$6*$D$9, $D$6, IF(AND((SUM(T$21:T40)-T$18)&lt;0,S41=""),$D$6*$D$7,"")))))</f>
        <v/>
      </c>
      <c r="U41" s="228" t="str">
        <f>IF(T41=$D$6,$D$6,IF(T41=$D$6*$D$7,$D$6*$D$8, IF(T41=$D$6*$D$8,$D$6*$D$9, IF(T41=$D$6*$D$9, $D$6, IF(AND((SUM(U$21:U40)-U$18)&lt;0,T41=""),$D$6*$D$7,"")))))</f>
        <v/>
      </c>
      <c r="V41" s="228" t="str">
        <f>IF(U41=$D$6,$D$6,IF(U41=$D$6*$D$7,$D$6*$D$8, IF(U41=$D$6*$D$8,$D$6*$D$9, IF(U41=$D$6*$D$9, $D$6, IF(AND((SUM(V$21:V40)-V$18)&lt;0,U41=""),$D$6*$D$7,"")))))</f>
        <v/>
      </c>
      <c r="W41" s="228" t="str">
        <f>IF(V41=$D$6,$D$6,IF(V41=$D$6*$D$7,$D$6*$D$8, IF(V41=$D$6*$D$8,$D$6*$D$9, IF(V41=$D$6*$D$9, $D$6, IF(AND((SUM(W$21:W40)-W$18)&lt;0,V41=""),$D$6*$D$7,"")))))</f>
        <v/>
      </c>
      <c r="X41" s="228" t="str">
        <f>IF(W41=$D$6,$D$6,IF(W41=$D$6*$D$7,$D$6*$D$8, IF(W41=$D$6*$D$8,$D$6*$D$9, IF(W41=$D$6*$D$9, $D$6, IF(AND((SUM(X$21:X40)-X$18)&lt;0,W41=""),$D$6*$D$7,"")))))</f>
        <v/>
      </c>
      <c r="Y41" s="228" t="str">
        <f>IF(X41=$D$6,$D$6,IF(X41=$D$6*$D$7,$D$6*$D$8, IF(X41=$D$6*$D$8,$D$6*$D$9, IF(X41=$D$6*$D$9, $D$6, IF(AND((SUM(Y$21:Y40)-Y$18)&lt;0,X41=""),$D$6*$D$7,"")))))</f>
        <v/>
      </c>
      <c r="Z41" s="228" t="str">
        <f>IF(Y41=$D$6,$D$6,IF(Y41=$D$6*$D$7,$D$6*$D$8, IF(Y41=$D$6*$D$8,$D$6*$D$9, IF(Y41=$D$6*$D$9, $D$6, IF(AND((SUM(Z$21:Z40)-Z$18)&lt;0,Y41=""),$D$6*$D$7,"")))))</f>
        <v/>
      </c>
      <c r="AA41" s="228" t="str">
        <f>IF(Z41=$D$6,$D$6,IF(Z41=$D$6*$D$7,$D$6*$D$8, IF(Z41=$D$6*$D$8,$D$6*$D$9, IF(Z41=$D$6*$D$9, $D$6, IF(AND((SUM(AA$21:AA40)-AA$18)&lt;0,Z41=""),$D$6*$D$7,"")))))</f>
        <v/>
      </c>
      <c r="AB41" s="229" t="str">
        <f>IF(AA41=$D$6,$D$6,IF(AA41=$D$6*$D$7,$D$6*$D$8, IF(AA41=$D$6*$D$8,$D$6*$D$9, IF(AA41=$D$6*$D$9, $D$6, IF(AND((SUM(AB$21:AB40)-AB$18)&lt;0,AA41=""),$D$6*$D$7,"")))))</f>
        <v/>
      </c>
      <c r="AC41" s="146"/>
    </row>
    <row r="42" spans="1:29">
      <c r="A42" s="145"/>
      <c r="B42" s="170"/>
      <c r="C42" s="143" t="s">
        <v>100</v>
      </c>
      <c r="D42" s="183">
        <f>IF($D$18&gt;SUM(D$21:D41),$D$6,0)</f>
        <v>0</v>
      </c>
      <c r="E42" s="227" t="str">
        <f>IF(D42=$D$6,$D$6,IF(D42=$D$6*$D$7,$D$6*$D$8, IF(D42=$D$6*$D$8,$D$6*$D$9, IF(D42=$D$6*$D$9, $D$6, IF(AND((SUM(E$21:E41)-E$18)&lt;0,D42=""),$D$6*$D$7,"")))))</f>
        <v/>
      </c>
      <c r="F42" s="228" t="str">
        <f>IF(E42=$D$6,$D$6,IF(E42=$D$6*$D$7,$D$6*$D$8, IF(E42=$D$6*$D$8,$D$6*$D$9, IF(E42=$D$6*$D$9, $D$6, IF(AND((SUM(F$21:F41)-F$18)&lt;0,E42=""),$D$6*$D$7,"")))))</f>
        <v/>
      </c>
      <c r="G42" s="228" t="str">
        <f>IF(F42=$D$6,$D$6,IF(F42=$D$6*$D$7,$D$6*$D$8, IF(F42=$D$6*$D$8,$D$6*$D$9, IF(F42=$D$6*$D$9, $D$6, IF(AND((SUM(G$21:G41)-G$18)&lt;0,F42=""),$D$6*$D$7,"")))))</f>
        <v/>
      </c>
      <c r="H42" s="228" t="str">
        <f>IF(G42=$D$6,$D$6,IF(G42=$D$6*$D$7,$D$6*$D$8, IF(G42=$D$6*$D$8,$D$6*$D$9, IF(G42=$D$6*$D$9, $D$6, IF(AND((SUM(H$21:H41)-H$18)&lt;0,G42=""),$D$6*$D$7,"")))))</f>
        <v/>
      </c>
      <c r="I42" s="228" t="str">
        <f>IF(H42=$D$6,$D$6,IF(H42=$D$6*$D$7,$D$6*$D$8, IF(H42=$D$6*$D$8,$D$6*$D$9, IF(H42=$D$6*$D$9, $D$6, IF(AND((SUM(I$21:I41)-I$18)&lt;0,H42=""),$D$6*$D$7,"")))))</f>
        <v/>
      </c>
      <c r="J42" s="228" t="str">
        <f>IF(I42=$D$6,$D$6,IF(I42=$D$6*$D$7,$D$6*$D$8, IF(I42=$D$6*$D$8,$D$6*$D$9, IF(I42=$D$6*$D$9, $D$6, IF(AND((SUM(J$21:J41)-J$18)&lt;0,I42=""),$D$6*$D$7,"")))))</f>
        <v/>
      </c>
      <c r="K42" s="228" t="str">
        <f>IF(J42=$D$6,$D$6,IF(J42=$D$6*$D$7,$D$6*$D$8, IF(J42=$D$6*$D$8,$D$6*$D$9, IF(J42=$D$6*$D$9, $D$6, IF(AND((SUM(K$21:K41)-K$18)&lt;0,J42=""),$D$6*$D$7,"")))))</f>
        <v/>
      </c>
      <c r="L42" s="228" t="str">
        <f>IF(K42=$D$6,$D$6,IF(K42=$D$6*$D$7,$D$6*$D$8, IF(K42=$D$6*$D$8,$D$6*$D$9, IF(K42=$D$6*$D$9, $D$6, IF(AND((SUM(L$21:L41)-L$18)&lt;0,K42=""),$D$6*$D$7,"")))))</f>
        <v/>
      </c>
      <c r="M42" s="228" t="str">
        <f>IF(L42=$D$6,$D$6,IF(L42=$D$6*$D$7,$D$6*$D$8, IF(L42=$D$6*$D$8,$D$6*$D$9, IF(L42=$D$6*$D$9, $D$6, IF(AND((SUM(M$21:M41)-M$18)&lt;0,L42=""),$D$6*$D$7,"")))))</f>
        <v/>
      </c>
      <c r="N42" s="228" t="str">
        <f>IF(M42=$D$6,$D$6,IF(M42=$D$6*$D$7,$D$6*$D$8, IF(M42=$D$6*$D$8,$D$6*$D$9, IF(M42=$D$6*$D$9, $D$6, IF(AND((SUM(N$21:N41)-N$18)&lt;0,M42=""),$D$6*$D$7,"")))))</f>
        <v/>
      </c>
      <c r="O42" s="228" t="str">
        <f>IF(N42=$D$6,$D$6,IF(N42=$D$6*$D$7,$D$6*$D$8, IF(N42=$D$6*$D$8,$D$6*$D$9, IF(N42=$D$6*$D$9, $D$6, IF(AND((SUM(O$21:O41)-O$18)&lt;0,N42=""),$D$6*$D$7,"")))))</f>
        <v/>
      </c>
      <c r="P42" s="229" t="str">
        <f>IF(O42=$D$6,$D$6,IF(O42=$D$6*$D$7,$D$6*$D$8, IF(O42=$D$6*$D$8,$D$6*$D$9, IF(O42=$D$6*$D$9, $D$6, IF(AND((SUM(P$21:P41)-P$18)&lt;0,O42=""),$D$6*$D$7,"")))))</f>
        <v/>
      </c>
      <c r="Q42" s="227" t="str">
        <f>IF(P42=$D$6,$D$6,IF(P42=$D$6*$D$7,$D$6*$D$8, IF(P42=$D$6*$D$8,$D$6*$D$9, IF(P42=$D$6*$D$9, $D$6, IF(AND((SUM(Q$21:Q41)-Q$18)&lt;0,P42=""),$D$6*$D$7,"")))))</f>
        <v/>
      </c>
      <c r="R42" s="228" t="str">
        <f>IF(Q42=$D$6,$D$6,IF(Q42=$D$6*$D$7,$D$6*$D$8, IF(Q42=$D$6*$D$8,$D$6*$D$9, IF(Q42=$D$6*$D$9, $D$6, IF(AND((SUM(R$21:R41)-R$18)&lt;0,Q42=""),$D$6*$D$7,"")))))</f>
        <v/>
      </c>
      <c r="S42" s="228" t="str">
        <f>IF(R42=$D$6,$D$6,IF(R42=$D$6*$D$7,$D$6*$D$8, IF(R42=$D$6*$D$8,$D$6*$D$9, IF(R42=$D$6*$D$9, $D$6, IF(AND((SUM(S$21:S41)-S$18)&lt;0,R42=""),$D$6*$D$7,"")))))</f>
        <v/>
      </c>
      <c r="T42" s="228" t="str">
        <f>IF(S42=$D$6,$D$6,IF(S42=$D$6*$D$7,$D$6*$D$8, IF(S42=$D$6*$D$8,$D$6*$D$9, IF(S42=$D$6*$D$9, $D$6, IF(AND((SUM(T$21:T41)-T$18)&lt;0,S42=""),$D$6*$D$7,"")))))</f>
        <v/>
      </c>
      <c r="U42" s="228" t="str">
        <f>IF(T42=$D$6,$D$6,IF(T42=$D$6*$D$7,$D$6*$D$8, IF(T42=$D$6*$D$8,$D$6*$D$9, IF(T42=$D$6*$D$9, $D$6, IF(AND((SUM(U$21:U41)-U$18)&lt;0,T42=""),$D$6*$D$7,"")))))</f>
        <v/>
      </c>
      <c r="V42" s="228" t="str">
        <f>IF(U42=$D$6,$D$6,IF(U42=$D$6*$D$7,$D$6*$D$8, IF(U42=$D$6*$D$8,$D$6*$D$9, IF(U42=$D$6*$D$9, $D$6, IF(AND((SUM(V$21:V41)-V$18)&lt;0,U42=""),$D$6*$D$7,"")))))</f>
        <v/>
      </c>
      <c r="W42" s="228" t="str">
        <f>IF(V42=$D$6,$D$6,IF(V42=$D$6*$D$7,$D$6*$D$8, IF(V42=$D$6*$D$8,$D$6*$D$9, IF(V42=$D$6*$D$9, $D$6, IF(AND((SUM(W$21:W41)-W$18)&lt;0,V42=""),$D$6*$D$7,"")))))</f>
        <v/>
      </c>
      <c r="X42" s="228" t="str">
        <f>IF(W42=$D$6,$D$6,IF(W42=$D$6*$D$7,$D$6*$D$8, IF(W42=$D$6*$D$8,$D$6*$D$9, IF(W42=$D$6*$D$9, $D$6, IF(AND((SUM(X$21:X41)-X$18)&lt;0,W42=""),$D$6*$D$7,"")))))</f>
        <v/>
      </c>
      <c r="Y42" s="228" t="str">
        <f>IF(X42=$D$6,$D$6,IF(X42=$D$6*$D$7,$D$6*$D$8, IF(X42=$D$6*$D$8,$D$6*$D$9, IF(X42=$D$6*$D$9, $D$6, IF(AND((SUM(Y$21:Y41)-Y$18)&lt;0,X42=""),$D$6*$D$7,"")))))</f>
        <v/>
      </c>
      <c r="Z42" s="228" t="str">
        <f>IF(Y42=$D$6,$D$6,IF(Y42=$D$6*$D$7,$D$6*$D$8, IF(Y42=$D$6*$D$8,$D$6*$D$9, IF(Y42=$D$6*$D$9, $D$6, IF(AND((SUM(Z$21:Z41)-Z$18)&lt;0,Y42=""),$D$6*$D$7,"")))))</f>
        <v/>
      </c>
      <c r="AA42" s="228" t="str">
        <f>IF(Z42=$D$6,$D$6,IF(Z42=$D$6*$D$7,$D$6*$D$8, IF(Z42=$D$6*$D$8,$D$6*$D$9, IF(Z42=$D$6*$D$9, $D$6, IF(AND((SUM(AA$21:AA41)-AA$18)&lt;0,Z42=""),$D$6*$D$7,"")))))</f>
        <v/>
      </c>
      <c r="AB42" s="229" t="str">
        <f>IF(AA42=$D$6,$D$6,IF(AA42=$D$6*$D$7,$D$6*$D$8, IF(AA42=$D$6*$D$8,$D$6*$D$9, IF(AA42=$D$6*$D$9, $D$6, IF(AND((SUM(AB$21:AB41)-AB$18)&lt;0,AA42=""),$D$6*$D$7,"")))))</f>
        <v/>
      </c>
      <c r="AC42" s="146"/>
    </row>
    <row r="43" spans="1:29">
      <c r="A43" s="145"/>
      <c r="B43" s="170"/>
      <c r="C43" s="143" t="s">
        <v>101</v>
      </c>
      <c r="D43" s="183">
        <f>IF($D$18&gt;SUM(D$21:D42),$D$6,0)</f>
        <v>0</v>
      </c>
      <c r="E43" s="227" t="str">
        <f>IF(D43=$D$6,$D$6,IF(D43=$D$6*$D$7,$D$6*$D$8, IF(D43=$D$6*$D$8,$D$6*$D$9, IF(D43=$D$6*$D$9, $D$6, IF(AND((SUM(E$21:E42)-E$18)&lt;0,D43=""),$D$6*$D$7,"")))))</f>
        <v/>
      </c>
      <c r="F43" s="228" t="str">
        <f>IF(E43=$D$6,$D$6,IF(E43=$D$6*$D$7,$D$6*$D$8, IF(E43=$D$6*$D$8,$D$6*$D$9, IF(E43=$D$6*$D$9, $D$6, IF(AND((SUM(F$21:F42)-F$18)&lt;0,E43=""),$D$6*$D$7,"")))))</f>
        <v/>
      </c>
      <c r="G43" s="228" t="str">
        <f>IF(F43=$D$6,$D$6,IF(F43=$D$6*$D$7,$D$6*$D$8, IF(F43=$D$6*$D$8,$D$6*$D$9, IF(F43=$D$6*$D$9, $D$6, IF(AND((SUM(G$21:G42)-G$18)&lt;0,F43=""),$D$6*$D$7,"")))))</f>
        <v/>
      </c>
      <c r="H43" s="228" t="str">
        <f>IF(G43=$D$6,$D$6,IF(G43=$D$6*$D$7,$D$6*$D$8, IF(G43=$D$6*$D$8,$D$6*$D$9, IF(G43=$D$6*$D$9, $D$6, IF(AND((SUM(H$21:H42)-H$18)&lt;0,G43=""),$D$6*$D$7,"")))))</f>
        <v/>
      </c>
      <c r="I43" s="228" t="str">
        <f>IF(H43=$D$6,$D$6,IF(H43=$D$6*$D$7,$D$6*$D$8, IF(H43=$D$6*$D$8,$D$6*$D$9, IF(H43=$D$6*$D$9, $D$6, IF(AND((SUM(I$21:I42)-I$18)&lt;0,H43=""),$D$6*$D$7,"")))))</f>
        <v/>
      </c>
      <c r="J43" s="228" t="str">
        <f>IF(I43=$D$6,$D$6,IF(I43=$D$6*$D$7,$D$6*$D$8, IF(I43=$D$6*$D$8,$D$6*$D$9, IF(I43=$D$6*$D$9, $D$6, IF(AND((SUM(J$21:J42)-J$18)&lt;0,I43=""),$D$6*$D$7,"")))))</f>
        <v/>
      </c>
      <c r="K43" s="228" t="str">
        <f>IF(J43=$D$6,$D$6,IF(J43=$D$6*$D$7,$D$6*$D$8, IF(J43=$D$6*$D$8,$D$6*$D$9, IF(J43=$D$6*$D$9, $D$6, IF(AND((SUM(K$21:K42)-K$18)&lt;0,J43=""),$D$6*$D$7,"")))))</f>
        <v/>
      </c>
      <c r="L43" s="228" t="str">
        <f>IF(K43=$D$6,$D$6,IF(K43=$D$6*$D$7,$D$6*$D$8, IF(K43=$D$6*$D$8,$D$6*$D$9, IF(K43=$D$6*$D$9, $D$6, IF(AND((SUM(L$21:L42)-L$18)&lt;0,K43=""),$D$6*$D$7,"")))))</f>
        <v/>
      </c>
      <c r="M43" s="228" t="str">
        <f>IF(L43=$D$6,$D$6,IF(L43=$D$6*$D$7,$D$6*$D$8, IF(L43=$D$6*$D$8,$D$6*$D$9, IF(L43=$D$6*$D$9, $D$6, IF(AND((SUM(M$21:M42)-M$18)&lt;0,L43=""),$D$6*$D$7,"")))))</f>
        <v/>
      </c>
      <c r="N43" s="228" t="str">
        <f>IF(M43=$D$6,$D$6,IF(M43=$D$6*$D$7,$D$6*$D$8, IF(M43=$D$6*$D$8,$D$6*$D$9, IF(M43=$D$6*$D$9, $D$6, IF(AND((SUM(N$21:N42)-N$18)&lt;0,M43=""),$D$6*$D$7,"")))))</f>
        <v/>
      </c>
      <c r="O43" s="228" t="str">
        <f>IF(N43=$D$6,$D$6,IF(N43=$D$6*$D$7,$D$6*$D$8, IF(N43=$D$6*$D$8,$D$6*$D$9, IF(N43=$D$6*$D$9, $D$6, IF(AND((SUM(O$21:O42)-O$18)&lt;0,N43=""),$D$6*$D$7,"")))))</f>
        <v/>
      </c>
      <c r="P43" s="229" t="str">
        <f>IF(O43=$D$6,$D$6,IF(O43=$D$6*$D$7,$D$6*$D$8, IF(O43=$D$6*$D$8,$D$6*$D$9, IF(O43=$D$6*$D$9, $D$6, IF(AND((SUM(P$21:P42)-P$18)&lt;0,O43=""),$D$6*$D$7,"")))))</f>
        <v/>
      </c>
      <c r="Q43" s="227" t="str">
        <f>IF(P43=$D$6,$D$6,IF(P43=$D$6*$D$7,$D$6*$D$8, IF(P43=$D$6*$D$8,$D$6*$D$9, IF(P43=$D$6*$D$9, $D$6, IF(AND((SUM(Q$21:Q42)-Q$18)&lt;0,P43=""),$D$6*$D$7,"")))))</f>
        <v/>
      </c>
      <c r="R43" s="228" t="str">
        <f>IF(Q43=$D$6,$D$6,IF(Q43=$D$6*$D$7,$D$6*$D$8, IF(Q43=$D$6*$D$8,$D$6*$D$9, IF(Q43=$D$6*$D$9, $D$6, IF(AND((SUM(R$21:R42)-R$18)&lt;0,Q43=""),$D$6*$D$7,"")))))</f>
        <v/>
      </c>
      <c r="S43" s="228" t="str">
        <f>IF(R43=$D$6,$D$6,IF(R43=$D$6*$D$7,$D$6*$D$8, IF(R43=$D$6*$D$8,$D$6*$D$9, IF(R43=$D$6*$D$9, $D$6, IF(AND((SUM(S$21:S42)-S$18)&lt;0,R43=""),$D$6*$D$7,"")))))</f>
        <v/>
      </c>
      <c r="T43" s="228" t="str">
        <f>IF(S43=$D$6,$D$6,IF(S43=$D$6*$D$7,$D$6*$D$8, IF(S43=$D$6*$D$8,$D$6*$D$9, IF(S43=$D$6*$D$9, $D$6, IF(AND((SUM(T$21:T42)-T$18)&lt;0,S43=""),$D$6*$D$7,"")))))</f>
        <v/>
      </c>
      <c r="U43" s="228" t="str">
        <f>IF(T43=$D$6,$D$6,IF(T43=$D$6*$D$7,$D$6*$D$8, IF(T43=$D$6*$D$8,$D$6*$D$9, IF(T43=$D$6*$D$9, $D$6, IF(AND((SUM(U$21:U42)-U$18)&lt;0,T43=""),$D$6*$D$7,"")))))</f>
        <v/>
      </c>
      <c r="V43" s="228" t="str">
        <f>IF(U43=$D$6,$D$6,IF(U43=$D$6*$D$7,$D$6*$D$8, IF(U43=$D$6*$D$8,$D$6*$D$9, IF(U43=$D$6*$D$9, $D$6, IF(AND((SUM(V$21:V42)-V$18)&lt;0,U43=""),$D$6*$D$7,"")))))</f>
        <v/>
      </c>
      <c r="W43" s="228" t="str">
        <f>IF(V43=$D$6,$D$6,IF(V43=$D$6*$D$7,$D$6*$D$8, IF(V43=$D$6*$D$8,$D$6*$D$9, IF(V43=$D$6*$D$9, $D$6, IF(AND((SUM(W$21:W42)-W$18)&lt;0,V43=""),$D$6*$D$7,"")))))</f>
        <v/>
      </c>
      <c r="X43" s="228" t="str">
        <f>IF(W43=$D$6,$D$6,IF(W43=$D$6*$D$7,$D$6*$D$8, IF(W43=$D$6*$D$8,$D$6*$D$9, IF(W43=$D$6*$D$9, $D$6, IF(AND((SUM(X$21:X42)-X$18)&lt;0,W43=""),$D$6*$D$7,"")))))</f>
        <v/>
      </c>
      <c r="Y43" s="228" t="str">
        <f>IF(X43=$D$6,$D$6,IF(X43=$D$6*$D$7,$D$6*$D$8, IF(X43=$D$6*$D$8,$D$6*$D$9, IF(X43=$D$6*$D$9, $D$6, IF(AND((SUM(Y$21:Y42)-Y$18)&lt;0,X43=""),$D$6*$D$7,"")))))</f>
        <v/>
      </c>
      <c r="Z43" s="228" t="str">
        <f>IF(Y43=$D$6,$D$6,IF(Y43=$D$6*$D$7,$D$6*$D$8, IF(Y43=$D$6*$D$8,$D$6*$D$9, IF(Y43=$D$6*$D$9, $D$6, IF(AND((SUM(Z$21:Z42)-Z$18)&lt;0,Y43=""),$D$6*$D$7,"")))))</f>
        <v/>
      </c>
      <c r="AA43" s="228" t="str">
        <f>IF(Z43=$D$6,$D$6,IF(Z43=$D$6*$D$7,$D$6*$D$8, IF(Z43=$D$6*$D$8,$D$6*$D$9, IF(Z43=$D$6*$D$9, $D$6, IF(AND((SUM(AA$21:AA42)-AA$18)&lt;0,Z43=""),$D$6*$D$7,"")))))</f>
        <v/>
      </c>
      <c r="AB43" s="229" t="str">
        <f>IF(AA43=$D$6,$D$6,IF(AA43=$D$6*$D$7,$D$6*$D$8, IF(AA43=$D$6*$D$8,$D$6*$D$9, IF(AA43=$D$6*$D$9, $D$6, IF(AND((SUM(AB$21:AB42)-AB$18)&lt;0,AA43=""),$D$6*$D$7,"")))))</f>
        <v/>
      </c>
      <c r="AC43" s="146"/>
    </row>
    <row r="44" spans="1:29">
      <c r="A44" s="145"/>
      <c r="B44" s="170"/>
      <c r="C44" s="143" t="s">
        <v>102</v>
      </c>
      <c r="D44" s="183">
        <f>IF($D$18&gt;SUM(D$21:D43),$D$6,0)</f>
        <v>0</v>
      </c>
      <c r="E44" s="227" t="str">
        <f>IF(D44=$D$6,$D$6,IF(D44=$D$6*$D$7,$D$6*$D$8, IF(D44=$D$6*$D$8,$D$6*$D$9, IF(D44=$D$6*$D$9, $D$6, IF(AND((SUM(E$21:E43)-E$18)&lt;0,D44=""),$D$6*$D$7,"")))))</f>
        <v/>
      </c>
      <c r="F44" s="228" t="str">
        <f>IF(E44=$D$6,$D$6,IF(E44=$D$6*$D$7,$D$6*$D$8, IF(E44=$D$6*$D$8,$D$6*$D$9, IF(E44=$D$6*$D$9, $D$6, IF(AND((SUM(F$21:F43)-F$18)&lt;0,E44=""),$D$6*$D$7,"")))))</f>
        <v/>
      </c>
      <c r="G44" s="228" t="str">
        <f>IF(F44=$D$6,$D$6,IF(F44=$D$6*$D$7,$D$6*$D$8, IF(F44=$D$6*$D$8,$D$6*$D$9, IF(F44=$D$6*$D$9, $D$6, IF(AND((SUM(G$21:G43)-G$18)&lt;0,F44=""),$D$6*$D$7,"")))))</f>
        <v/>
      </c>
      <c r="H44" s="228" t="str">
        <f>IF(G44=$D$6,$D$6,IF(G44=$D$6*$D$7,$D$6*$D$8, IF(G44=$D$6*$D$8,$D$6*$D$9, IF(G44=$D$6*$D$9, $D$6, IF(AND((SUM(H$21:H43)-H$18)&lt;0,G44=""),$D$6*$D$7,"")))))</f>
        <v/>
      </c>
      <c r="I44" s="228" t="str">
        <f>IF(H44=$D$6,$D$6,IF(H44=$D$6*$D$7,$D$6*$D$8, IF(H44=$D$6*$D$8,$D$6*$D$9, IF(H44=$D$6*$D$9, $D$6, IF(AND((SUM(I$21:I43)-I$18)&lt;0,H44=""),$D$6*$D$7,"")))))</f>
        <v/>
      </c>
      <c r="J44" s="228" t="str">
        <f>IF(I44=$D$6,$D$6,IF(I44=$D$6*$D$7,$D$6*$D$8, IF(I44=$D$6*$D$8,$D$6*$D$9, IF(I44=$D$6*$D$9, $D$6, IF(AND((SUM(J$21:J43)-J$18)&lt;0,I44=""),$D$6*$D$7,"")))))</f>
        <v/>
      </c>
      <c r="K44" s="228" t="str">
        <f>IF(J44=$D$6,$D$6,IF(J44=$D$6*$D$7,$D$6*$D$8, IF(J44=$D$6*$D$8,$D$6*$D$9, IF(J44=$D$6*$D$9, $D$6, IF(AND((SUM(K$21:K43)-K$18)&lt;0,J44=""),$D$6*$D$7,"")))))</f>
        <v/>
      </c>
      <c r="L44" s="228" t="str">
        <f>IF(K44=$D$6,$D$6,IF(K44=$D$6*$D$7,$D$6*$D$8, IF(K44=$D$6*$D$8,$D$6*$D$9, IF(K44=$D$6*$D$9, $D$6, IF(AND((SUM(L$21:L43)-L$18)&lt;0,K44=""),$D$6*$D$7,"")))))</f>
        <v/>
      </c>
      <c r="M44" s="228" t="str">
        <f>IF(L44=$D$6,$D$6,IF(L44=$D$6*$D$7,$D$6*$D$8, IF(L44=$D$6*$D$8,$D$6*$D$9, IF(L44=$D$6*$D$9, $D$6, IF(AND((SUM(M$21:M43)-M$18)&lt;0,L44=""),$D$6*$D$7,"")))))</f>
        <v/>
      </c>
      <c r="N44" s="228" t="str">
        <f>IF(M44=$D$6,$D$6,IF(M44=$D$6*$D$7,$D$6*$D$8, IF(M44=$D$6*$D$8,$D$6*$D$9, IF(M44=$D$6*$D$9, $D$6, IF(AND((SUM(N$21:N43)-N$18)&lt;0,M44=""),$D$6*$D$7,"")))))</f>
        <v/>
      </c>
      <c r="O44" s="228" t="str">
        <f>IF(N44=$D$6,$D$6,IF(N44=$D$6*$D$7,$D$6*$D$8, IF(N44=$D$6*$D$8,$D$6*$D$9, IF(N44=$D$6*$D$9, $D$6, IF(AND((SUM(O$21:O43)-O$18)&lt;0,N44=""),$D$6*$D$7,"")))))</f>
        <v/>
      </c>
      <c r="P44" s="229" t="str">
        <f>IF(O44=$D$6,$D$6,IF(O44=$D$6*$D$7,$D$6*$D$8, IF(O44=$D$6*$D$8,$D$6*$D$9, IF(O44=$D$6*$D$9, $D$6, IF(AND((SUM(P$21:P43)-P$18)&lt;0,O44=""),$D$6*$D$7,"")))))</f>
        <v/>
      </c>
      <c r="Q44" s="227" t="str">
        <f>IF(P44=$D$6,$D$6,IF(P44=$D$6*$D$7,$D$6*$D$8, IF(P44=$D$6*$D$8,$D$6*$D$9, IF(P44=$D$6*$D$9, $D$6, IF(AND((SUM(Q$21:Q43)-Q$18)&lt;0,P44=""),$D$6*$D$7,"")))))</f>
        <v/>
      </c>
      <c r="R44" s="228" t="str">
        <f>IF(Q44=$D$6,$D$6,IF(Q44=$D$6*$D$7,$D$6*$D$8, IF(Q44=$D$6*$D$8,$D$6*$D$9, IF(Q44=$D$6*$D$9, $D$6, IF(AND((SUM(R$21:R43)-R$18)&lt;0,Q44=""),$D$6*$D$7,"")))))</f>
        <v/>
      </c>
      <c r="S44" s="228" t="str">
        <f>IF(R44=$D$6,$D$6,IF(R44=$D$6*$D$7,$D$6*$D$8, IF(R44=$D$6*$D$8,$D$6*$D$9, IF(R44=$D$6*$D$9, $D$6, IF(AND((SUM(S$21:S43)-S$18)&lt;0,R44=""),$D$6*$D$7,"")))))</f>
        <v/>
      </c>
      <c r="T44" s="228" t="str">
        <f>IF(S44=$D$6,$D$6,IF(S44=$D$6*$D$7,$D$6*$D$8, IF(S44=$D$6*$D$8,$D$6*$D$9, IF(S44=$D$6*$D$9, $D$6, IF(AND((SUM(T$21:T43)-T$18)&lt;0,S44=""),$D$6*$D$7,"")))))</f>
        <v/>
      </c>
      <c r="U44" s="228" t="str">
        <f>IF(T44=$D$6,$D$6,IF(T44=$D$6*$D$7,$D$6*$D$8, IF(T44=$D$6*$D$8,$D$6*$D$9, IF(T44=$D$6*$D$9, $D$6, IF(AND((SUM(U$21:U43)-U$18)&lt;0,T44=""),$D$6*$D$7,"")))))</f>
        <v/>
      </c>
      <c r="V44" s="228" t="str">
        <f>IF(U44=$D$6,$D$6,IF(U44=$D$6*$D$7,$D$6*$D$8, IF(U44=$D$6*$D$8,$D$6*$D$9, IF(U44=$D$6*$D$9, $D$6, IF(AND((SUM(V$21:V43)-V$18)&lt;0,U44=""),$D$6*$D$7,"")))))</f>
        <v/>
      </c>
      <c r="W44" s="228" t="str">
        <f>IF(V44=$D$6,$D$6,IF(V44=$D$6*$D$7,$D$6*$D$8, IF(V44=$D$6*$D$8,$D$6*$D$9, IF(V44=$D$6*$D$9, $D$6, IF(AND((SUM(W$21:W43)-W$18)&lt;0,V44=""),$D$6*$D$7,"")))))</f>
        <v/>
      </c>
      <c r="X44" s="228" t="str">
        <f>IF(W44=$D$6,$D$6,IF(W44=$D$6*$D$7,$D$6*$D$8, IF(W44=$D$6*$D$8,$D$6*$D$9, IF(W44=$D$6*$D$9, $D$6, IF(AND((SUM(X$21:X43)-X$18)&lt;0,W44=""),$D$6*$D$7,"")))))</f>
        <v/>
      </c>
      <c r="Y44" s="228" t="str">
        <f>IF(X44=$D$6,$D$6,IF(X44=$D$6*$D$7,$D$6*$D$8, IF(X44=$D$6*$D$8,$D$6*$D$9, IF(X44=$D$6*$D$9, $D$6, IF(AND((SUM(Y$21:Y43)-Y$18)&lt;0,X44=""),$D$6*$D$7,"")))))</f>
        <v/>
      </c>
      <c r="Z44" s="228" t="str">
        <f>IF(Y44=$D$6,$D$6,IF(Y44=$D$6*$D$7,$D$6*$D$8, IF(Y44=$D$6*$D$8,$D$6*$D$9, IF(Y44=$D$6*$D$9, $D$6, IF(AND((SUM(Z$21:Z43)-Z$18)&lt;0,Y44=""),$D$6*$D$7,"")))))</f>
        <v/>
      </c>
      <c r="AA44" s="228" t="str">
        <f>IF(Z44=$D$6,$D$6,IF(Z44=$D$6*$D$7,$D$6*$D$8, IF(Z44=$D$6*$D$8,$D$6*$D$9, IF(Z44=$D$6*$D$9, $D$6, IF(AND((SUM(AA$21:AA43)-AA$18)&lt;0,Z44=""),$D$6*$D$7,"")))))</f>
        <v/>
      </c>
      <c r="AB44" s="229" t="str">
        <f>IF(AA44=$D$6,$D$6,IF(AA44=$D$6*$D$7,$D$6*$D$8, IF(AA44=$D$6*$D$8,$D$6*$D$9, IF(AA44=$D$6*$D$9, $D$6, IF(AND((SUM(AB$21:AB43)-AB$18)&lt;0,AA44=""),$D$6*$D$7,"")))))</f>
        <v/>
      </c>
      <c r="AC44" s="146"/>
    </row>
    <row r="45" spans="1:29">
      <c r="A45" s="145"/>
      <c r="B45" s="170"/>
      <c r="C45" s="143" t="s">
        <v>103</v>
      </c>
      <c r="D45" s="183">
        <f>IF($D$18&gt;SUM(D$21:D44),$D$6,0)</f>
        <v>0</v>
      </c>
      <c r="E45" s="227" t="str">
        <f>IF(D45=$D$6,$D$6,IF(D45=$D$6*$D$7,$D$6*$D$8, IF(D45=$D$6*$D$8,$D$6*$D$9, IF(D45=$D$6*$D$9, $D$6, IF(AND((SUM(E$21:E44)-E$18)&lt;0,D45=""),$D$6*$D$7,"")))))</f>
        <v/>
      </c>
      <c r="F45" s="228" t="str">
        <f>IF(E45=$D$6,$D$6,IF(E45=$D$6*$D$7,$D$6*$D$8, IF(E45=$D$6*$D$8,$D$6*$D$9, IF(E45=$D$6*$D$9, $D$6, IF(AND((SUM(F$21:F44)-F$18)&lt;0,E45=""),$D$6*$D$7,"")))))</f>
        <v/>
      </c>
      <c r="G45" s="228" t="str">
        <f>IF(F45=$D$6,$D$6,IF(F45=$D$6*$D$7,$D$6*$D$8, IF(F45=$D$6*$D$8,$D$6*$D$9, IF(F45=$D$6*$D$9, $D$6, IF(AND((SUM(G$21:G44)-G$18)&lt;0,F45=""),$D$6*$D$7,"")))))</f>
        <v/>
      </c>
      <c r="H45" s="228" t="str">
        <f>IF(G45=$D$6,$D$6,IF(G45=$D$6*$D$7,$D$6*$D$8, IF(G45=$D$6*$D$8,$D$6*$D$9, IF(G45=$D$6*$D$9, $D$6, IF(AND((SUM(H$21:H44)-H$18)&lt;0,G45=""),$D$6*$D$7,"")))))</f>
        <v/>
      </c>
      <c r="I45" s="228" t="str">
        <f>IF(H45=$D$6,$D$6,IF(H45=$D$6*$D$7,$D$6*$D$8, IF(H45=$D$6*$D$8,$D$6*$D$9, IF(H45=$D$6*$D$9, $D$6, IF(AND((SUM(I$21:I44)-I$18)&lt;0,H45=""),$D$6*$D$7,"")))))</f>
        <v/>
      </c>
      <c r="J45" s="228" t="str">
        <f>IF(I45=$D$6,$D$6,IF(I45=$D$6*$D$7,$D$6*$D$8, IF(I45=$D$6*$D$8,$D$6*$D$9, IF(I45=$D$6*$D$9, $D$6, IF(AND((SUM(J$21:J44)-J$18)&lt;0,I45=""),$D$6*$D$7,"")))))</f>
        <v/>
      </c>
      <c r="K45" s="228" t="str">
        <f>IF(J45=$D$6,$D$6,IF(J45=$D$6*$D$7,$D$6*$D$8, IF(J45=$D$6*$D$8,$D$6*$D$9, IF(J45=$D$6*$D$9, $D$6, IF(AND((SUM(K$21:K44)-K$18)&lt;0,J45=""),$D$6*$D$7,"")))))</f>
        <v/>
      </c>
      <c r="L45" s="228" t="str">
        <f>IF(K45=$D$6,$D$6,IF(K45=$D$6*$D$7,$D$6*$D$8, IF(K45=$D$6*$D$8,$D$6*$D$9, IF(K45=$D$6*$D$9, $D$6, IF(AND((SUM(L$21:L44)-L$18)&lt;0,K45=""),$D$6*$D$7,"")))))</f>
        <v/>
      </c>
      <c r="M45" s="228" t="str">
        <f>IF(L45=$D$6,$D$6,IF(L45=$D$6*$D$7,$D$6*$D$8, IF(L45=$D$6*$D$8,$D$6*$D$9, IF(L45=$D$6*$D$9, $D$6, IF(AND((SUM(M$21:M44)-M$18)&lt;0,L45=""),$D$6*$D$7,"")))))</f>
        <v/>
      </c>
      <c r="N45" s="228" t="str">
        <f>IF(M45=$D$6,$D$6,IF(M45=$D$6*$D$7,$D$6*$D$8, IF(M45=$D$6*$D$8,$D$6*$D$9, IF(M45=$D$6*$D$9, $D$6, IF(AND((SUM(N$21:N44)-N$18)&lt;0,M45=""),$D$6*$D$7,"")))))</f>
        <v/>
      </c>
      <c r="O45" s="228" t="str">
        <f>IF(N45=$D$6,$D$6,IF(N45=$D$6*$D$7,$D$6*$D$8, IF(N45=$D$6*$D$8,$D$6*$D$9, IF(N45=$D$6*$D$9, $D$6, IF(AND((SUM(O$21:O44)-O$18)&lt;0,N45=""),$D$6*$D$7,"")))))</f>
        <v/>
      </c>
      <c r="P45" s="229" t="str">
        <f>IF(O45=$D$6,$D$6,IF(O45=$D$6*$D$7,$D$6*$D$8, IF(O45=$D$6*$D$8,$D$6*$D$9, IF(O45=$D$6*$D$9, $D$6, IF(AND((SUM(P$21:P44)-P$18)&lt;0,O45=""),$D$6*$D$7,"")))))</f>
        <v/>
      </c>
      <c r="Q45" s="227" t="str">
        <f>IF(P45=$D$6,$D$6,IF(P45=$D$6*$D$7,$D$6*$D$8, IF(P45=$D$6*$D$8,$D$6*$D$9, IF(P45=$D$6*$D$9, $D$6, IF(AND((SUM(Q$21:Q44)-Q$18)&lt;0,P45=""),$D$6*$D$7,"")))))</f>
        <v/>
      </c>
      <c r="R45" s="228" t="str">
        <f>IF(Q45=$D$6,$D$6,IF(Q45=$D$6*$D$7,$D$6*$D$8, IF(Q45=$D$6*$D$8,$D$6*$D$9, IF(Q45=$D$6*$D$9, $D$6, IF(AND((SUM(R$21:R44)-R$18)&lt;0,Q45=""),$D$6*$D$7,"")))))</f>
        <v/>
      </c>
      <c r="S45" s="228" t="str">
        <f>IF(R45=$D$6,$D$6,IF(R45=$D$6*$D$7,$D$6*$D$8, IF(R45=$D$6*$D$8,$D$6*$D$9, IF(R45=$D$6*$D$9, $D$6, IF(AND((SUM(S$21:S44)-S$18)&lt;0,R45=""),$D$6*$D$7,"")))))</f>
        <v/>
      </c>
      <c r="T45" s="228" t="str">
        <f>IF(S45=$D$6,$D$6,IF(S45=$D$6*$D$7,$D$6*$D$8, IF(S45=$D$6*$D$8,$D$6*$D$9, IF(S45=$D$6*$D$9, $D$6, IF(AND((SUM(T$21:T44)-T$18)&lt;0,S45=""),$D$6*$D$7,"")))))</f>
        <v/>
      </c>
      <c r="U45" s="228" t="str">
        <f>IF(T45=$D$6,$D$6,IF(T45=$D$6*$D$7,$D$6*$D$8, IF(T45=$D$6*$D$8,$D$6*$D$9, IF(T45=$D$6*$D$9, $D$6, IF(AND((SUM(U$21:U44)-U$18)&lt;0,T45=""),$D$6*$D$7,"")))))</f>
        <v/>
      </c>
      <c r="V45" s="228" t="str">
        <f>IF(U45=$D$6,$D$6,IF(U45=$D$6*$D$7,$D$6*$D$8, IF(U45=$D$6*$D$8,$D$6*$D$9, IF(U45=$D$6*$D$9, $D$6, IF(AND((SUM(V$21:V44)-V$18)&lt;0,U45=""),$D$6*$D$7,"")))))</f>
        <v/>
      </c>
      <c r="W45" s="228" t="str">
        <f>IF(V45=$D$6,$D$6,IF(V45=$D$6*$D$7,$D$6*$D$8, IF(V45=$D$6*$D$8,$D$6*$D$9, IF(V45=$D$6*$D$9, $D$6, IF(AND((SUM(W$21:W44)-W$18)&lt;0,V45=""),$D$6*$D$7,"")))))</f>
        <v/>
      </c>
      <c r="X45" s="228" t="str">
        <f>IF(W45=$D$6,$D$6,IF(W45=$D$6*$D$7,$D$6*$D$8, IF(W45=$D$6*$D$8,$D$6*$D$9, IF(W45=$D$6*$D$9, $D$6, IF(AND((SUM(X$21:X44)-X$18)&lt;0,W45=""),$D$6*$D$7,"")))))</f>
        <v/>
      </c>
      <c r="Y45" s="228" t="str">
        <f>IF(X45=$D$6,$D$6,IF(X45=$D$6*$D$7,$D$6*$D$8, IF(X45=$D$6*$D$8,$D$6*$D$9, IF(X45=$D$6*$D$9, $D$6, IF(AND((SUM(Y$21:Y44)-Y$18)&lt;0,X45=""),$D$6*$D$7,"")))))</f>
        <v/>
      </c>
      <c r="Z45" s="228" t="str">
        <f>IF(Y45=$D$6,$D$6,IF(Y45=$D$6*$D$7,$D$6*$D$8, IF(Y45=$D$6*$D$8,$D$6*$D$9, IF(Y45=$D$6*$D$9, $D$6, IF(AND((SUM(Z$21:Z44)-Z$18)&lt;0,Y45=""),$D$6*$D$7,"")))))</f>
        <v/>
      </c>
      <c r="AA45" s="228" t="str">
        <f>IF(Z45=$D$6,$D$6,IF(Z45=$D$6*$D$7,$D$6*$D$8, IF(Z45=$D$6*$D$8,$D$6*$D$9, IF(Z45=$D$6*$D$9, $D$6, IF(AND((SUM(AA$21:AA44)-AA$18)&lt;0,Z45=""),$D$6*$D$7,"")))))</f>
        <v/>
      </c>
      <c r="AB45" s="229" t="str">
        <f>IF(AA45=$D$6,$D$6,IF(AA45=$D$6*$D$7,$D$6*$D$8, IF(AA45=$D$6*$D$8,$D$6*$D$9, IF(AA45=$D$6*$D$9, $D$6, IF(AND((SUM(AB$21:AB44)-AB$18)&lt;0,AA45=""),$D$6*$D$7,"")))))</f>
        <v/>
      </c>
      <c r="AC45" s="146"/>
    </row>
    <row r="46" spans="1:29" s="168" customFormat="1">
      <c r="A46" s="166"/>
      <c r="B46" s="169"/>
      <c r="C46" s="166" t="s">
        <v>104</v>
      </c>
      <c r="D46" s="454">
        <f t="shared" ref="D46:AB46" si="0">SUM(D21:D45)</f>
        <v>200000</v>
      </c>
      <c r="E46" s="224">
        <f t="shared" si="0"/>
        <v>200000</v>
      </c>
      <c r="F46" s="225">
        <f t="shared" si="0"/>
        <v>260000</v>
      </c>
      <c r="G46" s="225">
        <f t="shared" si="0"/>
        <v>320000</v>
      </c>
      <c r="H46" s="225">
        <f t="shared" si="0"/>
        <v>380000</v>
      </c>
      <c r="I46" s="225">
        <f t="shared" si="0"/>
        <v>440000</v>
      </c>
      <c r="J46" s="225">
        <f t="shared" si="0"/>
        <v>440000</v>
      </c>
      <c r="K46" s="225">
        <f t="shared" si="0"/>
        <v>440000</v>
      </c>
      <c r="L46" s="225">
        <f t="shared" si="0"/>
        <v>440000</v>
      </c>
      <c r="M46" s="225">
        <f t="shared" si="0"/>
        <v>440000</v>
      </c>
      <c r="N46" s="225">
        <f t="shared" si="0"/>
        <v>440000</v>
      </c>
      <c r="O46" s="225">
        <f t="shared" si="0"/>
        <v>440000</v>
      </c>
      <c r="P46" s="226">
        <f t="shared" si="0"/>
        <v>440000</v>
      </c>
      <c r="Q46" s="224">
        <f t="shared" si="0"/>
        <v>440000</v>
      </c>
      <c r="R46" s="225">
        <f t="shared" si="0"/>
        <v>440000</v>
      </c>
      <c r="S46" s="225">
        <f t="shared" si="0"/>
        <v>440000</v>
      </c>
      <c r="T46" s="225">
        <f t="shared" si="0"/>
        <v>440000</v>
      </c>
      <c r="U46" s="225">
        <f t="shared" si="0"/>
        <v>440000</v>
      </c>
      <c r="V46" s="225">
        <f t="shared" si="0"/>
        <v>460000</v>
      </c>
      <c r="W46" s="225">
        <f t="shared" si="0"/>
        <v>480000</v>
      </c>
      <c r="X46" s="225">
        <f t="shared" si="0"/>
        <v>520000</v>
      </c>
      <c r="Y46" s="225">
        <f t="shared" si="0"/>
        <v>580000</v>
      </c>
      <c r="Z46" s="225">
        <f t="shared" si="0"/>
        <v>620000</v>
      </c>
      <c r="AA46" s="225">
        <f t="shared" si="0"/>
        <v>660000</v>
      </c>
      <c r="AB46" s="226">
        <f t="shared" si="0"/>
        <v>680000</v>
      </c>
      <c r="AC46" s="167"/>
    </row>
    <row r="47" spans="1:29" s="173" customFormat="1" ht="11">
      <c r="A47" s="171"/>
      <c r="B47" s="172"/>
      <c r="D47" s="174"/>
      <c r="E47" s="221"/>
      <c r="F47" s="222"/>
      <c r="G47" s="222"/>
      <c r="H47" s="222"/>
      <c r="I47" s="222"/>
      <c r="J47" s="222"/>
      <c r="K47" s="222"/>
      <c r="L47" s="222"/>
      <c r="M47" s="222"/>
      <c r="N47" s="222"/>
      <c r="O47" s="222"/>
      <c r="P47" s="223"/>
      <c r="Q47" s="221"/>
      <c r="R47" s="222"/>
      <c r="S47" s="222"/>
      <c r="T47" s="222"/>
      <c r="U47" s="222"/>
      <c r="V47" s="222"/>
      <c r="W47" s="222"/>
      <c r="X47" s="222"/>
      <c r="Y47" s="222"/>
      <c r="Z47" s="222"/>
      <c r="AA47" s="222"/>
      <c r="AB47" s="223"/>
      <c r="AC47" s="175"/>
    </row>
    <row r="48" spans="1:29" s="178" customFormat="1">
      <c r="A48" s="176"/>
      <c r="B48" s="177"/>
      <c r="C48" s="178" t="s">
        <v>105</v>
      </c>
      <c r="D48" s="183">
        <f t="shared" ref="D48:AB48" si="1">COUNTIF(D21:D45,"&gt;0")</f>
        <v>5</v>
      </c>
      <c r="E48" s="224">
        <f t="shared" si="1"/>
        <v>5</v>
      </c>
      <c r="F48" s="225">
        <f t="shared" si="1"/>
        <v>11</v>
      </c>
      <c r="G48" s="225">
        <f t="shared" si="1"/>
        <v>11</v>
      </c>
      <c r="H48" s="225">
        <f t="shared" si="1"/>
        <v>11</v>
      </c>
      <c r="I48" s="225">
        <f t="shared" si="1"/>
        <v>11</v>
      </c>
      <c r="J48" s="225">
        <f t="shared" si="1"/>
        <v>11</v>
      </c>
      <c r="K48" s="225">
        <f t="shared" si="1"/>
        <v>11</v>
      </c>
      <c r="L48" s="225">
        <f t="shared" si="1"/>
        <v>11</v>
      </c>
      <c r="M48" s="225">
        <f t="shared" si="1"/>
        <v>11</v>
      </c>
      <c r="N48" s="225">
        <f t="shared" si="1"/>
        <v>11</v>
      </c>
      <c r="O48" s="225">
        <f t="shared" si="1"/>
        <v>11</v>
      </c>
      <c r="P48" s="226">
        <f t="shared" si="1"/>
        <v>11</v>
      </c>
      <c r="Q48" s="224">
        <f t="shared" si="1"/>
        <v>11</v>
      </c>
      <c r="R48" s="225">
        <f t="shared" si="1"/>
        <v>11</v>
      </c>
      <c r="S48" s="225">
        <f t="shared" si="1"/>
        <v>11</v>
      </c>
      <c r="T48" s="225">
        <f t="shared" si="1"/>
        <v>11</v>
      </c>
      <c r="U48" s="225">
        <f t="shared" si="1"/>
        <v>11</v>
      </c>
      <c r="V48" s="225">
        <f t="shared" si="1"/>
        <v>13</v>
      </c>
      <c r="W48" s="225">
        <f t="shared" si="1"/>
        <v>13</v>
      </c>
      <c r="X48" s="225">
        <f t="shared" si="1"/>
        <v>15</v>
      </c>
      <c r="Y48" s="225">
        <f t="shared" si="1"/>
        <v>17</v>
      </c>
      <c r="Z48" s="225">
        <f t="shared" si="1"/>
        <v>17</v>
      </c>
      <c r="AA48" s="225">
        <f t="shared" si="1"/>
        <v>17</v>
      </c>
      <c r="AB48" s="226">
        <f t="shared" si="1"/>
        <v>17</v>
      </c>
      <c r="AC48" s="179"/>
    </row>
    <row r="49" spans="1:29" s="178" customFormat="1">
      <c r="A49" s="176"/>
      <c r="B49" s="177"/>
      <c r="D49" s="183"/>
      <c r="E49" s="224"/>
      <c r="F49" s="225"/>
      <c r="G49" s="225"/>
      <c r="H49" s="225"/>
      <c r="I49" s="225"/>
      <c r="J49" s="225"/>
      <c r="K49" s="225"/>
      <c r="L49" s="225"/>
      <c r="M49" s="225"/>
      <c r="N49" s="225"/>
      <c r="O49" s="225"/>
      <c r="P49" s="226"/>
      <c r="Q49" s="224"/>
      <c r="R49" s="225"/>
      <c r="S49" s="225"/>
      <c r="T49" s="225"/>
      <c r="U49" s="225"/>
      <c r="V49" s="225"/>
      <c r="W49" s="225"/>
      <c r="X49" s="225"/>
      <c r="Y49" s="225"/>
      <c r="Z49" s="225"/>
      <c r="AA49" s="225"/>
      <c r="AB49" s="226"/>
      <c r="AC49" s="179"/>
    </row>
    <row r="50" spans="1:29" s="182" customFormat="1">
      <c r="A50" s="180"/>
      <c r="B50" s="181"/>
      <c r="C50" s="182" t="s">
        <v>106</v>
      </c>
      <c r="D50" s="183"/>
      <c r="E50" s="227">
        <f t="shared" ref="E50:AB50" si="2">IF(COUNT(E21:E45)&lt;$H$6,0,IF(COUNT(E21:E45)&gt;$H$7,ROUNDUP(COUNT(E21:E45)/$H$7,0),1))</f>
        <v>1</v>
      </c>
      <c r="F50" s="228">
        <f t="shared" si="2"/>
        <v>2</v>
      </c>
      <c r="G50" s="228">
        <f t="shared" si="2"/>
        <v>2</v>
      </c>
      <c r="H50" s="228">
        <f t="shared" si="2"/>
        <v>2</v>
      </c>
      <c r="I50" s="228">
        <f t="shared" si="2"/>
        <v>2</v>
      </c>
      <c r="J50" s="228">
        <f t="shared" si="2"/>
        <v>2</v>
      </c>
      <c r="K50" s="228">
        <f t="shared" si="2"/>
        <v>2</v>
      </c>
      <c r="L50" s="228">
        <f t="shared" si="2"/>
        <v>2</v>
      </c>
      <c r="M50" s="228">
        <f t="shared" si="2"/>
        <v>2</v>
      </c>
      <c r="N50" s="228">
        <f t="shared" si="2"/>
        <v>2</v>
      </c>
      <c r="O50" s="228">
        <f t="shared" si="2"/>
        <v>2</v>
      </c>
      <c r="P50" s="229">
        <f t="shared" si="2"/>
        <v>2</v>
      </c>
      <c r="Q50" s="227">
        <f t="shared" si="2"/>
        <v>2</v>
      </c>
      <c r="R50" s="228">
        <f t="shared" si="2"/>
        <v>2</v>
      </c>
      <c r="S50" s="228">
        <f t="shared" si="2"/>
        <v>2</v>
      </c>
      <c r="T50" s="228">
        <f t="shared" si="2"/>
        <v>2</v>
      </c>
      <c r="U50" s="228">
        <f t="shared" si="2"/>
        <v>2</v>
      </c>
      <c r="V50" s="228">
        <f t="shared" si="2"/>
        <v>2</v>
      </c>
      <c r="W50" s="228">
        <f t="shared" si="2"/>
        <v>2</v>
      </c>
      <c r="X50" s="228">
        <f t="shared" si="2"/>
        <v>3</v>
      </c>
      <c r="Y50" s="228">
        <f t="shared" si="2"/>
        <v>3</v>
      </c>
      <c r="Z50" s="228">
        <f t="shared" si="2"/>
        <v>3</v>
      </c>
      <c r="AA50" s="228">
        <f t="shared" si="2"/>
        <v>3</v>
      </c>
      <c r="AB50" s="229">
        <f t="shared" si="2"/>
        <v>3</v>
      </c>
      <c r="AC50" s="184"/>
    </row>
    <row r="51" spans="1:29" s="182" customFormat="1">
      <c r="A51" s="180"/>
      <c r="B51" s="181"/>
      <c r="C51" s="182" t="s">
        <v>74</v>
      </c>
      <c r="D51" s="183"/>
      <c r="E51" s="227">
        <f t="shared" ref="E51:AB51" si="3">ROUNDUP(COUNT(E21:E45)/$H$8,0)</f>
        <v>2</v>
      </c>
      <c r="F51" s="228">
        <f t="shared" si="3"/>
        <v>4</v>
      </c>
      <c r="G51" s="228">
        <f t="shared" si="3"/>
        <v>4</v>
      </c>
      <c r="H51" s="228">
        <f t="shared" si="3"/>
        <v>4</v>
      </c>
      <c r="I51" s="228">
        <f t="shared" si="3"/>
        <v>4</v>
      </c>
      <c r="J51" s="228">
        <f t="shared" si="3"/>
        <v>4</v>
      </c>
      <c r="K51" s="228">
        <f t="shared" si="3"/>
        <v>4</v>
      </c>
      <c r="L51" s="228">
        <f t="shared" si="3"/>
        <v>4</v>
      </c>
      <c r="M51" s="228">
        <f t="shared" si="3"/>
        <v>4</v>
      </c>
      <c r="N51" s="228">
        <f t="shared" si="3"/>
        <v>4</v>
      </c>
      <c r="O51" s="228">
        <f t="shared" si="3"/>
        <v>4</v>
      </c>
      <c r="P51" s="229">
        <f t="shared" si="3"/>
        <v>4</v>
      </c>
      <c r="Q51" s="227">
        <f t="shared" si="3"/>
        <v>4</v>
      </c>
      <c r="R51" s="228">
        <f t="shared" si="3"/>
        <v>4</v>
      </c>
      <c r="S51" s="228">
        <f t="shared" si="3"/>
        <v>4</v>
      </c>
      <c r="T51" s="228">
        <f t="shared" si="3"/>
        <v>4</v>
      </c>
      <c r="U51" s="228">
        <f t="shared" si="3"/>
        <v>4</v>
      </c>
      <c r="V51" s="228">
        <f t="shared" si="3"/>
        <v>5</v>
      </c>
      <c r="W51" s="228">
        <f t="shared" si="3"/>
        <v>5</v>
      </c>
      <c r="X51" s="228">
        <f t="shared" si="3"/>
        <v>5</v>
      </c>
      <c r="Y51" s="228">
        <f t="shared" si="3"/>
        <v>6</v>
      </c>
      <c r="Z51" s="228">
        <f t="shared" si="3"/>
        <v>6</v>
      </c>
      <c r="AA51" s="228">
        <f t="shared" si="3"/>
        <v>6</v>
      </c>
      <c r="AB51" s="229">
        <f t="shared" si="3"/>
        <v>6</v>
      </c>
      <c r="AC51" s="184"/>
    </row>
    <row r="52" spans="1:29" s="182" customFormat="1">
      <c r="A52" s="180"/>
      <c r="B52" s="181"/>
      <c r="C52" s="182" t="s">
        <v>107</v>
      </c>
      <c r="D52" s="183"/>
      <c r="E52" s="230">
        <f t="shared" ref="E52:AB52" si="4">IF(E51&lt;$H$9,0,IF(E51&gt;$H$10,ROUNDUP(E51/$H$10,0),1))</f>
        <v>0</v>
      </c>
      <c r="F52" s="231">
        <f t="shared" si="4"/>
        <v>1</v>
      </c>
      <c r="G52" s="231">
        <f t="shared" si="4"/>
        <v>1</v>
      </c>
      <c r="H52" s="231">
        <f t="shared" si="4"/>
        <v>1</v>
      </c>
      <c r="I52" s="231">
        <f t="shared" si="4"/>
        <v>1</v>
      </c>
      <c r="J52" s="231">
        <f t="shared" si="4"/>
        <v>1</v>
      </c>
      <c r="K52" s="231">
        <f t="shared" si="4"/>
        <v>1</v>
      </c>
      <c r="L52" s="231">
        <f t="shared" si="4"/>
        <v>1</v>
      </c>
      <c r="M52" s="231">
        <f t="shared" si="4"/>
        <v>1</v>
      </c>
      <c r="N52" s="231">
        <f t="shared" si="4"/>
        <v>1</v>
      </c>
      <c r="O52" s="231">
        <f t="shared" si="4"/>
        <v>1</v>
      </c>
      <c r="P52" s="232">
        <f t="shared" si="4"/>
        <v>1</v>
      </c>
      <c r="Q52" s="230">
        <f t="shared" si="4"/>
        <v>1</v>
      </c>
      <c r="R52" s="231">
        <f t="shared" si="4"/>
        <v>1</v>
      </c>
      <c r="S52" s="231">
        <f t="shared" si="4"/>
        <v>1</v>
      </c>
      <c r="T52" s="231">
        <f t="shared" si="4"/>
        <v>1</v>
      </c>
      <c r="U52" s="231">
        <f t="shared" si="4"/>
        <v>1</v>
      </c>
      <c r="V52" s="231">
        <f t="shared" si="4"/>
        <v>1</v>
      </c>
      <c r="W52" s="231">
        <f t="shared" si="4"/>
        <v>1</v>
      </c>
      <c r="X52" s="231">
        <f t="shared" si="4"/>
        <v>1</v>
      </c>
      <c r="Y52" s="231">
        <f t="shared" si="4"/>
        <v>1</v>
      </c>
      <c r="Z52" s="231">
        <f t="shared" si="4"/>
        <v>1</v>
      </c>
      <c r="AA52" s="231">
        <f t="shared" si="4"/>
        <v>1</v>
      </c>
      <c r="AB52" s="232">
        <f t="shared" si="4"/>
        <v>1</v>
      </c>
      <c r="AC52" s="184"/>
    </row>
    <row r="53" spans="1:29" s="178" customFormat="1">
      <c r="A53" s="176"/>
      <c r="B53" s="185"/>
      <c r="C53" s="186"/>
      <c r="D53" s="272"/>
      <c r="E53" s="233"/>
      <c r="F53" s="234"/>
      <c r="G53" s="234"/>
      <c r="H53" s="234"/>
      <c r="I53" s="234"/>
      <c r="J53" s="234"/>
      <c r="K53" s="234"/>
      <c r="L53" s="234"/>
      <c r="M53" s="234"/>
      <c r="N53" s="234"/>
      <c r="O53" s="234"/>
      <c r="P53" s="235"/>
      <c r="Q53" s="233"/>
      <c r="R53" s="234"/>
      <c r="S53" s="234"/>
      <c r="T53" s="234"/>
      <c r="U53" s="234"/>
      <c r="V53" s="234"/>
      <c r="W53" s="234"/>
      <c r="X53" s="234"/>
      <c r="Y53" s="234"/>
      <c r="Z53" s="234"/>
      <c r="AA53" s="234"/>
      <c r="AB53" s="235"/>
      <c r="AC53" s="179"/>
    </row>
    <row r="54" spans="1:29" s="178" customFormat="1">
      <c r="A54" s="176"/>
      <c r="B54" s="245"/>
      <c r="C54" s="246" t="s">
        <v>108</v>
      </c>
      <c r="D54" s="273">
        <f t="shared" ref="D54:AA54" si="5">D48+D51+D50+D52</f>
        <v>5</v>
      </c>
      <c r="E54" s="247">
        <f t="shared" si="5"/>
        <v>8</v>
      </c>
      <c r="F54" s="248">
        <f t="shared" si="5"/>
        <v>18</v>
      </c>
      <c r="G54" s="248">
        <f t="shared" si="5"/>
        <v>18</v>
      </c>
      <c r="H54" s="248">
        <f t="shared" si="5"/>
        <v>18</v>
      </c>
      <c r="I54" s="248">
        <f t="shared" si="5"/>
        <v>18</v>
      </c>
      <c r="J54" s="248">
        <f t="shared" si="5"/>
        <v>18</v>
      </c>
      <c r="K54" s="248">
        <f t="shared" si="5"/>
        <v>18</v>
      </c>
      <c r="L54" s="248">
        <f t="shared" si="5"/>
        <v>18</v>
      </c>
      <c r="M54" s="248">
        <f t="shared" si="5"/>
        <v>18</v>
      </c>
      <c r="N54" s="248">
        <f t="shared" si="5"/>
        <v>18</v>
      </c>
      <c r="O54" s="248">
        <f t="shared" si="5"/>
        <v>18</v>
      </c>
      <c r="P54" s="249">
        <f t="shared" si="5"/>
        <v>18</v>
      </c>
      <c r="Q54" s="247">
        <f t="shared" si="5"/>
        <v>18</v>
      </c>
      <c r="R54" s="248">
        <f t="shared" si="5"/>
        <v>18</v>
      </c>
      <c r="S54" s="248">
        <f t="shared" si="5"/>
        <v>18</v>
      </c>
      <c r="T54" s="248">
        <f t="shared" si="5"/>
        <v>18</v>
      </c>
      <c r="U54" s="248">
        <f t="shared" si="5"/>
        <v>18</v>
      </c>
      <c r="V54" s="248">
        <f t="shared" si="5"/>
        <v>21</v>
      </c>
      <c r="W54" s="248">
        <f t="shared" si="5"/>
        <v>21</v>
      </c>
      <c r="X54" s="248">
        <f t="shared" si="5"/>
        <v>24</v>
      </c>
      <c r="Y54" s="248">
        <f t="shared" si="5"/>
        <v>27</v>
      </c>
      <c r="Z54" s="248">
        <f t="shared" si="5"/>
        <v>27</v>
      </c>
      <c r="AA54" s="248">
        <f t="shared" si="5"/>
        <v>27</v>
      </c>
      <c r="AB54" s="249">
        <f>AB48+AB51+AB50+AB52</f>
        <v>27</v>
      </c>
      <c r="AC54" s="179"/>
    </row>
    <row r="55" spans="1:29" s="182" customFormat="1" ht="14" thickBot="1">
      <c r="A55" s="180"/>
      <c r="B55" s="239"/>
      <c r="C55" s="240" t="s">
        <v>109</v>
      </c>
      <c r="D55" s="241"/>
      <c r="E55" s="242">
        <f t="shared" ref="E55:AB55" si="6">E54-D54</f>
        <v>3</v>
      </c>
      <c r="F55" s="243">
        <f t="shared" si="6"/>
        <v>10</v>
      </c>
      <c r="G55" s="243">
        <f t="shared" si="6"/>
        <v>0</v>
      </c>
      <c r="H55" s="243">
        <f t="shared" si="6"/>
        <v>0</v>
      </c>
      <c r="I55" s="243">
        <f t="shared" si="6"/>
        <v>0</v>
      </c>
      <c r="J55" s="243">
        <f t="shared" si="6"/>
        <v>0</v>
      </c>
      <c r="K55" s="243">
        <f t="shared" si="6"/>
        <v>0</v>
      </c>
      <c r="L55" s="243">
        <f t="shared" si="6"/>
        <v>0</v>
      </c>
      <c r="M55" s="243">
        <f t="shared" si="6"/>
        <v>0</v>
      </c>
      <c r="N55" s="243">
        <f t="shared" si="6"/>
        <v>0</v>
      </c>
      <c r="O55" s="243">
        <f t="shared" si="6"/>
        <v>0</v>
      </c>
      <c r="P55" s="244">
        <f t="shared" si="6"/>
        <v>0</v>
      </c>
      <c r="Q55" s="242">
        <f t="shared" si="6"/>
        <v>0</v>
      </c>
      <c r="R55" s="243">
        <f t="shared" si="6"/>
        <v>0</v>
      </c>
      <c r="S55" s="243">
        <f t="shared" si="6"/>
        <v>0</v>
      </c>
      <c r="T55" s="243">
        <f t="shared" si="6"/>
        <v>0</v>
      </c>
      <c r="U55" s="243">
        <f t="shared" si="6"/>
        <v>0</v>
      </c>
      <c r="V55" s="243">
        <f t="shared" si="6"/>
        <v>3</v>
      </c>
      <c r="W55" s="243">
        <f t="shared" si="6"/>
        <v>0</v>
      </c>
      <c r="X55" s="243">
        <f t="shared" si="6"/>
        <v>3</v>
      </c>
      <c r="Y55" s="243">
        <f t="shared" si="6"/>
        <v>3</v>
      </c>
      <c r="Z55" s="243">
        <f t="shared" si="6"/>
        <v>0</v>
      </c>
      <c r="AA55" s="243">
        <f t="shared" si="6"/>
        <v>0</v>
      </c>
      <c r="AB55" s="244">
        <f t="shared" si="6"/>
        <v>0</v>
      </c>
      <c r="AC55" s="184"/>
    </row>
    <row r="56" spans="1:29" s="178" customFormat="1" ht="14" thickBot="1">
      <c r="A56" s="176"/>
      <c r="B56" s="187"/>
      <c r="C56" s="188"/>
      <c r="D56" s="274"/>
      <c r="E56" s="236"/>
      <c r="F56" s="237"/>
      <c r="G56" s="237"/>
      <c r="H56" s="237"/>
      <c r="I56" s="237"/>
      <c r="J56" s="237"/>
      <c r="K56" s="237"/>
      <c r="L56" s="237"/>
      <c r="M56" s="237"/>
      <c r="N56" s="237"/>
      <c r="O56" s="237"/>
      <c r="P56" s="238"/>
      <c r="Q56" s="236"/>
      <c r="R56" s="237"/>
      <c r="S56" s="237"/>
      <c r="T56" s="237"/>
      <c r="U56" s="237"/>
      <c r="V56" s="237"/>
      <c r="W56" s="237"/>
      <c r="X56" s="237"/>
      <c r="Y56" s="237"/>
      <c r="Z56" s="237"/>
      <c r="AA56" s="237"/>
      <c r="AB56" s="238"/>
      <c r="AC56" s="179"/>
    </row>
    <row r="57" spans="1:29" s="189" customFormat="1">
      <c r="B57" s="190"/>
      <c r="C57" s="190"/>
      <c r="D57" s="190"/>
      <c r="E57" s="191"/>
      <c r="F57" s="191"/>
      <c r="G57" s="191"/>
      <c r="H57" s="191"/>
      <c r="I57" s="191"/>
      <c r="J57" s="191"/>
      <c r="K57" s="191"/>
      <c r="L57" s="191"/>
      <c r="M57" s="191"/>
      <c r="N57" s="191"/>
      <c r="O57" s="191"/>
      <c r="P57" s="191"/>
      <c r="Q57" s="191"/>
      <c r="R57" s="191"/>
      <c r="S57" s="191"/>
      <c r="T57" s="191"/>
      <c r="U57" s="191"/>
      <c r="V57" s="191"/>
      <c r="W57" s="191"/>
      <c r="X57" s="191"/>
      <c r="Y57" s="191"/>
      <c r="Z57" s="191"/>
      <c r="AA57" s="191"/>
      <c r="AB57" s="191"/>
    </row>
    <row r="58" spans="1:29">
      <c r="B58" s="540" t="s">
        <v>287</v>
      </c>
      <c r="C58" s="540"/>
      <c r="D58" s="540"/>
      <c r="E58" s="540"/>
      <c r="F58" s="47"/>
      <c r="P58" s="539" t="s">
        <v>288</v>
      </c>
      <c r="Q58" s="539"/>
      <c r="R58" s="539"/>
      <c r="S58" s="539"/>
      <c r="T58" s="539"/>
      <c r="U58" s="539"/>
      <c r="V58" s="539"/>
      <c r="W58" s="539"/>
      <c r="X58" s="539"/>
      <c r="Y58" s="539"/>
      <c r="Z58" s="539"/>
      <c r="AA58" s="539"/>
      <c r="AB58" s="539"/>
    </row>
    <row r="59" spans="1:29">
      <c r="B59" s="541" t="s">
        <v>291</v>
      </c>
      <c r="C59" s="541"/>
      <c r="D59" s="541"/>
      <c r="E59" s="541"/>
      <c r="F59" s="541"/>
      <c r="P59" s="527"/>
      <c r="Q59" s="527"/>
      <c r="R59" s="527"/>
      <c r="S59" s="527"/>
      <c r="T59" s="527"/>
      <c r="U59" s="527"/>
      <c r="V59" s="527"/>
      <c r="W59" s="542" t="s">
        <v>286</v>
      </c>
      <c r="X59" s="542"/>
      <c r="Y59" s="542"/>
      <c r="Z59" s="542"/>
      <c r="AA59" s="542"/>
      <c r="AB59" s="542"/>
    </row>
    <row r="60" spans="1:29">
      <c r="B60" s="136"/>
      <c r="C60" s="136"/>
      <c r="D60" s="280"/>
      <c r="E60" s="280"/>
      <c r="F60" s="280"/>
    </row>
  </sheetData>
  <mergeCells count="13">
    <mergeCell ref="O10:U10"/>
    <mergeCell ref="V10:Y10"/>
    <mergeCell ref="O3:U3"/>
    <mergeCell ref="V3:X3"/>
    <mergeCell ref="C5:D5"/>
    <mergeCell ref="Y5:AB8"/>
    <mergeCell ref="V9:Y9"/>
    <mergeCell ref="P58:AB58"/>
    <mergeCell ref="W59:AB59"/>
    <mergeCell ref="B58:E58"/>
    <mergeCell ref="B59:F59"/>
    <mergeCell ref="E15:P15"/>
    <mergeCell ref="Q15:AB15"/>
  </mergeCells>
  <hyperlinks>
    <hyperlink ref="B58" r:id="rId1" display="Template created by Christoph Janz"/>
    <hyperlink ref="B59" r:id="rId2"/>
    <hyperlink ref="C59" r:id="rId3" display="http://www.theangelvc.net/2016/03/saas-financial-plan-20.html"/>
    <hyperlink ref="D59" r:id="rId4" display="http://www.theangelvc.net/2016/03/saas-financial-plan-20.html"/>
    <hyperlink ref="E59" r:id="rId5" display="http://www.theangelvc.net/2016/03/saas-financial-plan-20.html"/>
    <hyperlink ref="F59" r:id="rId6" display="http://www.theangelvc.net/2016/03/saas-financial-plan-20.html"/>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81:Y183"/>
  <sheetViews>
    <sheetView workbookViewId="0">
      <selection activeCell="B182" sqref="B182:F182"/>
    </sheetView>
  </sheetViews>
  <sheetFormatPr baseColWidth="10" defaultRowHeight="12" x14ac:dyDescent="0"/>
  <cols>
    <col min="1" max="1" width="2.6640625" style="521" customWidth="1"/>
    <col min="2" max="16384" width="10.83203125" style="521"/>
  </cols>
  <sheetData>
    <row r="181" spans="2:25">
      <c r="B181" s="540" t="s">
        <v>287</v>
      </c>
      <c r="C181" s="540"/>
      <c r="D181" s="540"/>
      <c r="E181" s="540"/>
      <c r="F181" s="47"/>
      <c r="M181" s="539" t="s">
        <v>288</v>
      </c>
      <c r="N181" s="539"/>
      <c r="O181" s="539"/>
      <c r="P181" s="539"/>
      <c r="Q181" s="539"/>
      <c r="R181" s="539"/>
      <c r="S181" s="539"/>
      <c r="T181" s="539"/>
      <c r="U181" s="539"/>
      <c r="V181" s="539"/>
      <c r="W181" s="539"/>
      <c r="X181" s="539"/>
      <c r="Y181" s="539"/>
    </row>
    <row r="182" spans="2:25">
      <c r="B182" s="541" t="s">
        <v>291</v>
      </c>
      <c r="C182" s="541"/>
      <c r="D182" s="541"/>
      <c r="E182" s="541"/>
      <c r="F182" s="541"/>
      <c r="M182" s="527"/>
      <c r="N182" s="527"/>
      <c r="O182" s="527"/>
      <c r="P182" s="527"/>
      <c r="Q182" s="527"/>
      <c r="R182" s="527"/>
      <c r="S182" s="527"/>
      <c r="T182" s="527"/>
      <c r="U182" s="542" t="s">
        <v>286</v>
      </c>
      <c r="V182" s="542"/>
      <c r="W182" s="542"/>
      <c r="X182" s="542"/>
      <c r="Y182" s="542"/>
    </row>
    <row r="183" spans="2:25">
      <c r="B183" s="136"/>
      <c r="C183" s="136"/>
      <c r="D183" s="280"/>
      <c r="E183" s="280"/>
      <c r="F183" s="280"/>
    </row>
  </sheetData>
  <mergeCells count="4">
    <mergeCell ref="B181:E181"/>
    <mergeCell ref="B182:F182"/>
    <mergeCell ref="M181:Y181"/>
    <mergeCell ref="U182:Y182"/>
  </mergeCells>
  <hyperlinks>
    <hyperlink ref="B181" r:id="rId1" display="Template created by Christoph Janz"/>
    <hyperlink ref="B182" r:id="rId2"/>
    <hyperlink ref="C182" r:id="rId3" display="http://www.theangelvc.net/2016/03/saas-financial-plan-20.html"/>
    <hyperlink ref="D182" r:id="rId4" display="http://www.theangelvc.net/2016/03/saas-financial-plan-20.html"/>
    <hyperlink ref="E182" r:id="rId5" display="http://www.theangelvc.net/2016/03/saas-financial-plan-20.html"/>
    <hyperlink ref="F182" r:id="rId6" display="http://www.theangelvc.net/2016/03/saas-financial-plan-20.html"/>
  </hyperlinks>
  <pageMargins left="0.75" right="0.75" top="1" bottom="1" header="0.5" footer="0.5"/>
  <drawing r:id="rId7"/>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Summary</vt:lpstr>
      <vt:lpstr>Revenues</vt:lpstr>
      <vt:lpstr>Costs</vt:lpstr>
      <vt:lpstr>Sales Team Hiring Plan</vt:lpstr>
      <vt:lpstr>All charts on one page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Janz</dc:creator>
  <cp:lastModifiedBy>Christoph Janz</cp:lastModifiedBy>
  <cp:lastPrinted>2016-03-09T17:51:07Z</cp:lastPrinted>
  <dcterms:created xsi:type="dcterms:W3CDTF">2016-03-09T09:39:34Z</dcterms:created>
  <dcterms:modified xsi:type="dcterms:W3CDTF">2017-10-10T15:22:46Z</dcterms:modified>
</cp:coreProperties>
</file>