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Projetos_Jupyter\Rigidez\"/>
    </mc:Choice>
  </mc:AlternateContent>
  <xr:revisionPtr revIDLastSave="0" documentId="13_ncr:1_{F0E4976D-9F5B-4989-B511-744B10E897FF}" xr6:coauthVersionLast="45" xr6:coauthVersionMax="45" xr10:uidLastSave="{00000000-0000-0000-0000-000000000000}"/>
  <bookViews>
    <workbookView xWindow="-120" yWindow="540" windowWidth="20730" windowHeight="10500" firstSheet="2" activeTab="6" xr2:uid="{1665CD8A-9893-4860-B87B-882F0EBDEECA}"/>
  </bookViews>
  <sheets>
    <sheet name="Estatística_Descritiva" sheetId="1" r:id="rId1"/>
    <sheet name="Probabilidade" sheetId="2" r:id="rId2"/>
    <sheet name="Intervalo_Confiança" sheetId="4" r:id="rId3"/>
    <sheet name="Teste_Hipótese" sheetId="5" r:id="rId4"/>
    <sheet name="Análise Erros" sheetId="6" r:id="rId5"/>
    <sheet name="Correlação" sheetId="7" r:id="rId6"/>
    <sheet name="Regressão" sheetId="8" r:id="rId7"/>
  </sheets>
  <definedNames>
    <definedName name="_xlchart.v1.0" hidden="1">Estatística_Descritiva!$F$1</definedName>
    <definedName name="_xlchart.v1.1" hidden="1">Estatística_Descritiva!$F$2:$F$27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8" l="1"/>
  <c r="D50" i="8"/>
  <c r="D44" i="8"/>
  <c r="C36" i="8" l="1"/>
  <c r="C32" i="8"/>
  <c r="B32" i="8"/>
  <c r="K23" i="7"/>
  <c r="L21" i="7"/>
  <c r="J23" i="7"/>
  <c r="K21" i="7"/>
  <c r="J13" i="7"/>
  <c r="J11" i="7"/>
  <c r="D5" i="8" l="1"/>
  <c r="D12" i="8"/>
  <c r="D15" i="8"/>
  <c r="D17" i="8"/>
  <c r="D24" i="8"/>
  <c r="D13" i="8"/>
  <c r="D25" i="8"/>
  <c r="D11" i="8"/>
  <c r="D26" i="8"/>
  <c r="D22" i="8"/>
  <c r="D10" i="8"/>
  <c r="D27" i="8"/>
  <c r="D29" i="8"/>
  <c r="D18" i="8"/>
  <c r="D7" i="8"/>
  <c r="D6" i="8"/>
  <c r="D20" i="8"/>
  <c r="D8" i="8"/>
  <c r="D23" i="8"/>
  <c r="D16" i="8"/>
  <c r="D28" i="8"/>
  <c r="D19" i="8"/>
  <c r="D4" i="8"/>
  <c r="D21" i="8"/>
  <c r="D14" i="8"/>
  <c r="D9" i="8"/>
  <c r="E22" i="8"/>
  <c r="G22" i="8" s="1"/>
  <c r="E20" i="8"/>
  <c r="G20" i="8" s="1"/>
  <c r="E16" i="8"/>
  <c r="G16" i="8" s="1"/>
  <c r="E9" i="8"/>
  <c r="G9" i="8" s="1"/>
  <c r="E5" i="8"/>
  <c r="G5" i="8" s="1"/>
  <c r="E12" i="8"/>
  <c r="G12" i="8" s="1"/>
  <c r="E15" i="8"/>
  <c r="G15" i="8" s="1"/>
  <c r="E17" i="8"/>
  <c r="G17" i="8" s="1"/>
  <c r="E24" i="8"/>
  <c r="G24" i="8" s="1"/>
  <c r="E18" i="8"/>
  <c r="G18" i="8" s="1"/>
  <c r="E4" i="8"/>
  <c r="E21" i="8"/>
  <c r="G21" i="8" s="1"/>
  <c r="E10" i="8"/>
  <c r="G10" i="8" s="1"/>
  <c r="E27" i="8"/>
  <c r="G27" i="8" s="1"/>
  <c r="E29" i="8"/>
  <c r="G29" i="8" s="1"/>
  <c r="E8" i="8"/>
  <c r="G8" i="8" s="1"/>
  <c r="E25" i="8"/>
  <c r="G25" i="8" s="1"/>
  <c r="E6" i="8"/>
  <c r="G6" i="8" s="1"/>
  <c r="E11" i="8"/>
  <c r="G11" i="8" s="1"/>
  <c r="E14" i="8"/>
  <c r="G14" i="8" s="1"/>
  <c r="E28" i="8"/>
  <c r="G28" i="8" s="1"/>
  <c r="E19" i="8"/>
  <c r="G19" i="8" s="1"/>
  <c r="E26" i="8"/>
  <c r="G26" i="8" s="1"/>
  <c r="E13" i="8"/>
  <c r="G13" i="8" s="1"/>
  <c r="E23" i="8"/>
  <c r="G23" i="8" s="1"/>
  <c r="E7" i="8"/>
  <c r="G7" i="8" s="1"/>
  <c r="G4" i="8"/>
  <c r="M21" i="7"/>
  <c r="F17" i="6"/>
  <c r="G17" i="6"/>
  <c r="H11" i="8" l="1"/>
  <c r="F11" i="8"/>
  <c r="E30" i="8"/>
  <c r="H18" i="8"/>
  <c r="F18" i="8"/>
  <c r="F29" i="8"/>
  <c r="H29" i="8"/>
  <c r="H24" i="8"/>
  <c r="F24" i="8"/>
  <c r="F7" i="8"/>
  <c r="H7" i="8"/>
  <c r="F13" i="8"/>
  <c r="H13" i="8"/>
  <c r="F17" i="8"/>
  <c r="H17" i="8"/>
  <c r="F6" i="8"/>
  <c r="H6" i="8"/>
  <c r="F25" i="8"/>
  <c r="H25" i="8"/>
  <c r="H15" i="8"/>
  <c r="F15" i="8"/>
  <c r="D30" i="8"/>
  <c r="G30" i="8"/>
  <c r="H28" i="8"/>
  <c r="F28" i="8"/>
  <c r="H16" i="8"/>
  <c r="F16" i="8"/>
  <c r="F23" i="8"/>
  <c r="H23" i="8"/>
  <c r="F9" i="8"/>
  <c r="H9" i="8"/>
  <c r="H8" i="8"/>
  <c r="F8" i="8"/>
  <c r="F22" i="8"/>
  <c r="H22" i="8"/>
  <c r="F12" i="8"/>
  <c r="H12" i="8"/>
  <c r="F21" i="8"/>
  <c r="H21" i="8"/>
  <c r="H4" i="8"/>
  <c r="F4" i="8"/>
  <c r="F30" i="8" s="1"/>
  <c r="H19" i="8"/>
  <c r="F19" i="8"/>
  <c r="H27" i="8"/>
  <c r="F27" i="8"/>
  <c r="F10" i="8"/>
  <c r="H10" i="8"/>
  <c r="H14" i="8"/>
  <c r="F14" i="8"/>
  <c r="F20" i="8"/>
  <c r="H20" i="8"/>
  <c r="H26" i="8"/>
  <c r="F26" i="8"/>
  <c r="F5" i="8"/>
  <c r="H5" i="8"/>
  <c r="O7" i="6"/>
  <c r="O8" i="6" s="1"/>
  <c r="H17" i="6"/>
  <c r="N13" i="6"/>
  <c r="P7" i="6"/>
  <c r="P8" i="6" s="1"/>
  <c r="G21" i="6" s="1"/>
  <c r="H22" i="6" s="1"/>
  <c r="Q7" i="6"/>
  <c r="Q8" i="6" s="1"/>
  <c r="F18" i="4"/>
  <c r="G18" i="4"/>
  <c r="H18" i="4"/>
  <c r="M15" i="4"/>
  <c r="N15" i="4" s="1"/>
  <c r="O20" i="4"/>
  <c r="A21" i="5"/>
  <c r="H30" i="8" l="1"/>
  <c r="D43" i="8" s="1"/>
  <c r="R8" i="6"/>
  <c r="P15" i="4"/>
  <c r="Q20" i="4" s="1"/>
  <c r="Q15" i="4"/>
  <c r="S20" i="4" s="1"/>
  <c r="N14" i="5"/>
  <c r="F17" i="5"/>
  <c r="G17" i="5"/>
  <c r="H17" i="5"/>
  <c r="D29" i="5"/>
  <c r="D30" i="5" s="1"/>
  <c r="C34" i="8" l="1"/>
  <c r="D31" i="5"/>
  <c r="D32" i="5" s="1"/>
  <c r="H16" i="2" l="1"/>
  <c r="F16" i="2"/>
  <c r="F36" i="1"/>
  <c r="G16" i="2"/>
  <c r="Q6" i="2" l="1"/>
  <c r="Q7" i="2" s="1"/>
  <c r="O6" i="2"/>
  <c r="O7" i="2" s="1"/>
  <c r="P6" i="2"/>
  <c r="P7" i="2" s="1"/>
  <c r="R7" i="2" l="1"/>
  <c r="F35" i="1" l="1"/>
  <c r="F34" i="1"/>
  <c r="F33" i="1"/>
  <c r="F32" i="1"/>
  <c r="F31" i="1"/>
  <c r="F30" i="1"/>
  <c r="F29" i="1"/>
  <c r="F28" i="1"/>
</calcChain>
</file>

<file path=xl/sharedStrings.xml><?xml version="1.0" encoding="utf-8"?>
<sst xmlns="http://schemas.openxmlformats.org/spreadsheetml/2006/main" count="143" uniqueCount="103">
  <si>
    <t>cargas</t>
  </si>
  <si>
    <t>forca</t>
  </si>
  <si>
    <t>Lo</t>
  </si>
  <si>
    <t>L</t>
  </si>
  <si>
    <t>MÉDIA</t>
  </si>
  <si>
    <t>DESVIO PADRÃO</t>
  </si>
  <si>
    <t>1o Quartil</t>
  </si>
  <si>
    <t>Mediana (2o Quartil)</t>
  </si>
  <si>
    <t>3o Quartil</t>
  </si>
  <si>
    <t>Máximo</t>
  </si>
  <si>
    <t>Mínimo</t>
  </si>
  <si>
    <t>Distância Interquartil (IQR)</t>
  </si>
  <si>
    <t>Rigidez (K)</t>
  </si>
  <si>
    <t>Deformação (x)</t>
  </si>
  <si>
    <t>Probabilidades:</t>
  </si>
  <si>
    <t>µ</t>
  </si>
  <si>
    <t>σ</t>
  </si>
  <si>
    <r>
      <t>x</t>
    </r>
    <r>
      <rPr>
        <b/>
        <vertAlign val="subscript"/>
        <sz val="14"/>
        <color theme="1"/>
        <rFont val="Calibri"/>
        <family val="2"/>
        <scheme val="minor"/>
      </rPr>
      <t>1</t>
    </r>
  </si>
  <si>
    <r>
      <t>x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</si>
  <si>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P(X &lt; x</t>
    </r>
    <r>
      <rPr>
        <b/>
        <vertAlign val="subscript"/>
        <sz val="14"/>
        <color theme="1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>)</t>
    </r>
  </si>
  <si>
    <r>
      <t>P(x</t>
    </r>
    <r>
      <rPr>
        <b/>
        <vertAlign val="subscript"/>
        <sz val="14"/>
        <color theme="1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 xml:space="preserve"> &lt; X &lt; x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)</t>
    </r>
  </si>
  <si>
    <r>
      <t>P(X &gt; x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)</t>
    </r>
  </si>
  <si>
    <t>Soma:</t>
  </si>
  <si>
    <t>(µ-σ)</t>
  </si>
  <si>
    <t>(µ)</t>
  </si>
  <si>
    <t>(µ+σ)</t>
  </si>
  <si>
    <t>Desvio padrão das médias</t>
  </si>
  <si>
    <t>PROBABILIDADE DE UMA CONSTANTE ELÁSTICA (RIGIDEZ) SER menor que 31,2 N/m</t>
  </si>
  <si>
    <t>PROBABILIDADE DE UMA CONSTANTE ELÁSTICA (RIGIDEZ) SER maior que 32 N/m</t>
  </si>
  <si>
    <t>Menor que 31,2 = 1,9%</t>
  </si>
  <si>
    <t>Maior que 32 = 79,39%</t>
  </si>
  <si>
    <t>Probabilidade inversa (cumulativa)</t>
  </si>
  <si>
    <t>p</t>
  </si>
  <si>
    <t>Cálculo do p-valor</t>
  </si>
  <si>
    <t>Distribuição Z</t>
  </si>
  <si>
    <t>n</t>
  </si>
  <si>
    <t>(Teste unilateral à esquerda)</t>
  </si>
  <si>
    <t>(Teste unilateral à direita)</t>
  </si>
  <si>
    <t>(Teste bilateral)</t>
  </si>
  <si>
    <t>TESTE DE HIPÓTESE: Unilateral à direita</t>
  </si>
  <si>
    <t>Zc</t>
  </si>
  <si>
    <t>Cálculo z*</t>
  </si>
  <si>
    <t>H0: k = 31,2N/m</t>
  </si>
  <si>
    <t>Pelo teste, a chance de errar é zero na aprovação da condição H1 e reprovação de Ho. Lote rejeitado</t>
  </si>
  <si>
    <t>INTERVALO DE CONFIANÇA</t>
  </si>
  <si>
    <t>k</t>
  </si>
  <si>
    <t xml:space="preserve">Intervalo de confiança com </t>
  </si>
  <si>
    <t>está entre</t>
  </si>
  <si>
    <t>mínimo</t>
  </si>
  <si>
    <t>máximo</t>
  </si>
  <si>
    <t>e</t>
  </si>
  <si>
    <t>Intervalo de Confiança      =</t>
  </si>
  <si>
    <t>H1: Lote reprovado se k &gt; 31.2 N/m (Cliente comprou molas com constante elástica de 31 N/m com valor máximo de 31,2 N/m)</t>
  </si>
  <si>
    <t>Nível significância (alfa) = 5% então p = 95%</t>
  </si>
  <si>
    <t>ANÁLISES DOS ERROS TIPO I (Erro ao rejeitar Ho) e TIPO II (Erro de não rejeitar Ho)</t>
  </si>
  <si>
    <t>Média nominal</t>
  </si>
  <si>
    <t>CONCLUSÃO:</t>
  </si>
  <si>
    <t>Probabilidade de errar ao rejeitar Ho (erro tipo 1) é de :</t>
  </si>
  <si>
    <t>Como z*&gt; Zc, então o lote foi reprovado (Rejeitou Ho).</t>
  </si>
  <si>
    <t xml:space="preserve">Situação: Cliente comprou molas com constante elástica de 32 (+/- 0,5)N/m. </t>
  </si>
  <si>
    <t>As amostras estão no intervalo: 31,49 &gt;=  Ho &lt;= 32,03 (aceitação de Ho).</t>
  </si>
  <si>
    <t>Probabilidade de cair na região de aceitação é de :</t>
  </si>
  <si>
    <t>COVARIÂNCIA</t>
  </si>
  <si>
    <t>COEF. CORRELAÇÃO</t>
  </si>
  <si>
    <t>Probabilidade inversa (cumulativa) - distribuição t</t>
  </si>
  <si>
    <t>ν</t>
  </si>
  <si>
    <t>α</t>
  </si>
  <si>
    <t>Teste de Hipótese Linear</t>
  </si>
  <si>
    <t>Cálculo do t*</t>
  </si>
  <si>
    <t xml:space="preserve">Nível de significância </t>
  </si>
  <si>
    <r>
      <t>tc</t>
    </r>
    <r>
      <rPr>
        <vertAlign val="subscript"/>
        <sz val="18"/>
        <color rgb="FF3C4743"/>
        <rFont val="Calibri"/>
        <family val="2"/>
        <scheme val="minor"/>
      </rPr>
      <t xml:space="preserve"> </t>
    </r>
  </si>
  <si>
    <t>Ho: p = 0 assume que não há associação entre as variáveis (independentes) e H1 : p !=0 assume que as variáveis são dependentes.</t>
  </si>
  <si>
    <t>Como deu positivo, significa que a correlação entre as grandezas força e deformação é positiva.</t>
  </si>
  <si>
    <t>Valor muito próximo de 1, assim a correlação é linear e muito forte entre a força e a deformação</t>
  </si>
  <si>
    <t>Portanto, como |t*| &gt; |tc|, Ho é rejeitado e há evidência significativa da correlação entre as grandezas força e deformação.</t>
  </si>
  <si>
    <t>CORRELAÇÃO ENTRE GRANDEZAS</t>
  </si>
  <si>
    <t>(Para verificar se a correlação é estatisticamente significativa entre as grandezas)</t>
  </si>
  <si>
    <r>
      <t>x</t>
    </r>
    <r>
      <rPr>
        <b/>
        <vertAlign val="subscript"/>
        <sz val="12"/>
        <rFont val="Calibri"/>
        <family val="2"/>
        <scheme val="minor"/>
      </rPr>
      <t>i</t>
    </r>
    <r>
      <rPr>
        <b/>
        <sz val="12"/>
        <rFont val="Calibri"/>
        <family val="2"/>
        <scheme val="minor"/>
      </rPr>
      <t xml:space="preserve"> - </t>
    </r>
  </si>
  <si>
    <r>
      <t>y</t>
    </r>
    <r>
      <rPr>
        <b/>
        <vertAlign val="subscript"/>
        <sz val="12"/>
        <rFont val="Calibri"/>
        <family val="2"/>
        <scheme val="minor"/>
      </rPr>
      <t>i</t>
    </r>
    <r>
      <rPr>
        <b/>
        <sz val="12"/>
        <rFont val="Calibri"/>
        <family val="2"/>
        <scheme val="minor"/>
      </rPr>
      <t xml:space="preserve"> - </t>
    </r>
  </si>
  <si>
    <r>
      <t>(x</t>
    </r>
    <r>
      <rPr>
        <b/>
        <vertAlign val="subscript"/>
        <sz val="12"/>
        <rFont val="Calibri"/>
        <family val="2"/>
        <scheme val="minor"/>
      </rPr>
      <t>i</t>
    </r>
    <r>
      <rPr>
        <b/>
        <sz val="12"/>
        <rFont val="Calibri"/>
        <family val="2"/>
        <scheme val="minor"/>
      </rPr>
      <t xml:space="preserve"> -  )</t>
    </r>
    <r>
      <rPr>
        <b/>
        <vertAlign val="superscript"/>
        <sz val="12"/>
        <rFont val="Calibri"/>
        <family val="2"/>
        <scheme val="minor"/>
      </rPr>
      <t>2</t>
    </r>
  </si>
  <si>
    <r>
      <t>(y</t>
    </r>
    <r>
      <rPr>
        <b/>
        <vertAlign val="subscript"/>
        <sz val="12"/>
        <rFont val="Calibri"/>
        <family val="2"/>
        <scheme val="minor"/>
      </rPr>
      <t>i</t>
    </r>
    <r>
      <rPr>
        <b/>
        <sz val="12"/>
        <rFont val="Calibri"/>
        <family val="2"/>
        <scheme val="minor"/>
      </rPr>
      <t xml:space="preserve"> -  )</t>
    </r>
    <r>
      <rPr>
        <b/>
        <vertAlign val="superscript"/>
        <sz val="12"/>
        <rFont val="Calibri"/>
        <family val="2"/>
        <scheme val="minor"/>
      </rPr>
      <t>2</t>
    </r>
  </si>
  <si>
    <r>
      <t>(x</t>
    </r>
    <r>
      <rPr>
        <b/>
        <vertAlign val="subscript"/>
        <sz val="12"/>
        <rFont val="Calibri"/>
        <family val="2"/>
        <scheme val="minor"/>
      </rPr>
      <t>i</t>
    </r>
    <r>
      <rPr>
        <b/>
        <sz val="12"/>
        <rFont val="Calibri"/>
        <family val="2"/>
        <scheme val="minor"/>
      </rPr>
      <t xml:space="preserve"> -  )(y</t>
    </r>
    <r>
      <rPr>
        <b/>
        <vertAlign val="subscript"/>
        <sz val="12"/>
        <rFont val="Calibri"/>
        <family val="2"/>
        <scheme val="minor"/>
      </rPr>
      <t>i</t>
    </r>
    <r>
      <rPr>
        <b/>
        <sz val="12"/>
        <rFont val="Calibri"/>
        <family val="2"/>
        <scheme val="minor"/>
      </rPr>
      <t xml:space="preserve"> -  )</t>
    </r>
  </si>
  <si>
    <t>Total</t>
  </si>
  <si>
    <t>Médias</t>
  </si>
  <si>
    <t>Coef. Correlação</t>
  </si>
  <si>
    <t>Força (N)</t>
  </si>
  <si>
    <t>Cálculo da correlação através dos desvios e da fórmula.</t>
  </si>
  <si>
    <t>REGRESSÃO LINEAR</t>
  </si>
  <si>
    <t>Cálculo do coefiente b</t>
  </si>
  <si>
    <t>Cálculo do coeficiente a</t>
  </si>
  <si>
    <t>Deformação (m)</t>
  </si>
  <si>
    <t>Coeficiente angular é a constante elástica ou rigidez da mola</t>
  </si>
  <si>
    <t>Coeficiente linear deve ser um valor próximo a zero, pois quando a força for zero a deformação também é zero.</t>
  </si>
  <si>
    <t>O coeficiente angular é 30,44 (N/m), equivale à constante elástica ou rigidez da mola.</t>
  </si>
  <si>
    <t>E o coeficiente linear é de 0,0359.</t>
  </si>
  <si>
    <t>Pela equação extraída no ajuste de reta no gráfico:</t>
  </si>
  <si>
    <t>Observação: Os valores obtidos pelo cálculo e pelo ajuste de reta são praticamente iguais, assim a equação da reta para este problema é:</t>
  </si>
  <si>
    <t>F = 0,04 + 30,44.x</t>
  </si>
  <si>
    <t>x = Deformação (m)</t>
  </si>
  <si>
    <t>Previsão da força</t>
  </si>
  <si>
    <t>Previsão da Deformação</t>
  </si>
  <si>
    <t>Deformação(m)</t>
  </si>
  <si>
    <t xml:space="preserve"> Cálculo automático do coeficiente de correlação.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</si>
</sst>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0"/>
    <numFmt numFmtId="165" formatCode="0.000"/>
    <numFmt numFmtId="166" formatCode="0.00000"/>
    <numFmt numFmtId="167" formatCode="0.000000"/>
    <numFmt numFmtId="168" formatCode="#.0"/>
    <numFmt numFmtId="170" formatCode="0.0%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i/>
      <sz val="16"/>
      <color theme="1"/>
      <name val="Calibri"/>
      <family val="2"/>
    </font>
    <font>
      <sz val="14"/>
      <color theme="1"/>
      <name val="Calibri"/>
      <family val="2"/>
      <scheme val="minor"/>
    </font>
    <font>
      <vertAlign val="subscript"/>
      <sz val="18"/>
      <color rgb="FF3C474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vertAlign val="subscript"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8" fillId="0" borderId="1" xfId="2" applyNumberFormat="1" applyFont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/>
    </xf>
    <xf numFmtId="2" fontId="7" fillId="0" borderId="0" xfId="2" applyNumberFormat="1" applyFont="1" applyFill="1" applyBorder="1" applyAlignment="1">
      <alignment horizontal="center" vertical="center"/>
    </xf>
    <xf numFmtId="165" fontId="8" fillId="0" borderId="0" xfId="1" applyNumberFormat="1" applyFont="1" applyFill="1" applyBorder="1" applyAlignment="1">
      <alignment horizontal="center" vertical="center"/>
    </xf>
    <xf numFmtId="2" fontId="0" fillId="0" borderId="0" xfId="2" applyNumberFormat="1" applyFont="1" applyFill="1" applyBorder="1"/>
    <xf numFmtId="0" fontId="5" fillId="4" borderId="1" xfId="0" applyNumberFormat="1" applyFont="1" applyFill="1" applyBorder="1" applyAlignment="1">
      <alignment horizontal="center"/>
    </xf>
    <xf numFmtId="10" fontId="9" fillId="0" borderId="0" xfId="0" applyNumberFormat="1" applyFont="1"/>
    <xf numFmtId="0" fontId="1" fillId="2" borderId="0" xfId="0" applyFont="1" applyFill="1"/>
    <xf numFmtId="164" fontId="5" fillId="4" borderId="1" xfId="0" applyNumberFormat="1" applyFont="1" applyFill="1" applyBorder="1" applyAlignment="1">
      <alignment horizontal="center"/>
    </xf>
    <xf numFmtId="2" fontId="7" fillId="4" borderId="1" xfId="2" applyNumberFormat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2" fontId="0" fillId="0" borderId="0" xfId="2" applyNumberFormat="1" applyFont="1"/>
    <xf numFmtId="0" fontId="7" fillId="0" borderId="0" xfId="0" applyFont="1" applyFill="1" applyBorder="1" applyAlignment="1">
      <alignment horizontal="center" vertical="center"/>
    </xf>
    <xf numFmtId="166" fontId="8" fillId="0" borderId="0" xfId="1" applyNumberFormat="1" applyFont="1" applyFill="1" applyBorder="1" applyAlignment="1">
      <alignment horizontal="center" vertical="center"/>
    </xf>
    <xf numFmtId="164" fontId="8" fillId="0" borderId="0" xfId="1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0" fontId="8" fillId="0" borderId="0" xfId="2" applyNumberFormat="1" applyFon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0" fontId="0" fillId="2" borderId="0" xfId="0" applyFill="1"/>
    <xf numFmtId="165" fontId="0" fillId="0" borderId="0" xfId="0" applyNumberFormat="1" applyAlignment="1">
      <alignment horizontal="left"/>
    </xf>
    <xf numFmtId="2" fontId="0" fillId="2" borderId="0" xfId="0" applyNumberFormat="1" applyFill="1"/>
    <xf numFmtId="2" fontId="0" fillId="0" borderId="0" xfId="0" applyNumberFormat="1" applyFill="1" applyBorder="1"/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6" fontId="5" fillId="7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9" fontId="1" fillId="0" borderId="0" xfId="0" applyNumberFormat="1" applyFont="1" applyFill="1"/>
    <xf numFmtId="2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2" fontId="1" fillId="2" borderId="0" xfId="0" applyNumberFormat="1" applyFont="1" applyFill="1"/>
    <xf numFmtId="167" fontId="5" fillId="7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66" fontId="5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" fillId="0" borderId="0" xfId="0" applyFont="1" applyFill="1"/>
    <xf numFmtId="2" fontId="1" fillId="8" borderId="0" xfId="0" applyNumberFormat="1" applyFont="1" applyFill="1" applyAlignment="1">
      <alignment horizontal="center"/>
    </xf>
    <xf numFmtId="10" fontId="1" fillId="8" borderId="0" xfId="0" applyNumberFormat="1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lef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0" fontId="0" fillId="0" borderId="0" xfId="0" applyNumberFormat="1"/>
    <xf numFmtId="0" fontId="0" fillId="2" borderId="0" xfId="0" applyFill="1" applyAlignment="1"/>
    <xf numFmtId="0" fontId="0" fillId="0" borderId="0" xfId="0" applyAlignment="1">
      <alignment horizontal="left"/>
    </xf>
    <xf numFmtId="168" fontId="7" fillId="4" borderId="1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5" fillId="4" borderId="3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10" fontId="0" fillId="2" borderId="0" xfId="0" applyNumberFormat="1" applyFill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10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10" fontId="5" fillId="4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4" xfId="0" applyFont="1" applyFill="1" applyBorder="1" applyAlignment="1">
      <alignment horizontal="left"/>
    </xf>
    <xf numFmtId="0" fontId="0" fillId="11" borderId="0" xfId="0" applyFill="1"/>
    <xf numFmtId="0" fontId="0" fillId="11" borderId="0" xfId="0" applyFill="1" applyAlignment="1"/>
    <xf numFmtId="0" fontId="0" fillId="11" borderId="5" xfId="0" applyFill="1" applyBorder="1" applyAlignment="1"/>
    <xf numFmtId="170" fontId="0" fillId="11" borderId="0" xfId="0" applyNumberFormat="1" applyFill="1" applyAlignment="1">
      <alignment horizontal="left"/>
    </xf>
    <xf numFmtId="0" fontId="1" fillId="2" borderId="0" xfId="0" applyFont="1" applyFill="1" applyAlignment="1"/>
    <xf numFmtId="0" fontId="16" fillId="0" borderId="1" xfId="0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2" fontId="7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165" fontId="0" fillId="0" borderId="1" xfId="0" applyNumberFormat="1" applyBorder="1" applyAlignment="1">
      <alignment horizontal="center"/>
    </xf>
    <xf numFmtId="165" fontId="19" fillId="0" borderId="1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left"/>
    </xf>
    <xf numFmtId="2" fontId="1" fillId="0" borderId="0" xfId="0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Rigidez</a:t>
            </a:r>
          </a:p>
        </c:rich>
      </c:tx>
      <c:layout>
        <c:manualLayout>
          <c:xMode val="edge"/>
          <c:yMode val="edge"/>
          <c:x val="0.387222222222222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Regressão!$C$3</c:f>
              <c:strCache>
                <c:ptCount val="1"/>
                <c:pt idx="0">
                  <c:v>Força (N)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Regressão!$B$4:$B$29</c:f>
              <c:numCache>
                <c:formatCode>General</c:formatCode>
                <c:ptCount val="26"/>
                <c:pt idx="0">
                  <c:v>2.8999999999999998E-3</c:v>
                </c:pt>
                <c:pt idx="1">
                  <c:v>4.3E-3</c:v>
                </c:pt>
                <c:pt idx="2">
                  <c:v>7.0000000000000001E-3</c:v>
                </c:pt>
                <c:pt idx="3">
                  <c:v>1.44E-2</c:v>
                </c:pt>
                <c:pt idx="4">
                  <c:v>1.72E-2</c:v>
                </c:pt>
                <c:pt idx="5">
                  <c:v>2.0199999999999999E-2</c:v>
                </c:pt>
                <c:pt idx="6">
                  <c:v>2.3E-2</c:v>
                </c:pt>
                <c:pt idx="7">
                  <c:v>2.4899999999999999E-2</c:v>
                </c:pt>
                <c:pt idx="8">
                  <c:v>3.1E-2</c:v>
                </c:pt>
                <c:pt idx="9">
                  <c:v>3.4200000000000001E-2</c:v>
                </c:pt>
                <c:pt idx="10">
                  <c:v>3.9E-2</c:v>
                </c:pt>
                <c:pt idx="11">
                  <c:v>3.9300000000000002E-2</c:v>
                </c:pt>
                <c:pt idx="12">
                  <c:v>4.2299999999999997E-2</c:v>
                </c:pt>
                <c:pt idx="13">
                  <c:v>4.9399999999999999E-2</c:v>
                </c:pt>
                <c:pt idx="14">
                  <c:v>5.5500000000000001E-2</c:v>
                </c:pt>
                <c:pt idx="15">
                  <c:v>5.6800000000000003E-2</c:v>
                </c:pt>
                <c:pt idx="16">
                  <c:v>6.4699999999999994E-2</c:v>
                </c:pt>
                <c:pt idx="17">
                  <c:v>6.7599999999999993E-2</c:v>
                </c:pt>
                <c:pt idx="18">
                  <c:v>7.0400000000000004E-2</c:v>
                </c:pt>
                <c:pt idx="19">
                  <c:v>7.1499999999999994E-2</c:v>
                </c:pt>
                <c:pt idx="20">
                  <c:v>7.2739999999999999E-2</c:v>
                </c:pt>
                <c:pt idx="21">
                  <c:v>7.85E-2</c:v>
                </c:pt>
                <c:pt idx="22">
                  <c:v>8.1199999999999994E-2</c:v>
                </c:pt>
                <c:pt idx="23">
                  <c:v>8.5300000000000001E-2</c:v>
                </c:pt>
                <c:pt idx="24">
                  <c:v>9.2499999999999999E-2</c:v>
                </c:pt>
                <c:pt idx="25">
                  <c:v>9.7500000000000003E-2</c:v>
                </c:pt>
              </c:numCache>
            </c:numRef>
          </c:xVal>
          <c:yVal>
            <c:numRef>
              <c:f>Regressão!$C$4:$C$29</c:f>
              <c:numCache>
                <c:formatCode>General</c:formatCode>
                <c:ptCount val="26"/>
                <c:pt idx="0">
                  <c:v>0.1</c:v>
                </c:pt>
                <c:pt idx="1">
                  <c:v>0.15</c:v>
                </c:pt>
                <c:pt idx="2">
                  <c:v>0.23</c:v>
                </c:pt>
                <c:pt idx="3">
                  <c:v>0.45</c:v>
                </c:pt>
                <c:pt idx="4">
                  <c:v>0.55000000000000004</c:v>
                </c:pt>
                <c:pt idx="5">
                  <c:v>0.68</c:v>
                </c:pt>
                <c:pt idx="6">
                  <c:v>0.72</c:v>
                </c:pt>
                <c:pt idx="7">
                  <c:v>0.83</c:v>
                </c:pt>
                <c:pt idx="8">
                  <c:v>1.05</c:v>
                </c:pt>
                <c:pt idx="9">
                  <c:v>1.1499999999999999</c:v>
                </c:pt>
                <c:pt idx="10">
                  <c:v>1.21</c:v>
                </c:pt>
                <c:pt idx="11">
                  <c:v>1.23</c:v>
                </c:pt>
                <c:pt idx="12">
                  <c:v>1.35</c:v>
                </c:pt>
                <c:pt idx="13">
                  <c:v>1.55</c:v>
                </c:pt>
                <c:pt idx="14">
                  <c:v>1.71</c:v>
                </c:pt>
                <c:pt idx="15">
                  <c:v>1.75</c:v>
                </c:pt>
                <c:pt idx="16">
                  <c:v>1.92</c:v>
                </c:pt>
                <c:pt idx="17">
                  <c:v>2.04</c:v>
                </c:pt>
                <c:pt idx="18">
                  <c:v>2.15</c:v>
                </c:pt>
                <c:pt idx="19">
                  <c:v>2.19</c:v>
                </c:pt>
                <c:pt idx="20">
                  <c:v>2.25</c:v>
                </c:pt>
                <c:pt idx="21">
                  <c:v>2.4</c:v>
                </c:pt>
                <c:pt idx="22">
                  <c:v>2.5499999999999998</c:v>
                </c:pt>
                <c:pt idx="23">
                  <c:v>2.72</c:v>
                </c:pt>
                <c:pt idx="24">
                  <c:v>2.85</c:v>
                </c:pt>
                <c:pt idx="2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69-4E2A-BC39-7EAFBC295E72}"/>
            </c:ext>
          </c:extLst>
        </c:ser>
        <c:ser>
          <c:idx val="0"/>
          <c:order val="1"/>
          <c:tx>
            <c:strRef>
              <c:f>Regressão!$C$3</c:f>
              <c:strCache>
                <c:ptCount val="1"/>
                <c:pt idx="0">
                  <c:v>Força (N)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581889763779525"/>
                  <c:y val="0.136874453193350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Regressão!$B$4:$B$29</c:f>
              <c:numCache>
                <c:formatCode>General</c:formatCode>
                <c:ptCount val="26"/>
                <c:pt idx="0">
                  <c:v>2.8999999999999998E-3</c:v>
                </c:pt>
                <c:pt idx="1">
                  <c:v>4.3E-3</c:v>
                </c:pt>
                <c:pt idx="2">
                  <c:v>7.0000000000000001E-3</c:v>
                </c:pt>
                <c:pt idx="3">
                  <c:v>1.44E-2</c:v>
                </c:pt>
                <c:pt idx="4">
                  <c:v>1.72E-2</c:v>
                </c:pt>
                <c:pt idx="5">
                  <c:v>2.0199999999999999E-2</c:v>
                </c:pt>
                <c:pt idx="6">
                  <c:v>2.3E-2</c:v>
                </c:pt>
                <c:pt idx="7">
                  <c:v>2.4899999999999999E-2</c:v>
                </c:pt>
                <c:pt idx="8">
                  <c:v>3.1E-2</c:v>
                </c:pt>
                <c:pt idx="9">
                  <c:v>3.4200000000000001E-2</c:v>
                </c:pt>
                <c:pt idx="10">
                  <c:v>3.9E-2</c:v>
                </c:pt>
                <c:pt idx="11">
                  <c:v>3.9300000000000002E-2</c:v>
                </c:pt>
                <c:pt idx="12">
                  <c:v>4.2299999999999997E-2</c:v>
                </c:pt>
                <c:pt idx="13">
                  <c:v>4.9399999999999999E-2</c:v>
                </c:pt>
                <c:pt idx="14">
                  <c:v>5.5500000000000001E-2</c:v>
                </c:pt>
                <c:pt idx="15">
                  <c:v>5.6800000000000003E-2</c:v>
                </c:pt>
                <c:pt idx="16">
                  <c:v>6.4699999999999994E-2</c:v>
                </c:pt>
                <c:pt idx="17">
                  <c:v>6.7599999999999993E-2</c:v>
                </c:pt>
                <c:pt idx="18">
                  <c:v>7.0400000000000004E-2</c:v>
                </c:pt>
                <c:pt idx="19">
                  <c:v>7.1499999999999994E-2</c:v>
                </c:pt>
                <c:pt idx="20">
                  <c:v>7.2739999999999999E-2</c:v>
                </c:pt>
                <c:pt idx="21">
                  <c:v>7.85E-2</c:v>
                </c:pt>
                <c:pt idx="22">
                  <c:v>8.1199999999999994E-2</c:v>
                </c:pt>
                <c:pt idx="23">
                  <c:v>8.5300000000000001E-2</c:v>
                </c:pt>
                <c:pt idx="24">
                  <c:v>9.2499999999999999E-2</c:v>
                </c:pt>
                <c:pt idx="25">
                  <c:v>9.7500000000000003E-2</c:v>
                </c:pt>
              </c:numCache>
            </c:numRef>
          </c:xVal>
          <c:yVal>
            <c:numRef>
              <c:f>Regressão!$C$4:$C$29</c:f>
              <c:numCache>
                <c:formatCode>General</c:formatCode>
                <c:ptCount val="26"/>
                <c:pt idx="0">
                  <c:v>0.1</c:v>
                </c:pt>
                <c:pt idx="1">
                  <c:v>0.15</c:v>
                </c:pt>
                <c:pt idx="2">
                  <c:v>0.23</c:v>
                </c:pt>
                <c:pt idx="3">
                  <c:v>0.45</c:v>
                </c:pt>
                <c:pt idx="4">
                  <c:v>0.55000000000000004</c:v>
                </c:pt>
                <c:pt idx="5">
                  <c:v>0.68</c:v>
                </c:pt>
                <c:pt idx="6">
                  <c:v>0.72</c:v>
                </c:pt>
                <c:pt idx="7">
                  <c:v>0.83</c:v>
                </c:pt>
                <c:pt idx="8">
                  <c:v>1.05</c:v>
                </c:pt>
                <c:pt idx="9">
                  <c:v>1.1499999999999999</c:v>
                </c:pt>
                <c:pt idx="10">
                  <c:v>1.21</c:v>
                </c:pt>
                <c:pt idx="11">
                  <c:v>1.23</c:v>
                </c:pt>
                <c:pt idx="12">
                  <c:v>1.35</c:v>
                </c:pt>
                <c:pt idx="13">
                  <c:v>1.55</c:v>
                </c:pt>
                <c:pt idx="14">
                  <c:v>1.71</c:v>
                </c:pt>
                <c:pt idx="15">
                  <c:v>1.75</c:v>
                </c:pt>
                <c:pt idx="16">
                  <c:v>1.92</c:v>
                </c:pt>
                <c:pt idx="17">
                  <c:v>2.04</c:v>
                </c:pt>
                <c:pt idx="18">
                  <c:v>2.15</c:v>
                </c:pt>
                <c:pt idx="19">
                  <c:v>2.19</c:v>
                </c:pt>
                <c:pt idx="20">
                  <c:v>2.25</c:v>
                </c:pt>
                <c:pt idx="21">
                  <c:v>2.4</c:v>
                </c:pt>
                <c:pt idx="22">
                  <c:v>2.5499999999999998</c:v>
                </c:pt>
                <c:pt idx="23">
                  <c:v>2.72</c:v>
                </c:pt>
                <c:pt idx="24">
                  <c:v>2.85</c:v>
                </c:pt>
                <c:pt idx="2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69-4E2A-BC39-7EAFBC295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10527"/>
        <c:axId val="1985312607"/>
      </c:scatterChart>
      <c:valAx>
        <c:axId val="10781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DEFORMAÇÃO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312607"/>
        <c:crosses val="autoZero"/>
        <c:crossBetween val="midCat"/>
      </c:valAx>
      <c:valAx>
        <c:axId val="198531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FORÇA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81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02F5298C-CAAA-44CA-8D16-4C4E0F4D77D7}">
          <cx:tx>
            <cx:txData>
              <cx:f>_xlchart.v1.0</cx:f>
              <cx:v>Rigidez (K)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19</xdr:row>
      <xdr:rowOff>90486</xdr:rowOff>
    </xdr:from>
    <xdr:to>
      <xdr:col>15</xdr:col>
      <xdr:colOff>342899</xdr:colOff>
      <xdr:row>35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9192ECA6-6FE4-43A1-ADD9-35E625E5F9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2574" y="3709986"/>
              <a:ext cx="5210175" cy="31480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325755</xdr:colOff>
      <xdr:row>2</xdr:row>
      <xdr:rowOff>57149</xdr:rowOff>
    </xdr:from>
    <xdr:to>
      <xdr:col>11</xdr:col>
      <xdr:colOff>40005</xdr:colOff>
      <xdr:row>14</xdr:row>
      <xdr:rowOff>118109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5E548B2-0AC2-4B97-AC5B-E03C41D3A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4955" y="438149"/>
          <a:ext cx="5762625" cy="2775585"/>
        </a:xfrm>
        <a:prstGeom prst="rect">
          <a:avLst/>
        </a:prstGeom>
      </xdr:spPr>
    </xdr:pic>
    <xdr:clientData/>
  </xdr:twoCellAnchor>
  <xdr:twoCellAnchor>
    <xdr:from>
      <xdr:col>6</xdr:col>
      <xdr:colOff>434340</xdr:colOff>
      <xdr:row>2</xdr:row>
      <xdr:rowOff>234315</xdr:rowOff>
    </xdr:from>
    <xdr:to>
      <xdr:col>6</xdr:col>
      <xdr:colOff>434340</xdr:colOff>
      <xdr:row>14</xdr:row>
      <xdr:rowOff>108855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6E761E75-6A23-47F8-8E49-BA51193D1F59}"/>
            </a:ext>
          </a:extLst>
        </xdr:cNvPr>
        <xdr:cNvCxnSpPr/>
      </xdr:nvCxnSpPr>
      <xdr:spPr>
        <a:xfrm>
          <a:off x="4263390" y="615315"/>
          <a:ext cx="0" cy="2589165"/>
        </a:xfrm>
        <a:prstGeom prst="line">
          <a:avLst/>
        </a:prstGeom>
        <a:ln w="19050">
          <a:solidFill>
            <a:srgbClr val="00B05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472440</xdr:colOff>
      <xdr:row>7</xdr:row>
      <xdr:rowOff>22860</xdr:rowOff>
    </xdr:from>
    <xdr:to>
      <xdr:col>5</xdr:col>
      <xdr:colOff>472440</xdr:colOff>
      <xdr:row>14</xdr:row>
      <xdr:rowOff>74700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CF36C8D4-E361-4D22-96FC-755912C1B7D5}"/>
            </a:ext>
          </a:extLst>
        </xdr:cNvPr>
        <xdr:cNvCxnSpPr/>
      </xdr:nvCxnSpPr>
      <xdr:spPr>
        <a:xfrm>
          <a:off x="4139565" y="1270635"/>
          <a:ext cx="0" cy="1518690"/>
        </a:xfrm>
        <a:prstGeom prst="line">
          <a:avLst/>
        </a:prstGeom>
        <a:ln w="19050">
          <a:solidFill>
            <a:srgbClr val="00B05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281940</xdr:colOff>
      <xdr:row>7</xdr:row>
      <xdr:rowOff>59055</xdr:rowOff>
    </xdr:from>
    <xdr:to>
      <xdr:col>7</xdr:col>
      <xdr:colOff>281940</xdr:colOff>
      <xdr:row>14</xdr:row>
      <xdr:rowOff>103275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F62E0299-C58F-4A8E-A348-70EB3B271FC6}"/>
            </a:ext>
          </a:extLst>
        </xdr:cNvPr>
        <xdr:cNvCxnSpPr/>
      </xdr:nvCxnSpPr>
      <xdr:spPr>
        <a:xfrm>
          <a:off x="5025390" y="1687830"/>
          <a:ext cx="0" cy="1511070"/>
        </a:xfrm>
        <a:prstGeom prst="line">
          <a:avLst/>
        </a:prstGeom>
        <a:ln w="19050">
          <a:solidFill>
            <a:srgbClr val="00B05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325756</xdr:colOff>
      <xdr:row>3</xdr:row>
      <xdr:rowOff>133351</xdr:rowOff>
    </xdr:from>
    <xdr:ext cx="5187584" cy="2794634"/>
    <xdr:pic>
      <xdr:nvPicPr>
        <xdr:cNvPr id="2" name="Imagem 1">
          <a:extLst>
            <a:ext uri="{FF2B5EF4-FFF2-40B4-BE49-F238E27FC236}">
              <a16:creationId xmlns:a16="http://schemas.microsoft.com/office/drawing/2014/main" id="{D98B4E8D-9499-45F4-858B-1EFEAA129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4956" y="704851"/>
          <a:ext cx="5187584" cy="2794634"/>
        </a:xfrm>
        <a:prstGeom prst="rect">
          <a:avLst/>
        </a:prstGeom>
      </xdr:spPr>
    </xdr:pic>
    <xdr:clientData/>
  </xdr:oneCellAnchor>
  <xdr:twoCellAnchor>
    <xdr:from>
      <xdr:col>6</xdr:col>
      <xdr:colOff>329565</xdr:colOff>
      <xdr:row>4</xdr:row>
      <xdr:rowOff>24765</xdr:rowOff>
    </xdr:from>
    <xdr:to>
      <xdr:col>6</xdr:col>
      <xdr:colOff>333375</xdr:colOff>
      <xdr:row>15</xdr:row>
      <xdr:rowOff>114300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39906ADE-E429-4F49-B5EF-49B7DF878386}"/>
            </a:ext>
          </a:extLst>
        </xdr:cNvPr>
        <xdr:cNvCxnSpPr/>
      </xdr:nvCxnSpPr>
      <xdr:spPr>
        <a:xfrm>
          <a:off x="3987165" y="862965"/>
          <a:ext cx="3810" cy="2613660"/>
        </a:xfrm>
        <a:prstGeom prst="line">
          <a:avLst/>
        </a:prstGeom>
        <a:ln w="19050">
          <a:solidFill>
            <a:srgbClr val="00B05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257175</xdr:colOff>
      <xdr:row>8</xdr:row>
      <xdr:rowOff>80010</xdr:rowOff>
    </xdr:from>
    <xdr:to>
      <xdr:col>5</xdr:col>
      <xdr:colOff>272415</xdr:colOff>
      <xdr:row>15</xdr:row>
      <xdr:rowOff>123825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B258A6A-3C5A-4DA8-BD2E-609BA6484223}"/>
            </a:ext>
          </a:extLst>
        </xdr:cNvPr>
        <xdr:cNvCxnSpPr/>
      </xdr:nvCxnSpPr>
      <xdr:spPr>
        <a:xfrm flipH="1">
          <a:off x="3305175" y="1899285"/>
          <a:ext cx="15240" cy="1586865"/>
        </a:xfrm>
        <a:prstGeom prst="line">
          <a:avLst/>
        </a:prstGeom>
        <a:ln w="19050">
          <a:solidFill>
            <a:srgbClr val="00B05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367665</xdr:colOff>
      <xdr:row>8</xdr:row>
      <xdr:rowOff>87630</xdr:rowOff>
    </xdr:from>
    <xdr:to>
      <xdr:col>7</xdr:col>
      <xdr:colOff>381000</xdr:colOff>
      <xdr:row>15</xdr:row>
      <xdr:rowOff>133350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C97E1468-11E1-4A13-B5A8-43D78AD60880}"/>
            </a:ext>
          </a:extLst>
        </xdr:cNvPr>
        <xdr:cNvCxnSpPr/>
      </xdr:nvCxnSpPr>
      <xdr:spPr>
        <a:xfrm>
          <a:off x="4634865" y="1906905"/>
          <a:ext cx="13335" cy="1588770"/>
        </a:xfrm>
        <a:prstGeom prst="line">
          <a:avLst/>
        </a:prstGeom>
        <a:ln w="19050">
          <a:solidFill>
            <a:srgbClr val="00B05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295276</xdr:colOff>
      <xdr:row>1</xdr:row>
      <xdr:rowOff>85725</xdr:rowOff>
    </xdr:from>
    <xdr:to>
      <xdr:col>16</xdr:col>
      <xdr:colOff>24996</xdr:colOff>
      <xdr:row>9</xdr:row>
      <xdr:rowOff>85725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FC20275-602D-466C-B8D8-68AF4C816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6" y="276225"/>
          <a:ext cx="2892020" cy="181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152400</xdr:colOff>
      <xdr:row>11</xdr:row>
      <xdr:rowOff>38101</xdr:rowOff>
    </xdr:from>
    <xdr:to>
      <xdr:col>18</xdr:col>
      <xdr:colOff>354754</xdr:colOff>
      <xdr:row>12</xdr:row>
      <xdr:rowOff>180975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FFF08028-ECEA-4313-9932-D956CFDB6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2505076"/>
          <a:ext cx="2897929" cy="409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24</xdr:row>
      <xdr:rowOff>327660</xdr:rowOff>
    </xdr:from>
    <xdr:to>
      <xdr:col>2</xdr:col>
      <xdr:colOff>657546</xdr:colOff>
      <xdr:row>26</xdr:row>
      <xdr:rowOff>22860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3">
              <a:extLst>
                <a:ext uri="{FF2B5EF4-FFF2-40B4-BE49-F238E27FC236}">
                  <a16:creationId xmlns:a16="http://schemas.microsoft.com/office/drawing/2014/main" id="{ECE57C69-83C0-4488-B586-D70D291916F0}"/>
                </a:ext>
              </a:extLst>
            </xdr:cNvPr>
            <xdr:cNvSpPr txBox="1"/>
          </xdr:nvSpPr>
          <xdr:spPr>
            <a:xfrm>
              <a:off x="1804035" y="1127760"/>
              <a:ext cx="367986" cy="342900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 rtl="0"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pt-BR"/>
            </a:p>
          </xdr:txBody>
        </xdr:sp>
      </mc:Choice>
      <mc:Fallback xmlns="">
        <xdr:sp macro="" textlink="">
          <xdr:nvSpPr>
            <xdr:cNvPr id="2" name="CaixaDeTexto 3">
              <a:extLst>
                <a:ext uri="{FF2B5EF4-FFF2-40B4-BE49-F238E27FC236}">
                  <a16:creationId xmlns:a16="http://schemas.microsoft.com/office/drawing/2014/main" id="{ECE57C69-83C0-4488-B586-D70D291916F0}"/>
                </a:ext>
              </a:extLst>
            </xdr:cNvPr>
            <xdr:cNvSpPr txBox="1"/>
          </xdr:nvSpPr>
          <xdr:spPr>
            <a:xfrm>
              <a:off x="1804035" y="1127760"/>
              <a:ext cx="367986" cy="342900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 rtl="0"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b="0" i="0">
                  <a:latin typeface="Cambria Math" panose="02040503050406030204" pitchFamily="18" charset="0"/>
                </a:rPr>
                <a:t>𝑥 ̅</a:t>
              </a:r>
              <a:endParaRPr lang="pt-BR"/>
            </a:p>
          </xdr:txBody>
        </xdr:sp>
      </mc:Fallback>
    </mc:AlternateContent>
    <xdr:clientData/>
  </xdr:twoCellAnchor>
  <xdr:twoCellAnchor>
    <xdr:from>
      <xdr:col>2</xdr:col>
      <xdr:colOff>327660</xdr:colOff>
      <xdr:row>25</xdr:row>
      <xdr:rowOff>312420</xdr:rowOff>
    </xdr:from>
    <xdr:to>
      <xdr:col>2</xdr:col>
      <xdr:colOff>638964</xdr:colOff>
      <xdr:row>26</xdr:row>
      <xdr:rowOff>331232</xdr:rowOff>
    </xdr:to>
    <xdr:sp macro="" textlink="">
      <xdr:nvSpPr>
        <xdr:cNvPr id="3" name="CaixaDeTexto 4">
          <a:extLst>
            <a:ext uri="{FF2B5EF4-FFF2-40B4-BE49-F238E27FC236}">
              <a16:creationId xmlns:a16="http://schemas.microsoft.com/office/drawing/2014/main" id="{25F6137C-AE95-4BF7-A492-D3818BEE9922}"/>
            </a:ext>
          </a:extLst>
        </xdr:cNvPr>
        <xdr:cNvSpPr txBox="1"/>
      </xdr:nvSpPr>
      <xdr:spPr>
        <a:xfrm>
          <a:off x="1842135" y="1436370"/>
          <a:ext cx="311304" cy="3331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 rtl="0"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l-GR"/>
            <a:t>μ</a:t>
          </a:r>
          <a:endParaRPr lang="pt-BR"/>
        </a:p>
      </xdr:txBody>
    </xdr:sp>
    <xdr:clientData/>
  </xdr:twoCellAnchor>
  <xdr:twoCellAnchor>
    <xdr:from>
      <xdr:col>2</xdr:col>
      <xdr:colOff>335280</xdr:colOff>
      <xdr:row>26</xdr:row>
      <xdr:rowOff>297180</xdr:rowOff>
    </xdr:from>
    <xdr:to>
      <xdr:col>2</xdr:col>
      <xdr:colOff>643378</xdr:colOff>
      <xdr:row>27</xdr:row>
      <xdr:rowOff>327660</xdr:rowOff>
    </xdr:to>
    <xdr:sp macro="" textlink="">
      <xdr:nvSpPr>
        <xdr:cNvPr id="4" name="CaixaDeTexto 5">
          <a:extLst>
            <a:ext uri="{FF2B5EF4-FFF2-40B4-BE49-F238E27FC236}">
              <a16:creationId xmlns:a16="http://schemas.microsoft.com/office/drawing/2014/main" id="{3103B0BB-70EF-48D8-B04C-CA949A0557FC}"/>
            </a:ext>
          </a:extLst>
        </xdr:cNvPr>
        <xdr:cNvSpPr txBox="1"/>
      </xdr:nvSpPr>
      <xdr:spPr>
        <a:xfrm>
          <a:off x="1849755" y="1744980"/>
          <a:ext cx="308098" cy="35433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 rtl="0"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l-GR"/>
            <a:t>σ</a:t>
          </a:r>
          <a:endParaRPr lang="pt-BR"/>
        </a:p>
      </xdr:txBody>
    </xdr:sp>
    <xdr:clientData/>
  </xdr:twoCellAnchor>
  <xdr:twoCellAnchor>
    <xdr:from>
      <xdr:col>2</xdr:col>
      <xdr:colOff>289560</xdr:colOff>
      <xdr:row>28</xdr:row>
      <xdr:rowOff>30481</xdr:rowOff>
    </xdr:from>
    <xdr:to>
      <xdr:col>2</xdr:col>
      <xdr:colOff>662940</xdr:colOff>
      <xdr:row>28</xdr:row>
      <xdr:rowOff>525780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6">
              <a:extLst>
                <a:ext uri="{FF2B5EF4-FFF2-40B4-BE49-F238E27FC236}">
                  <a16:creationId xmlns:a16="http://schemas.microsoft.com/office/drawing/2014/main" id="{C96771A8-2D90-4CED-A88C-D7D63E08F4EB}"/>
                </a:ext>
              </a:extLst>
            </xdr:cNvPr>
            <xdr:cNvSpPr txBox="1"/>
          </xdr:nvSpPr>
          <xdr:spPr>
            <a:xfrm>
              <a:off x="1804035" y="2125981"/>
              <a:ext cx="373380" cy="495299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 rtl="0"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BR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BR"/>
            </a:p>
          </xdr:txBody>
        </xdr:sp>
      </mc:Choice>
      <mc:Fallback xmlns="">
        <xdr:sp macro="" textlink="">
          <xdr:nvSpPr>
            <xdr:cNvPr id="5" name="CaixaDeTexto 6">
              <a:extLst>
                <a:ext uri="{FF2B5EF4-FFF2-40B4-BE49-F238E27FC236}">
                  <a16:creationId xmlns:a16="http://schemas.microsoft.com/office/drawing/2014/main" id="{C96771A8-2D90-4CED-A88C-D7D63E08F4EB}"/>
                </a:ext>
              </a:extLst>
            </xdr:cNvPr>
            <xdr:cNvSpPr txBox="1"/>
          </xdr:nvSpPr>
          <xdr:spPr>
            <a:xfrm>
              <a:off x="1804035" y="2125981"/>
              <a:ext cx="373380" cy="495299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 rtl="0"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𝜎/√</a:t>
              </a:r>
              <a:r>
                <a:rPr lang="pt-BR" sz="1400" b="0" i="0">
                  <a:latin typeface="Cambria Math" panose="02040503050406030204" pitchFamily="18" charset="0"/>
                </a:rPr>
                <a:t>𝑛</a:t>
              </a:r>
              <a:endParaRPr lang="pt-BR"/>
            </a:p>
          </xdr:txBody>
        </xdr:sp>
      </mc:Fallback>
    </mc:AlternateContent>
    <xdr:clientData/>
  </xdr:twoCellAnchor>
  <xdr:oneCellAnchor>
    <xdr:from>
      <xdr:col>2</xdr:col>
      <xdr:colOff>478156</xdr:colOff>
      <xdr:row>3</xdr:row>
      <xdr:rowOff>76201</xdr:rowOff>
    </xdr:from>
    <xdr:ext cx="5187584" cy="2794634"/>
    <xdr:pic>
      <xdr:nvPicPr>
        <xdr:cNvPr id="10" name="Imagem 9">
          <a:extLst>
            <a:ext uri="{FF2B5EF4-FFF2-40B4-BE49-F238E27FC236}">
              <a16:creationId xmlns:a16="http://schemas.microsoft.com/office/drawing/2014/main" id="{41FDEB43-5993-4A11-AEEA-A971BAF19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7356" y="647701"/>
          <a:ext cx="5187584" cy="2794634"/>
        </a:xfrm>
        <a:prstGeom prst="rect">
          <a:avLst/>
        </a:prstGeom>
      </xdr:spPr>
    </xdr:pic>
    <xdr:clientData/>
  </xdr:oneCellAnchor>
  <xdr:twoCellAnchor>
    <xdr:from>
      <xdr:col>6</xdr:col>
      <xdr:colOff>329565</xdr:colOff>
      <xdr:row>4</xdr:row>
      <xdr:rowOff>24765</xdr:rowOff>
    </xdr:from>
    <xdr:to>
      <xdr:col>6</xdr:col>
      <xdr:colOff>329565</xdr:colOff>
      <xdr:row>16</xdr:row>
      <xdr:rowOff>23130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4476F15B-1B55-4156-BA62-1B7E49DBE00A}"/>
            </a:ext>
          </a:extLst>
        </xdr:cNvPr>
        <xdr:cNvCxnSpPr/>
      </xdr:nvCxnSpPr>
      <xdr:spPr>
        <a:xfrm>
          <a:off x="3987165" y="786765"/>
          <a:ext cx="0" cy="2284365"/>
        </a:xfrm>
        <a:prstGeom prst="line">
          <a:avLst/>
        </a:prstGeom>
        <a:ln w="19050">
          <a:solidFill>
            <a:srgbClr val="00B05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262890</xdr:colOff>
      <xdr:row>8</xdr:row>
      <xdr:rowOff>70485</xdr:rowOff>
    </xdr:from>
    <xdr:to>
      <xdr:col>5</xdr:col>
      <xdr:colOff>262890</xdr:colOff>
      <xdr:row>15</xdr:row>
      <xdr:rowOff>122325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68907FC6-EE12-41BF-8B91-51057EC405AC}"/>
            </a:ext>
          </a:extLst>
        </xdr:cNvPr>
        <xdr:cNvCxnSpPr/>
      </xdr:nvCxnSpPr>
      <xdr:spPr>
        <a:xfrm>
          <a:off x="3310890" y="1594485"/>
          <a:ext cx="0" cy="1385340"/>
        </a:xfrm>
        <a:prstGeom prst="line">
          <a:avLst/>
        </a:prstGeom>
        <a:ln w="19050">
          <a:solidFill>
            <a:srgbClr val="00B05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358140</xdr:colOff>
      <xdr:row>8</xdr:row>
      <xdr:rowOff>87630</xdr:rowOff>
    </xdr:from>
    <xdr:to>
      <xdr:col>7</xdr:col>
      <xdr:colOff>358140</xdr:colOff>
      <xdr:row>15</xdr:row>
      <xdr:rowOff>131850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2A74A566-B28C-4CA3-9F42-8B38D58C4E76}"/>
            </a:ext>
          </a:extLst>
        </xdr:cNvPr>
        <xdr:cNvCxnSpPr/>
      </xdr:nvCxnSpPr>
      <xdr:spPr>
        <a:xfrm>
          <a:off x="4625340" y="1611630"/>
          <a:ext cx="0" cy="1377720"/>
        </a:xfrm>
        <a:prstGeom prst="line">
          <a:avLst/>
        </a:prstGeom>
        <a:ln w="19050">
          <a:solidFill>
            <a:srgbClr val="00B05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523875</xdr:colOff>
      <xdr:row>0</xdr:row>
      <xdr:rowOff>104775</xdr:rowOff>
    </xdr:from>
    <xdr:to>
      <xdr:col>19</xdr:col>
      <xdr:colOff>361950</xdr:colOff>
      <xdr:row>10</xdr:row>
      <xdr:rowOff>47625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D4F6A4AA-8291-4DB7-BF27-729BF31FA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9975" y="104775"/>
          <a:ext cx="4714875" cy="214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57150</xdr:rowOff>
    </xdr:from>
    <xdr:to>
      <xdr:col>1</xdr:col>
      <xdr:colOff>371475</xdr:colOff>
      <xdr:row>18</xdr:row>
      <xdr:rowOff>186937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D06B4BEC-6AC5-4BF7-A053-EF990B263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3275"/>
          <a:ext cx="981075" cy="748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125730</xdr:colOff>
      <xdr:row>4</xdr:row>
      <xdr:rowOff>114299</xdr:rowOff>
    </xdr:from>
    <xdr:to>
      <xdr:col>10</xdr:col>
      <xdr:colOff>276225</xdr:colOff>
      <xdr:row>15</xdr:row>
      <xdr:rowOff>75133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24BA1F-BCF1-4831-8CB8-869AB2E16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4530" y="761999"/>
          <a:ext cx="4417695" cy="2456384"/>
        </a:xfrm>
        <a:prstGeom prst="rect">
          <a:avLst/>
        </a:prstGeom>
      </xdr:spPr>
    </xdr:pic>
    <xdr:clientData/>
  </xdr:twoCellAnchor>
  <xdr:twoCellAnchor>
    <xdr:from>
      <xdr:col>6</xdr:col>
      <xdr:colOff>377190</xdr:colOff>
      <xdr:row>5</xdr:row>
      <xdr:rowOff>28575</xdr:rowOff>
    </xdr:from>
    <xdr:to>
      <xdr:col>6</xdr:col>
      <xdr:colOff>381000</xdr:colOff>
      <xdr:row>15</xdr:row>
      <xdr:rowOff>108855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64FECAA1-BF7A-4810-B145-4C2EAF575D7E}"/>
            </a:ext>
          </a:extLst>
        </xdr:cNvPr>
        <xdr:cNvCxnSpPr/>
      </xdr:nvCxnSpPr>
      <xdr:spPr>
        <a:xfrm flipH="1">
          <a:off x="4034790" y="914400"/>
          <a:ext cx="3810" cy="2290080"/>
        </a:xfrm>
        <a:prstGeom prst="line">
          <a:avLst/>
        </a:prstGeom>
        <a:ln w="19050">
          <a:solidFill>
            <a:srgbClr val="00B05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453390</xdr:colOff>
      <xdr:row>8</xdr:row>
      <xdr:rowOff>41910</xdr:rowOff>
    </xdr:from>
    <xdr:to>
      <xdr:col>5</xdr:col>
      <xdr:colOff>453390</xdr:colOff>
      <xdr:row>15</xdr:row>
      <xdr:rowOff>93750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44B88592-B026-4A41-AF05-97961D186617}"/>
            </a:ext>
          </a:extLst>
        </xdr:cNvPr>
        <xdr:cNvCxnSpPr/>
      </xdr:nvCxnSpPr>
      <xdr:spPr>
        <a:xfrm>
          <a:off x="3501390" y="1670685"/>
          <a:ext cx="0" cy="1518690"/>
        </a:xfrm>
        <a:prstGeom prst="line">
          <a:avLst/>
        </a:prstGeom>
        <a:ln w="19050">
          <a:solidFill>
            <a:srgbClr val="00B05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291465</xdr:colOff>
      <xdr:row>8</xdr:row>
      <xdr:rowOff>87630</xdr:rowOff>
    </xdr:from>
    <xdr:to>
      <xdr:col>7</xdr:col>
      <xdr:colOff>291465</xdr:colOff>
      <xdr:row>15</xdr:row>
      <xdr:rowOff>131850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FBFEBD65-AA8A-45DF-B7FE-8D5960C941BD}"/>
            </a:ext>
          </a:extLst>
        </xdr:cNvPr>
        <xdr:cNvCxnSpPr/>
      </xdr:nvCxnSpPr>
      <xdr:spPr>
        <a:xfrm>
          <a:off x="4558665" y="1716405"/>
          <a:ext cx="0" cy="1511070"/>
        </a:xfrm>
        <a:prstGeom prst="line">
          <a:avLst/>
        </a:prstGeom>
        <a:ln w="19050">
          <a:solidFill>
            <a:srgbClr val="00B05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561974</xdr:colOff>
      <xdr:row>13</xdr:row>
      <xdr:rowOff>47625</xdr:rowOff>
    </xdr:from>
    <xdr:to>
      <xdr:col>17</xdr:col>
      <xdr:colOff>171449</xdr:colOff>
      <xdr:row>23</xdr:row>
      <xdr:rowOff>24946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881379C-5F27-4410-BA27-9B6F00718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4" y="3076575"/>
          <a:ext cx="3876675" cy="1929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400050</xdr:colOff>
      <xdr:row>21</xdr:row>
      <xdr:rowOff>28575</xdr:rowOff>
    </xdr:from>
    <xdr:to>
      <xdr:col>21</xdr:col>
      <xdr:colOff>419100</xdr:colOff>
      <xdr:row>32</xdr:row>
      <xdr:rowOff>79891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122B3DF-6251-435D-9E23-7150C29C7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4400550"/>
          <a:ext cx="5505450" cy="21944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428625</xdr:colOff>
      <xdr:row>2</xdr:row>
      <xdr:rowOff>43815</xdr:rowOff>
    </xdr:from>
    <xdr:ext cx="1132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1E71F5F9-0CCF-4A1D-9B0B-0323A17EA66E}"/>
                </a:ext>
              </a:extLst>
            </xdr:cNvPr>
            <xdr:cNvSpPr txBox="1"/>
          </xdr:nvSpPr>
          <xdr:spPr>
            <a:xfrm>
              <a:off x="3505200" y="42481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pt-BR" sz="1100" b="1"/>
            </a:p>
          </xdr:txBody>
        </xdr:sp>
      </mc:Choice>
      <mc:Fallback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1E71F5F9-0CCF-4A1D-9B0B-0323A17EA66E}"/>
                </a:ext>
              </a:extLst>
            </xdr:cNvPr>
            <xdr:cNvSpPr txBox="1"/>
          </xdr:nvSpPr>
          <xdr:spPr>
            <a:xfrm>
              <a:off x="3505200" y="42481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𝒙 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4</xdr:col>
      <xdr:colOff>434340</xdr:colOff>
      <xdr:row>2</xdr:row>
      <xdr:rowOff>60960</xdr:rowOff>
    </xdr:from>
    <xdr:ext cx="11618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8CB0FAE0-8FA5-4BFA-A0D2-BA4F6C8202EB}"/>
                </a:ext>
              </a:extLst>
            </xdr:cNvPr>
            <xdr:cNvSpPr txBox="1"/>
          </xdr:nvSpPr>
          <xdr:spPr>
            <a:xfrm>
              <a:off x="4120515" y="441960"/>
              <a:ext cx="1161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pt-BR" sz="1100" b="1"/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8CB0FAE0-8FA5-4BFA-A0D2-BA4F6C8202EB}"/>
                </a:ext>
              </a:extLst>
            </xdr:cNvPr>
            <xdr:cNvSpPr txBox="1"/>
          </xdr:nvSpPr>
          <xdr:spPr>
            <a:xfrm>
              <a:off x="4120515" y="441960"/>
              <a:ext cx="1161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𝒚 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5</xdr:col>
      <xdr:colOff>323850</xdr:colOff>
      <xdr:row>2</xdr:row>
      <xdr:rowOff>53340</xdr:rowOff>
    </xdr:from>
    <xdr:ext cx="1132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D435889-163C-4BD9-AB7B-2861F1743F24}"/>
                </a:ext>
              </a:extLst>
            </xdr:cNvPr>
            <xdr:cNvSpPr txBox="1"/>
          </xdr:nvSpPr>
          <xdr:spPr>
            <a:xfrm>
              <a:off x="4619625" y="43434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pt-BR" sz="1100" b="1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D435889-163C-4BD9-AB7B-2861F1743F24}"/>
                </a:ext>
              </a:extLst>
            </xdr:cNvPr>
            <xdr:cNvSpPr txBox="1"/>
          </xdr:nvSpPr>
          <xdr:spPr>
            <a:xfrm>
              <a:off x="4619625" y="43434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𝒙 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7</xdr:col>
      <xdr:colOff>268605</xdr:colOff>
      <xdr:row>2</xdr:row>
      <xdr:rowOff>60960</xdr:rowOff>
    </xdr:from>
    <xdr:ext cx="1132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3E251EDE-F510-435C-BD5C-B7B90B9C2A26}"/>
                </a:ext>
              </a:extLst>
            </xdr:cNvPr>
            <xdr:cNvSpPr txBox="1"/>
          </xdr:nvSpPr>
          <xdr:spPr>
            <a:xfrm>
              <a:off x="5783580" y="44196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pt-BR" sz="1100" b="1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3E251EDE-F510-435C-BD5C-B7B90B9C2A26}"/>
                </a:ext>
              </a:extLst>
            </xdr:cNvPr>
            <xdr:cNvSpPr txBox="1"/>
          </xdr:nvSpPr>
          <xdr:spPr>
            <a:xfrm>
              <a:off x="5783580" y="44196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𝒙 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6</xdr:col>
      <xdr:colOff>316230</xdr:colOff>
      <xdr:row>2</xdr:row>
      <xdr:rowOff>53340</xdr:rowOff>
    </xdr:from>
    <xdr:ext cx="11618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C628D673-CDCB-4510-8774-89604B30AFBD}"/>
                </a:ext>
              </a:extLst>
            </xdr:cNvPr>
            <xdr:cNvSpPr txBox="1"/>
          </xdr:nvSpPr>
          <xdr:spPr>
            <a:xfrm>
              <a:off x="5221605" y="434340"/>
              <a:ext cx="1161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pt-BR" sz="1100" b="1"/>
            </a:p>
          </xdr:txBody>
        </xdr:sp>
      </mc:Choice>
      <mc:Fallback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C628D673-CDCB-4510-8774-89604B30AFBD}"/>
                </a:ext>
              </a:extLst>
            </xdr:cNvPr>
            <xdr:cNvSpPr txBox="1"/>
          </xdr:nvSpPr>
          <xdr:spPr>
            <a:xfrm>
              <a:off x="5221605" y="434340"/>
              <a:ext cx="1161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𝒚 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7</xdr:col>
      <xdr:colOff>622935</xdr:colOff>
      <xdr:row>2</xdr:row>
      <xdr:rowOff>34290</xdr:rowOff>
    </xdr:from>
    <xdr:ext cx="11618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04489FDD-2FED-4897-9C24-20FF3D677291}"/>
                </a:ext>
              </a:extLst>
            </xdr:cNvPr>
            <xdr:cNvSpPr txBox="1"/>
          </xdr:nvSpPr>
          <xdr:spPr>
            <a:xfrm>
              <a:off x="6137910" y="415290"/>
              <a:ext cx="1161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pt-BR" sz="1100" b="1"/>
            </a:p>
          </xdr:txBody>
        </xdr:sp>
      </mc:Choice>
      <mc:Fallback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04489FDD-2FED-4897-9C24-20FF3D677291}"/>
                </a:ext>
              </a:extLst>
            </xdr:cNvPr>
            <xdr:cNvSpPr txBox="1"/>
          </xdr:nvSpPr>
          <xdr:spPr>
            <a:xfrm>
              <a:off x="6137910" y="415290"/>
              <a:ext cx="1161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𝒚 ̅</a:t>
              </a:r>
              <a:endParaRPr lang="pt-BR" sz="1100" b="1"/>
            </a:p>
          </xdr:txBody>
        </xdr:sp>
      </mc:Fallback>
    </mc:AlternateContent>
    <xdr:clientData/>
  </xdr:oneCellAnchor>
  <xdr:twoCellAnchor>
    <xdr:from>
      <xdr:col>9</xdr:col>
      <xdr:colOff>0</xdr:colOff>
      <xdr:row>12</xdr:row>
      <xdr:rowOff>195262</xdr:rowOff>
    </xdr:from>
    <xdr:to>
      <xdr:col>16</xdr:col>
      <xdr:colOff>304800</xdr:colOff>
      <xdr:row>26</xdr:row>
      <xdr:rowOff>138112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FFFA9DE-83FC-4EAC-BAFE-E22A231F0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485775</xdr:colOff>
      <xdr:row>37</xdr:row>
      <xdr:rowOff>152400</xdr:rowOff>
    </xdr:from>
    <xdr:to>
      <xdr:col>8</xdr:col>
      <xdr:colOff>552450</xdr:colOff>
      <xdr:row>42</xdr:row>
      <xdr:rowOff>9525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78C9CA63-54B8-4A33-9CED-D2F875120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7524750"/>
          <a:ext cx="51816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E475B-E8CE-4F42-8901-45F17CB750F4}">
  <dimension ref="A1:F36"/>
  <sheetViews>
    <sheetView topLeftCell="A25" workbookViewId="0">
      <selection activeCell="J38" sqref="J38"/>
    </sheetView>
  </sheetViews>
  <sheetFormatPr defaultRowHeight="15" x14ac:dyDescent="0.25"/>
  <cols>
    <col min="5" max="5" width="25" bestFit="1" customWidth="1"/>
    <col min="6" max="6" width="9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12</v>
      </c>
    </row>
    <row r="2" spans="1:6" x14ac:dyDescent="0.25">
      <c r="A2">
        <v>1</v>
      </c>
      <c r="B2">
        <v>0.1</v>
      </c>
      <c r="C2">
        <v>27</v>
      </c>
      <c r="D2">
        <v>29.9</v>
      </c>
      <c r="E2">
        <v>2.8999999999999998E-3</v>
      </c>
      <c r="F2">
        <v>34.479999999999997</v>
      </c>
    </row>
    <row r="3" spans="1:6" x14ac:dyDescent="0.25">
      <c r="A3">
        <v>2</v>
      </c>
      <c r="B3">
        <v>0.15</v>
      </c>
      <c r="C3">
        <v>27</v>
      </c>
      <c r="D3">
        <v>31.3</v>
      </c>
      <c r="E3">
        <v>4.3E-3</v>
      </c>
      <c r="F3">
        <v>34.880000000000003</v>
      </c>
    </row>
    <row r="4" spans="1:6" x14ac:dyDescent="0.25">
      <c r="A4">
        <v>3</v>
      </c>
      <c r="B4">
        <v>0.23</v>
      </c>
      <c r="C4">
        <v>27</v>
      </c>
      <c r="D4">
        <v>34</v>
      </c>
      <c r="E4">
        <v>7.0000000000000001E-3</v>
      </c>
      <c r="F4">
        <v>32.86</v>
      </c>
    </row>
    <row r="5" spans="1:6" x14ac:dyDescent="0.25">
      <c r="A5">
        <v>4</v>
      </c>
      <c r="B5">
        <v>0.45</v>
      </c>
      <c r="C5">
        <v>27</v>
      </c>
      <c r="D5">
        <v>41.4</v>
      </c>
      <c r="E5">
        <v>1.44E-2</v>
      </c>
      <c r="F5">
        <v>31.25</v>
      </c>
    </row>
    <row r="6" spans="1:6" x14ac:dyDescent="0.25">
      <c r="A6">
        <v>5</v>
      </c>
      <c r="B6">
        <v>0.55000000000000004</v>
      </c>
      <c r="C6">
        <v>27</v>
      </c>
      <c r="D6">
        <v>44.2</v>
      </c>
      <c r="E6">
        <v>1.72E-2</v>
      </c>
      <c r="F6">
        <v>31.98</v>
      </c>
    </row>
    <row r="7" spans="1:6" x14ac:dyDescent="0.25">
      <c r="A7">
        <v>6</v>
      </c>
      <c r="B7">
        <v>0.68</v>
      </c>
      <c r="C7">
        <v>27</v>
      </c>
      <c r="D7">
        <v>47.2</v>
      </c>
      <c r="E7">
        <v>2.0199999999999999E-2</v>
      </c>
      <c r="F7">
        <v>33.659999999999997</v>
      </c>
    </row>
    <row r="8" spans="1:6" x14ac:dyDescent="0.25">
      <c r="A8">
        <v>7</v>
      </c>
      <c r="B8">
        <v>0.72</v>
      </c>
      <c r="C8">
        <v>27</v>
      </c>
      <c r="D8">
        <v>50</v>
      </c>
      <c r="E8">
        <v>2.3E-2</v>
      </c>
      <c r="F8">
        <v>31.3</v>
      </c>
    </row>
    <row r="9" spans="1:6" x14ac:dyDescent="0.25">
      <c r="A9">
        <v>8</v>
      </c>
      <c r="B9">
        <v>0.83</v>
      </c>
      <c r="C9">
        <v>27</v>
      </c>
      <c r="D9">
        <v>51.9</v>
      </c>
      <c r="E9">
        <v>2.4899999999999999E-2</v>
      </c>
      <c r="F9">
        <v>33.33</v>
      </c>
    </row>
    <row r="10" spans="1:6" x14ac:dyDescent="0.25">
      <c r="A10">
        <v>9</v>
      </c>
      <c r="B10">
        <v>1.05</v>
      </c>
      <c r="C10">
        <v>27</v>
      </c>
      <c r="D10">
        <v>58</v>
      </c>
      <c r="E10">
        <v>3.1E-2</v>
      </c>
      <c r="F10">
        <v>33.869999999999997</v>
      </c>
    </row>
    <row r="11" spans="1:6" x14ac:dyDescent="0.25">
      <c r="A11">
        <v>10</v>
      </c>
      <c r="B11">
        <v>1.1499999999999999</v>
      </c>
      <c r="C11">
        <v>27</v>
      </c>
      <c r="D11">
        <v>61.2</v>
      </c>
      <c r="E11">
        <v>3.4200000000000001E-2</v>
      </c>
      <c r="F11">
        <v>33.630000000000003</v>
      </c>
    </row>
    <row r="12" spans="1:6" x14ac:dyDescent="0.25">
      <c r="A12">
        <v>11</v>
      </c>
      <c r="B12">
        <v>1.21</v>
      </c>
      <c r="C12">
        <v>27</v>
      </c>
      <c r="D12">
        <v>66</v>
      </c>
      <c r="E12">
        <v>3.9E-2</v>
      </c>
      <c r="F12">
        <v>31.03</v>
      </c>
    </row>
    <row r="13" spans="1:6" x14ac:dyDescent="0.25">
      <c r="A13">
        <v>12</v>
      </c>
      <c r="B13">
        <v>1.23</v>
      </c>
      <c r="C13">
        <v>27</v>
      </c>
      <c r="D13">
        <v>66.3</v>
      </c>
      <c r="E13">
        <v>3.9300000000000002E-2</v>
      </c>
      <c r="F13">
        <v>31.3</v>
      </c>
    </row>
    <row r="14" spans="1:6" x14ac:dyDescent="0.25">
      <c r="A14">
        <v>13</v>
      </c>
      <c r="B14">
        <v>1.35</v>
      </c>
      <c r="C14">
        <v>27</v>
      </c>
      <c r="D14">
        <v>69.3</v>
      </c>
      <c r="E14">
        <v>4.2299999999999997E-2</v>
      </c>
      <c r="F14">
        <v>31.91</v>
      </c>
    </row>
    <row r="15" spans="1:6" x14ac:dyDescent="0.25">
      <c r="A15">
        <v>14</v>
      </c>
      <c r="B15">
        <v>1.55</v>
      </c>
      <c r="C15">
        <v>27</v>
      </c>
      <c r="D15">
        <v>76.400000000000006</v>
      </c>
      <c r="E15">
        <v>4.9399999999999999E-2</v>
      </c>
      <c r="F15">
        <v>31.38</v>
      </c>
    </row>
    <row r="16" spans="1:6" x14ac:dyDescent="0.25">
      <c r="A16">
        <v>15</v>
      </c>
      <c r="B16">
        <v>1.71</v>
      </c>
      <c r="C16">
        <v>27</v>
      </c>
      <c r="D16">
        <v>82.5</v>
      </c>
      <c r="E16">
        <v>5.5500000000000001E-2</v>
      </c>
      <c r="F16">
        <v>30.81</v>
      </c>
    </row>
    <row r="17" spans="1:6" x14ac:dyDescent="0.25">
      <c r="A17">
        <v>16</v>
      </c>
      <c r="B17">
        <v>1.75</v>
      </c>
      <c r="C17">
        <v>27</v>
      </c>
      <c r="D17">
        <v>83.8</v>
      </c>
      <c r="E17">
        <v>5.6800000000000003E-2</v>
      </c>
      <c r="F17">
        <v>30.81</v>
      </c>
    </row>
    <row r="18" spans="1:6" x14ac:dyDescent="0.25">
      <c r="A18">
        <v>17</v>
      </c>
      <c r="B18">
        <v>1.92</v>
      </c>
      <c r="C18">
        <v>27</v>
      </c>
      <c r="D18">
        <v>91.7</v>
      </c>
      <c r="E18">
        <v>6.4699999999999994E-2</v>
      </c>
      <c r="F18">
        <v>29.68</v>
      </c>
    </row>
    <row r="19" spans="1:6" x14ac:dyDescent="0.25">
      <c r="A19">
        <v>18</v>
      </c>
      <c r="B19">
        <v>2.04</v>
      </c>
      <c r="C19">
        <v>27</v>
      </c>
      <c r="D19">
        <v>94.6</v>
      </c>
      <c r="E19">
        <v>6.7599999999999993E-2</v>
      </c>
      <c r="F19">
        <v>30.18</v>
      </c>
    </row>
    <row r="20" spans="1:6" x14ac:dyDescent="0.25">
      <c r="A20">
        <v>19</v>
      </c>
      <c r="B20">
        <v>2.15</v>
      </c>
      <c r="C20">
        <v>27</v>
      </c>
      <c r="D20">
        <v>97.4</v>
      </c>
      <c r="E20">
        <v>7.0400000000000004E-2</v>
      </c>
      <c r="F20">
        <v>30.54</v>
      </c>
    </row>
    <row r="21" spans="1:6" x14ac:dyDescent="0.25">
      <c r="A21">
        <v>20</v>
      </c>
      <c r="B21">
        <v>2.19</v>
      </c>
      <c r="C21">
        <v>27</v>
      </c>
      <c r="D21">
        <v>98.5</v>
      </c>
      <c r="E21">
        <v>7.1499999999999994E-2</v>
      </c>
      <c r="F21">
        <v>30.63</v>
      </c>
    </row>
    <row r="22" spans="1:6" x14ac:dyDescent="0.25">
      <c r="A22">
        <v>21</v>
      </c>
      <c r="B22">
        <v>2.25</v>
      </c>
      <c r="C22">
        <v>27</v>
      </c>
      <c r="D22">
        <v>99.74</v>
      </c>
      <c r="E22">
        <v>7.2739999999999999E-2</v>
      </c>
      <c r="F22">
        <v>30.93</v>
      </c>
    </row>
    <row r="23" spans="1:6" x14ac:dyDescent="0.25">
      <c r="A23">
        <v>22</v>
      </c>
      <c r="B23">
        <v>2.4</v>
      </c>
      <c r="C23">
        <v>27</v>
      </c>
      <c r="D23">
        <v>105.5</v>
      </c>
      <c r="E23">
        <v>7.85E-2</v>
      </c>
      <c r="F23">
        <v>30.57</v>
      </c>
    </row>
    <row r="24" spans="1:6" x14ac:dyDescent="0.25">
      <c r="A24">
        <v>23</v>
      </c>
      <c r="B24">
        <v>2.5499999999999998</v>
      </c>
      <c r="C24">
        <v>27</v>
      </c>
      <c r="D24">
        <v>108.2</v>
      </c>
      <c r="E24">
        <v>8.1199999999999994E-2</v>
      </c>
      <c r="F24">
        <v>31.4</v>
      </c>
    </row>
    <row r="25" spans="1:6" x14ac:dyDescent="0.25">
      <c r="A25">
        <v>24</v>
      </c>
      <c r="B25">
        <v>2.72</v>
      </c>
      <c r="C25">
        <v>27</v>
      </c>
      <c r="D25">
        <v>112.3</v>
      </c>
      <c r="E25">
        <v>8.5300000000000001E-2</v>
      </c>
      <c r="F25">
        <v>31.89</v>
      </c>
    </row>
    <row r="26" spans="1:6" x14ac:dyDescent="0.25">
      <c r="A26">
        <v>25</v>
      </c>
      <c r="B26">
        <v>2.85</v>
      </c>
      <c r="C26">
        <v>27</v>
      </c>
      <c r="D26">
        <v>119.5</v>
      </c>
      <c r="E26">
        <v>9.2499999999999999E-2</v>
      </c>
      <c r="F26">
        <v>30.81</v>
      </c>
    </row>
    <row r="27" spans="1:6" x14ac:dyDescent="0.25">
      <c r="A27">
        <v>26</v>
      </c>
      <c r="B27">
        <v>3</v>
      </c>
      <c r="C27">
        <v>27</v>
      </c>
      <c r="D27">
        <v>124.5</v>
      </c>
      <c r="E27">
        <v>9.7500000000000003E-2</v>
      </c>
      <c r="F27">
        <v>30.77</v>
      </c>
    </row>
    <row r="28" spans="1:6" x14ac:dyDescent="0.25">
      <c r="E28" s="26" t="s">
        <v>4</v>
      </c>
      <c r="F28" s="40">
        <f>AVERAGE(F2:F27)</f>
        <v>31.764615384615375</v>
      </c>
    </row>
    <row r="29" spans="1:6" x14ac:dyDescent="0.25">
      <c r="E29" s="26" t="s">
        <v>5</v>
      </c>
      <c r="F29" s="40">
        <f>_xlfn.STDEV.S(F2:F28)</f>
        <v>1.3773559697680267</v>
      </c>
    </row>
    <row r="30" spans="1:6" x14ac:dyDescent="0.25">
      <c r="E30" s="26" t="s">
        <v>10</v>
      </c>
      <c r="F30" s="38">
        <f>_xlfn.QUARTILE.INC(F$2:F$27,0)</f>
        <v>29.68</v>
      </c>
    </row>
    <row r="31" spans="1:6" x14ac:dyDescent="0.25">
      <c r="E31" s="26" t="s">
        <v>6</v>
      </c>
      <c r="F31" s="38">
        <f>_xlfn.QUARTILE.INC(F$2:F$27,1)</f>
        <v>30.81</v>
      </c>
    </row>
    <row r="32" spans="1:6" x14ac:dyDescent="0.25">
      <c r="E32" s="26" t="s">
        <v>7</v>
      </c>
      <c r="F32" s="38">
        <f>_xlfn.QUARTILE.INC(F$2:F$27,2)</f>
        <v>31.3</v>
      </c>
    </row>
    <row r="33" spans="5:6" x14ac:dyDescent="0.25">
      <c r="E33" s="26" t="s">
        <v>8</v>
      </c>
      <c r="F33" s="38">
        <f>_xlfn.QUARTILE.INC(F$2:F$27,3)</f>
        <v>32.64</v>
      </c>
    </row>
    <row r="34" spans="5:6" x14ac:dyDescent="0.25">
      <c r="E34" s="26" t="s">
        <v>9</v>
      </c>
      <c r="F34" s="38">
        <f>_xlfn.QUARTILE.INC(F$2:F$27,4)</f>
        <v>34.880000000000003</v>
      </c>
    </row>
    <row r="35" spans="5:6" x14ac:dyDescent="0.25">
      <c r="E35" s="26" t="s">
        <v>11</v>
      </c>
      <c r="F35" s="38">
        <f>F33-F31</f>
        <v>1.8300000000000018</v>
      </c>
    </row>
    <row r="36" spans="5:6" x14ac:dyDescent="0.25">
      <c r="E36" s="26" t="s">
        <v>26</v>
      </c>
      <c r="F36" s="38">
        <f>F29/(26^0.5)</f>
        <v>0.27012172950041086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6CAF-7767-4424-99EE-67250EAB9E50}">
  <dimension ref="A1:R20"/>
  <sheetViews>
    <sheetView workbookViewId="0">
      <selection activeCell="L17" sqref="L17"/>
    </sheetView>
  </sheetViews>
  <sheetFormatPr defaultRowHeight="15" x14ac:dyDescent="0.25"/>
  <cols>
    <col min="6" max="6" width="11.7109375" customWidth="1"/>
    <col min="7" max="7" width="15" customWidth="1"/>
    <col min="14" max="14" width="6.85546875" bestFit="1" customWidth="1"/>
    <col min="15" max="15" width="18.5703125" bestFit="1" customWidth="1"/>
    <col min="16" max="16" width="15.42578125" bestFit="1" customWidth="1"/>
    <col min="17" max="17" width="10.5703125" bestFit="1" customWidth="1"/>
    <col min="18" max="18" width="6.42578125" bestFit="1" customWidth="1"/>
  </cols>
  <sheetData>
    <row r="1" spans="1:18" x14ac:dyDescent="0.25">
      <c r="A1" s="75" t="s">
        <v>27</v>
      </c>
      <c r="B1" s="75"/>
      <c r="C1" s="75"/>
      <c r="D1" s="75"/>
      <c r="E1" s="75"/>
      <c r="F1" s="75"/>
      <c r="G1" s="75"/>
      <c r="H1" s="3"/>
    </row>
    <row r="2" spans="1:18" x14ac:dyDescent="0.25">
      <c r="A2" s="75" t="s">
        <v>28</v>
      </c>
      <c r="B2" s="75"/>
      <c r="C2" s="75"/>
      <c r="D2" s="75"/>
      <c r="E2" s="75"/>
      <c r="F2" s="75"/>
      <c r="G2" s="75"/>
      <c r="H2" s="3"/>
    </row>
    <row r="3" spans="1:18" ht="21" x14ac:dyDescent="0.35">
      <c r="M3" s="76" t="s">
        <v>14</v>
      </c>
      <c r="N3" s="76"/>
      <c r="O3" s="76"/>
      <c r="P3" s="76"/>
      <c r="Q3" s="76"/>
    </row>
    <row r="4" spans="1:18" ht="18.75" x14ac:dyDescent="0.3">
      <c r="A4" s="4" t="s">
        <v>15</v>
      </c>
      <c r="B4" s="4" t="s">
        <v>16</v>
      </c>
    </row>
    <row r="5" spans="1:18" ht="19.149999999999999" customHeight="1" x14ac:dyDescent="0.3">
      <c r="A5" s="5">
        <v>31.76</v>
      </c>
      <c r="B5" s="24">
        <v>0.27</v>
      </c>
      <c r="M5" s="6" t="s">
        <v>17</v>
      </c>
      <c r="N5" s="6" t="s">
        <v>18</v>
      </c>
      <c r="O5" s="6" t="s">
        <v>19</v>
      </c>
      <c r="P5" s="6" t="s">
        <v>20</v>
      </c>
      <c r="Q5" s="6" t="s">
        <v>21</v>
      </c>
    </row>
    <row r="6" spans="1:18" ht="19.149999999999999" customHeight="1" x14ac:dyDescent="0.25">
      <c r="E6" s="7"/>
      <c r="F6" s="8"/>
      <c r="G6" s="8"/>
      <c r="H6" s="8"/>
      <c r="M6" s="9">
        <v>31.2</v>
      </c>
      <c r="N6" s="9">
        <v>32</v>
      </c>
      <c r="O6" s="10">
        <f>_xlfn.NORM.DIST(M6,A5,B5,TRUE)</f>
        <v>1.9036215977654428E-2</v>
      </c>
      <c r="P6" s="11">
        <f>_xlfn.NORM.DIST(N6,A5,B5,TRUE)-_xlfn.NORM.DIST(M6,A5,B5,TRUE)</f>
        <v>0.79393238527690269</v>
      </c>
      <c r="Q6" s="12">
        <f>1-_xlfn.NORM.DIST(N6,A5,B5,TRUE)</f>
        <v>0.18703139874544283</v>
      </c>
      <c r="R6" s="13" t="s">
        <v>22</v>
      </c>
    </row>
    <row r="7" spans="1:18" ht="21.6" customHeight="1" x14ac:dyDescent="0.25">
      <c r="E7" s="7"/>
      <c r="F7" s="8"/>
      <c r="G7" s="8"/>
      <c r="H7" s="8"/>
      <c r="O7" s="14">
        <f>O6</f>
        <v>1.9036215977654428E-2</v>
      </c>
      <c r="P7" s="14">
        <f>P6</f>
        <v>0.79393238527690269</v>
      </c>
      <c r="Q7" s="14">
        <f>Q6</f>
        <v>0.18703139874544283</v>
      </c>
      <c r="R7" s="15">
        <f>SUM(O7:Q7)</f>
        <v>1</v>
      </c>
    </row>
    <row r="8" spans="1:18" x14ac:dyDescent="0.25">
      <c r="E8" s="7"/>
      <c r="F8" s="8"/>
      <c r="G8" s="8"/>
      <c r="H8" s="8"/>
    </row>
    <row r="9" spans="1:18" x14ac:dyDescent="0.25">
      <c r="E9" s="7"/>
      <c r="F9" s="8"/>
      <c r="G9" s="8"/>
      <c r="H9" s="8"/>
    </row>
    <row r="10" spans="1:18" ht="21" x14ac:dyDescent="0.35">
      <c r="E10" s="7"/>
      <c r="F10" s="8"/>
      <c r="G10" s="8"/>
      <c r="H10" s="8"/>
      <c r="M10" s="16"/>
      <c r="N10" s="16"/>
      <c r="O10" s="25"/>
      <c r="P10" s="16"/>
      <c r="Q10" s="16"/>
    </row>
    <row r="11" spans="1:18" x14ac:dyDescent="0.25">
      <c r="E11" s="7"/>
      <c r="F11" s="8"/>
      <c r="G11" s="8"/>
      <c r="H11" s="8"/>
      <c r="M11" s="19"/>
      <c r="N11" s="19"/>
      <c r="O11" s="19"/>
    </row>
    <row r="12" spans="1:18" ht="18.75" x14ac:dyDescent="0.25">
      <c r="M12" s="20"/>
      <c r="N12" s="20"/>
      <c r="O12" s="19"/>
    </row>
    <row r="13" spans="1:18" ht="15.75" x14ac:dyDescent="0.25">
      <c r="M13" s="21"/>
      <c r="N13" s="22"/>
      <c r="O13" s="19"/>
    </row>
    <row r="14" spans="1:18" x14ac:dyDescent="0.25">
      <c r="E14" s="7"/>
      <c r="F14" s="8"/>
      <c r="G14" s="8"/>
      <c r="H14" s="8"/>
      <c r="M14" s="23"/>
      <c r="N14" s="19"/>
      <c r="O14" s="19"/>
    </row>
    <row r="15" spans="1:18" ht="11.45" customHeight="1" x14ac:dyDescent="0.25">
      <c r="E15" s="7"/>
      <c r="F15" s="8"/>
      <c r="G15" s="8"/>
      <c r="H15" s="8"/>
      <c r="M15" s="19"/>
      <c r="N15" s="19"/>
      <c r="O15" s="19"/>
    </row>
    <row r="16" spans="1:18" ht="18.75" x14ac:dyDescent="0.25">
      <c r="E16" s="7"/>
      <c r="F16" s="17">
        <f>A5-B5</f>
        <v>31.490000000000002</v>
      </c>
      <c r="G16" s="17">
        <f>A5</f>
        <v>31.76</v>
      </c>
      <c r="H16" s="17">
        <f>A5+B5</f>
        <v>32.03</v>
      </c>
      <c r="M16" s="19"/>
      <c r="N16" s="19"/>
      <c r="O16" s="19"/>
    </row>
    <row r="17" spans="1:8" ht="18.75" x14ac:dyDescent="0.3">
      <c r="F17" s="18" t="s">
        <v>23</v>
      </c>
      <c r="G17" s="18" t="s">
        <v>24</v>
      </c>
      <c r="H17" s="18" t="s">
        <v>25</v>
      </c>
    </row>
    <row r="19" spans="1:8" x14ac:dyDescent="0.25">
      <c r="A19" s="26" t="s">
        <v>29</v>
      </c>
      <c r="B19" s="26"/>
      <c r="C19" s="26"/>
    </row>
    <row r="20" spans="1:8" x14ac:dyDescent="0.25">
      <c r="A20" s="26" t="s">
        <v>30</v>
      </c>
      <c r="B20" s="26"/>
      <c r="C20" s="26"/>
    </row>
  </sheetData>
  <mergeCells count="3">
    <mergeCell ref="A1:G1"/>
    <mergeCell ref="M3:Q3"/>
    <mergeCell ref="A2:G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908-ADD2-4A96-8590-5AF316179E40}">
  <dimension ref="A1:S20"/>
  <sheetViews>
    <sheetView workbookViewId="0">
      <selection activeCell="L22" sqref="L22"/>
    </sheetView>
  </sheetViews>
  <sheetFormatPr defaultRowHeight="15" x14ac:dyDescent="0.25"/>
  <cols>
    <col min="12" max="12" width="5.28515625" customWidth="1"/>
    <col min="13" max="13" width="10.85546875" customWidth="1"/>
    <col min="15" max="15" width="12.140625" customWidth="1"/>
    <col min="16" max="16" width="10" bestFit="1" customWidth="1"/>
  </cols>
  <sheetData>
    <row r="1" spans="1:19" x14ac:dyDescent="0.25">
      <c r="A1" s="75" t="s">
        <v>44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9" x14ac:dyDescent="0.25">
      <c r="A2" s="61" t="s">
        <v>51</v>
      </c>
      <c r="B2" s="61"/>
      <c r="C2" s="61"/>
      <c r="D2" s="62">
        <v>0.9</v>
      </c>
      <c r="L2" s="19"/>
      <c r="M2" s="19"/>
      <c r="N2" s="19"/>
      <c r="O2" s="19"/>
      <c r="P2" s="19"/>
      <c r="Q2" s="19"/>
      <c r="R2" s="19"/>
      <c r="S2" s="19"/>
    </row>
    <row r="3" spans="1:19" x14ac:dyDescent="0.25">
      <c r="L3" s="19"/>
      <c r="M3" s="77"/>
      <c r="N3" s="77"/>
      <c r="O3" s="77"/>
      <c r="P3" s="41"/>
      <c r="Q3" s="19"/>
      <c r="R3" s="19"/>
      <c r="S3" s="19"/>
    </row>
    <row r="4" spans="1:19" ht="21" x14ac:dyDescent="0.35">
      <c r="L4" s="19"/>
      <c r="M4" s="78"/>
      <c r="N4" s="78"/>
      <c r="O4" s="78"/>
      <c r="P4" s="78"/>
      <c r="Q4" s="78"/>
      <c r="R4" s="19"/>
      <c r="S4" s="19"/>
    </row>
    <row r="5" spans="1:19" ht="18.75" x14ac:dyDescent="0.3">
      <c r="A5" s="4" t="s">
        <v>15</v>
      </c>
      <c r="B5" s="4" t="s">
        <v>16</v>
      </c>
      <c r="L5" s="19"/>
      <c r="M5" s="19"/>
      <c r="N5" s="19"/>
      <c r="O5" s="19"/>
      <c r="P5" s="19"/>
      <c r="Q5" s="19"/>
      <c r="R5" s="19"/>
      <c r="S5" s="19"/>
    </row>
    <row r="6" spans="1:19" ht="19.149999999999999" customHeight="1" x14ac:dyDescent="0.3">
      <c r="A6" s="5">
        <v>0</v>
      </c>
      <c r="B6" s="27">
        <v>1</v>
      </c>
      <c r="L6" s="19"/>
      <c r="M6" s="20"/>
      <c r="N6" s="20"/>
      <c r="O6" s="20"/>
      <c r="P6" s="20"/>
      <c r="Q6" s="20"/>
      <c r="R6" s="19"/>
      <c r="S6" s="19"/>
    </row>
    <row r="7" spans="1:19" ht="19.149999999999999" customHeight="1" x14ac:dyDescent="0.25">
      <c r="E7" s="7"/>
      <c r="F7" s="8"/>
      <c r="G7" s="8"/>
      <c r="H7" s="8"/>
      <c r="L7" s="19"/>
      <c r="M7" s="31"/>
      <c r="N7" s="31"/>
      <c r="O7" s="32"/>
      <c r="P7" s="33"/>
      <c r="Q7" s="34"/>
      <c r="R7" s="35"/>
      <c r="S7" s="19"/>
    </row>
    <row r="8" spans="1:19" ht="21.6" customHeight="1" x14ac:dyDescent="0.25">
      <c r="E8" s="7"/>
      <c r="F8" s="8"/>
      <c r="G8" s="8"/>
      <c r="H8" s="8"/>
      <c r="L8" s="19"/>
      <c r="M8" s="19"/>
      <c r="N8" s="19"/>
      <c r="O8" s="36"/>
      <c r="P8" s="36"/>
      <c r="Q8" s="36"/>
      <c r="R8" s="37"/>
      <c r="S8" s="19"/>
    </row>
    <row r="9" spans="1:19" x14ac:dyDescent="0.25">
      <c r="E9" s="7"/>
      <c r="F9" s="8"/>
      <c r="G9" s="8"/>
      <c r="H9" s="8"/>
      <c r="L9" s="19"/>
      <c r="M9" s="19"/>
      <c r="N9" s="19"/>
      <c r="O9" s="19"/>
      <c r="P9" s="19"/>
      <c r="Q9" s="19"/>
      <c r="R9" s="19"/>
      <c r="S9" s="19"/>
    </row>
    <row r="10" spans="1:19" x14ac:dyDescent="0.25">
      <c r="E10" s="7"/>
      <c r="F10" s="8"/>
      <c r="G10" s="8"/>
      <c r="H10" s="8"/>
    </row>
    <row r="11" spans="1:19" ht="21" x14ac:dyDescent="0.35">
      <c r="E11" s="7"/>
      <c r="F11" s="8"/>
      <c r="G11" s="8"/>
      <c r="H11" s="8"/>
      <c r="M11" s="16" t="s">
        <v>31</v>
      </c>
      <c r="N11" s="16"/>
      <c r="O11" s="16"/>
      <c r="P11" s="16"/>
      <c r="Q11" s="16"/>
    </row>
    <row r="12" spans="1:19" ht="21" x14ac:dyDescent="0.35">
      <c r="E12" s="7"/>
      <c r="F12" s="8"/>
      <c r="G12" s="8"/>
      <c r="H12" s="8"/>
      <c r="M12" s="16"/>
      <c r="N12" s="16"/>
      <c r="O12" s="16"/>
      <c r="P12" s="16"/>
      <c r="Q12" s="16"/>
    </row>
    <row r="13" spans="1:19" x14ac:dyDescent="0.25">
      <c r="E13" s="7"/>
      <c r="F13" s="8"/>
      <c r="G13" s="8"/>
      <c r="H13" s="8"/>
    </row>
    <row r="14" spans="1:19" ht="18.75" x14ac:dyDescent="0.25">
      <c r="M14" s="6" t="s">
        <v>32</v>
      </c>
      <c r="N14" s="6" t="s">
        <v>45</v>
      </c>
      <c r="P14" s="63" t="s">
        <v>48</v>
      </c>
      <c r="Q14" s="63" t="s">
        <v>49</v>
      </c>
    </row>
    <row r="15" spans="1:19" ht="15.75" x14ac:dyDescent="0.25">
      <c r="M15" s="28">
        <f>(1-D2)/2</f>
        <v>4.9999999999999989E-2</v>
      </c>
      <c r="N15" s="29">
        <f>_xlfn.NORM.INV(M15,A6,B6)</f>
        <v>-1.6448536269514726</v>
      </c>
      <c r="P15" s="64">
        <f>Estatística_Descritiva!F28 - SQRT((Intervalo_Confiança!N15)^2)*Estatística_Descritiva!F36</f>
        <v>31.32030467812822</v>
      </c>
      <c r="Q15" s="64">
        <f>Estatística_Descritiva!F28 + SQRT((Intervalo_Confiança!N15)^2)*Estatística_Descritiva!F36</f>
        <v>32.208926091102533</v>
      </c>
    </row>
    <row r="16" spans="1:19" x14ac:dyDescent="0.25">
      <c r="E16" s="7"/>
      <c r="F16" s="8"/>
      <c r="G16" s="8"/>
      <c r="H16" s="8"/>
      <c r="M16" s="30"/>
    </row>
    <row r="17" spans="5:19" ht="11.45" customHeight="1" x14ac:dyDescent="0.25">
      <c r="E17" s="7"/>
      <c r="F17" s="8"/>
      <c r="G17" s="8"/>
      <c r="H17" s="8"/>
    </row>
    <row r="18" spans="5:19" ht="18.75" x14ac:dyDescent="0.25">
      <c r="E18" s="7"/>
      <c r="F18" s="17">
        <f>A6-B6</f>
        <v>-1</v>
      </c>
      <c r="G18" s="17">
        <f>A6</f>
        <v>0</v>
      </c>
      <c r="H18" s="17">
        <f>A6+B6</f>
        <v>1</v>
      </c>
      <c r="M18" s="1"/>
    </row>
    <row r="19" spans="5:19" ht="18.75" x14ac:dyDescent="0.3">
      <c r="F19" s="18" t="s">
        <v>23</v>
      </c>
      <c r="G19" s="18" t="s">
        <v>24</v>
      </c>
      <c r="H19" s="18" t="s">
        <v>25</v>
      </c>
      <c r="M19" s="2"/>
      <c r="N19" s="3"/>
      <c r="O19" s="39"/>
    </row>
    <row r="20" spans="5:19" s="47" customFormat="1" x14ac:dyDescent="0.25">
      <c r="J20" s="46"/>
      <c r="K20" s="46"/>
      <c r="L20" s="77" t="s">
        <v>46</v>
      </c>
      <c r="M20" s="77"/>
      <c r="N20" s="77"/>
      <c r="O20" s="60">
        <f>D2</f>
        <v>0.9</v>
      </c>
      <c r="P20" s="58" t="s">
        <v>47</v>
      </c>
      <c r="Q20" s="59">
        <f>P15</f>
        <v>31.32030467812822</v>
      </c>
      <c r="R20" s="46" t="s">
        <v>50</v>
      </c>
      <c r="S20" s="59">
        <f>Q15</f>
        <v>32.208926091102533</v>
      </c>
    </row>
  </sheetData>
  <mergeCells count="4">
    <mergeCell ref="A1:K1"/>
    <mergeCell ref="M3:O3"/>
    <mergeCell ref="M4:Q4"/>
    <mergeCell ref="L20:N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C79BD-2500-498B-BB3A-9E5A5689645F}">
  <dimension ref="A1:S35"/>
  <sheetViews>
    <sheetView topLeftCell="A28" workbookViewId="0">
      <selection activeCell="F25" sqref="F25"/>
    </sheetView>
  </sheetViews>
  <sheetFormatPr defaultRowHeight="15" x14ac:dyDescent="0.25"/>
  <cols>
    <col min="4" max="4" width="12" bestFit="1" customWidth="1"/>
  </cols>
  <sheetData>
    <row r="1" spans="1:19" x14ac:dyDescent="0.25">
      <c r="A1" s="75" t="s">
        <v>39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9" x14ac:dyDescent="0.25">
      <c r="A2" t="s">
        <v>52</v>
      </c>
      <c r="L2" s="19"/>
      <c r="M2" s="19"/>
      <c r="N2" s="19"/>
      <c r="O2" s="19"/>
      <c r="P2" s="19"/>
      <c r="Q2" s="19"/>
      <c r="R2" s="19"/>
      <c r="S2" s="19"/>
    </row>
    <row r="3" spans="1:19" x14ac:dyDescent="0.25">
      <c r="A3" t="s">
        <v>42</v>
      </c>
      <c r="L3" s="19"/>
      <c r="M3" s="77"/>
      <c r="N3" s="77"/>
      <c r="O3" s="77"/>
      <c r="P3" s="41"/>
      <c r="Q3" s="19"/>
      <c r="R3" s="19"/>
      <c r="S3" s="19"/>
    </row>
    <row r="4" spans="1:19" ht="21" x14ac:dyDescent="0.35">
      <c r="A4" t="s">
        <v>53</v>
      </c>
      <c r="L4" s="19"/>
      <c r="M4" s="78"/>
      <c r="N4" s="78"/>
      <c r="O4" s="78"/>
      <c r="P4" s="78"/>
      <c r="Q4" s="78"/>
      <c r="R4" s="19"/>
      <c r="S4" s="19"/>
    </row>
    <row r="5" spans="1:19" ht="18.75" x14ac:dyDescent="0.3">
      <c r="A5" s="4" t="s">
        <v>15</v>
      </c>
      <c r="B5" s="4" t="s">
        <v>16</v>
      </c>
      <c r="L5" s="19"/>
      <c r="M5" s="19"/>
      <c r="N5" s="19"/>
      <c r="O5" s="19"/>
      <c r="P5" s="19"/>
      <c r="Q5" s="19"/>
      <c r="R5" s="19"/>
      <c r="S5" s="19"/>
    </row>
    <row r="6" spans="1:19" ht="19.149999999999999" customHeight="1" x14ac:dyDescent="0.3">
      <c r="A6" s="5">
        <v>0</v>
      </c>
      <c r="B6" s="27">
        <v>1</v>
      </c>
      <c r="L6" s="19"/>
      <c r="M6" s="20"/>
      <c r="N6" s="20"/>
      <c r="O6" s="20"/>
      <c r="P6" s="20"/>
      <c r="Q6" s="20"/>
      <c r="R6" s="19"/>
      <c r="S6" s="19"/>
    </row>
    <row r="7" spans="1:19" ht="19.149999999999999" customHeight="1" x14ac:dyDescent="0.25">
      <c r="E7" s="7"/>
      <c r="F7" s="8"/>
      <c r="G7" s="8"/>
      <c r="H7" s="8"/>
      <c r="L7" s="19"/>
      <c r="M7" s="31"/>
      <c r="N7" s="31"/>
      <c r="O7" s="32"/>
      <c r="P7" s="33"/>
      <c r="Q7" s="34"/>
      <c r="R7" s="35"/>
      <c r="S7" s="19"/>
    </row>
    <row r="8" spans="1:19" ht="21.6" customHeight="1" x14ac:dyDescent="0.25">
      <c r="E8" s="7"/>
      <c r="F8" s="8"/>
      <c r="G8" s="8"/>
      <c r="H8" s="8"/>
      <c r="L8" s="19"/>
      <c r="M8" s="19"/>
      <c r="N8" s="19"/>
      <c r="O8" s="36"/>
      <c r="P8" s="36"/>
      <c r="Q8" s="36"/>
      <c r="R8" s="37"/>
      <c r="S8" s="19"/>
    </row>
    <row r="9" spans="1:19" x14ac:dyDescent="0.25">
      <c r="E9" s="7"/>
      <c r="F9" s="8"/>
      <c r="G9" s="8"/>
      <c r="H9" s="8"/>
      <c r="L9" s="19"/>
      <c r="M9" s="19"/>
      <c r="N9" s="19"/>
      <c r="O9" s="19"/>
      <c r="P9" s="19"/>
      <c r="Q9" s="19"/>
      <c r="R9" s="19"/>
      <c r="S9" s="19"/>
    </row>
    <row r="10" spans="1:19" x14ac:dyDescent="0.25">
      <c r="E10" s="7"/>
      <c r="F10" s="8"/>
      <c r="G10" s="8"/>
      <c r="H10" s="8"/>
    </row>
    <row r="11" spans="1:19" ht="21" x14ac:dyDescent="0.35">
      <c r="E11" s="7"/>
      <c r="F11" s="8"/>
      <c r="G11" s="8"/>
      <c r="H11" s="8"/>
      <c r="M11" s="16" t="s">
        <v>31</v>
      </c>
      <c r="N11" s="16"/>
      <c r="O11" s="16"/>
      <c r="P11" s="16"/>
      <c r="Q11" s="16"/>
    </row>
    <row r="12" spans="1:19" x14ac:dyDescent="0.25">
      <c r="E12" s="7"/>
      <c r="F12" s="8"/>
      <c r="G12" s="8"/>
      <c r="H12" s="8"/>
    </row>
    <row r="13" spans="1:19" ht="18.75" x14ac:dyDescent="0.25">
      <c r="M13" s="6" t="s">
        <v>32</v>
      </c>
      <c r="N13" s="6" t="s">
        <v>40</v>
      </c>
    </row>
    <row r="14" spans="1:19" ht="15.75" x14ac:dyDescent="0.25">
      <c r="M14" s="28">
        <v>0.95</v>
      </c>
      <c r="N14" s="29">
        <f>_xlfn.NORM.INV(M14,A6,B6)</f>
        <v>1.6448536269514715</v>
      </c>
    </row>
    <row r="15" spans="1:19" x14ac:dyDescent="0.25">
      <c r="E15" s="7"/>
      <c r="F15" s="8"/>
      <c r="G15" s="8"/>
      <c r="H15" s="8"/>
      <c r="M15" s="30"/>
    </row>
    <row r="16" spans="1:19" ht="11.45" customHeight="1" x14ac:dyDescent="0.25">
      <c r="E16" s="7"/>
      <c r="F16" s="8"/>
      <c r="G16" s="8"/>
      <c r="H16" s="8"/>
    </row>
    <row r="17" spans="1:18" ht="18.75" x14ac:dyDescent="0.25">
      <c r="E17" s="7"/>
      <c r="F17" s="17">
        <f>A6-B6</f>
        <v>-1</v>
      </c>
      <c r="G17" s="17">
        <f>A6</f>
        <v>0</v>
      </c>
      <c r="H17" s="17">
        <f>A6+B6</f>
        <v>1</v>
      </c>
      <c r="M17" s="1"/>
    </row>
    <row r="18" spans="1:18" ht="18.75" x14ac:dyDescent="0.3">
      <c r="F18" s="18" t="s">
        <v>23</v>
      </c>
      <c r="G18" s="18" t="s">
        <v>24</v>
      </c>
      <c r="H18" s="18" t="s">
        <v>25</v>
      </c>
      <c r="M18" s="2"/>
      <c r="N18" s="3"/>
      <c r="O18" s="39"/>
    </row>
    <row r="19" spans="1:18" s="47" customFormat="1" x14ac:dyDescent="0.25">
      <c r="H19" s="48"/>
      <c r="I19" s="77"/>
      <c r="J19" s="77"/>
      <c r="K19" s="77"/>
      <c r="L19" s="77"/>
      <c r="M19" s="49"/>
      <c r="N19" s="50"/>
      <c r="O19" s="49"/>
    </row>
    <row r="20" spans="1:18" x14ac:dyDescent="0.25">
      <c r="A20" s="26" t="s">
        <v>41</v>
      </c>
    </row>
    <row r="21" spans="1:18" x14ac:dyDescent="0.25">
      <c r="A21" s="52">
        <f>(Estatística_Descritiva!F28-31.2)/Estatística_Descritiva!F36</f>
        <v>2.0902257129022161</v>
      </c>
      <c r="B21" s="1" t="s">
        <v>58</v>
      </c>
      <c r="C21" s="1"/>
      <c r="D21" s="1"/>
      <c r="E21" s="1"/>
    </row>
    <row r="23" spans="1:18" ht="21" x14ac:dyDescent="0.35">
      <c r="C23" s="80" t="s">
        <v>33</v>
      </c>
      <c r="D23" s="80"/>
      <c r="E23" s="80"/>
      <c r="F23" s="80"/>
      <c r="G23" s="80"/>
      <c r="H23" s="80"/>
    </row>
    <row r="24" spans="1:18" ht="21" x14ac:dyDescent="0.25">
      <c r="C24" s="81" t="s">
        <v>34</v>
      </c>
      <c r="D24" s="81"/>
      <c r="G24" s="82"/>
      <c r="H24" s="82"/>
      <c r="I24" s="19"/>
      <c r="J24" s="19"/>
      <c r="K24" s="19"/>
      <c r="L24" s="19"/>
    </row>
    <row r="25" spans="1:18" ht="25.9" customHeight="1" x14ac:dyDescent="0.25">
      <c r="C25" s="42" t="s">
        <v>35</v>
      </c>
      <c r="D25" s="43">
        <v>26</v>
      </c>
      <c r="G25" s="54"/>
      <c r="H25" s="20"/>
      <c r="I25" s="19"/>
      <c r="J25" s="19"/>
      <c r="K25" s="19"/>
      <c r="L25" s="19"/>
    </row>
    <row r="26" spans="1:18" ht="25.9" customHeight="1" x14ac:dyDescent="0.25">
      <c r="C26" s="42"/>
      <c r="D26" s="43">
        <v>31.76</v>
      </c>
      <c r="G26" s="54"/>
      <c r="H26" s="20"/>
      <c r="I26" s="19"/>
      <c r="J26" s="19"/>
      <c r="K26" s="19"/>
      <c r="L26" s="19"/>
    </row>
    <row r="27" spans="1:18" ht="25.9" customHeight="1" x14ac:dyDescent="0.25">
      <c r="C27" s="42"/>
      <c r="D27" s="43">
        <v>31.2</v>
      </c>
      <c r="G27" s="54"/>
      <c r="H27" s="20"/>
      <c r="I27" s="19"/>
      <c r="J27" s="19"/>
      <c r="K27" s="19"/>
      <c r="L27" s="19"/>
    </row>
    <row r="28" spans="1:18" ht="25.9" customHeight="1" x14ac:dyDescent="0.25">
      <c r="C28" s="42"/>
      <c r="D28" s="43">
        <v>0.27</v>
      </c>
      <c r="G28" s="55"/>
      <c r="H28" s="20"/>
      <c r="I28" s="19"/>
      <c r="J28" s="19"/>
      <c r="K28" s="19"/>
      <c r="L28" s="19"/>
    </row>
    <row r="29" spans="1:18" ht="45" customHeight="1" x14ac:dyDescent="0.25">
      <c r="C29" s="42"/>
      <c r="D29" s="53">
        <f>D28/SQRT(D25)</f>
        <v>5.2951356487309698E-2</v>
      </c>
      <c r="G29" s="55"/>
      <c r="H29" s="20"/>
      <c r="I29" s="19"/>
      <c r="J29" s="19"/>
      <c r="K29" s="19"/>
      <c r="L29" s="19"/>
    </row>
    <row r="30" spans="1:18" ht="25.9" customHeight="1" x14ac:dyDescent="0.25">
      <c r="C30" s="6" t="s">
        <v>32</v>
      </c>
      <c r="D30" s="44">
        <f>_xlfn.NORM.DIST(D26,D27,D29,1)</f>
        <v>1</v>
      </c>
      <c r="E30" s="45" t="s">
        <v>36</v>
      </c>
      <c r="G30" s="55"/>
      <c r="H30" s="56"/>
      <c r="I30" s="19"/>
      <c r="J30" s="19"/>
      <c r="K30" s="19"/>
      <c r="L30" s="19"/>
    </row>
    <row r="31" spans="1:18" ht="43.15" customHeight="1" x14ac:dyDescent="0.25">
      <c r="C31" s="6" t="s">
        <v>32</v>
      </c>
      <c r="D31" s="44">
        <f>1-D30</f>
        <v>0</v>
      </c>
      <c r="E31" s="45" t="s">
        <v>37</v>
      </c>
      <c r="G31" s="54"/>
      <c r="H31" s="56"/>
      <c r="I31" s="79" t="s">
        <v>43</v>
      </c>
      <c r="J31" s="79"/>
      <c r="K31" s="79"/>
      <c r="L31" s="79"/>
      <c r="M31" s="79"/>
      <c r="N31" s="79"/>
      <c r="O31" s="79"/>
      <c r="P31" s="79"/>
      <c r="Q31" s="79"/>
      <c r="R31" s="79"/>
    </row>
    <row r="32" spans="1:18" ht="25.9" customHeight="1" x14ac:dyDescent="0.25">
      <c r="C32" s="6" t="s">
        <v>32</v>
      </c>
      <c r="D32" s="44">
        <f>2*MIN(D30:D31)</f>
        <v>0</v>
      </c>
      <c r="E32" s="45" t="s">
        <v>38</v>
      </c>
      <c r="G32" s="54"/>
      <c r="H32" s="56"/>
      <c r="I32" s="19"/>
      <c r="J32" s="19"/>
      <c r="K32" s="19"/>
      <c r="L32" s="19"/>
    </row>
    <row r="33" spans="7:12" ht="25.9" customHeight="1" x14ac:dyDescent="0.25">
      <c r="G33" s="54"/>
      <c r="H33" s="56"/>
      <c r="I33" s="57"/>
      <c r="J33" s="19"/>
      <c r="K33" s="19"/>
      <c r="L33" s="19"/>
    </row>
    <row r="34" spans="7:12" ht="25.9" customHeight="1" x14ac:dyDescent="0.25">
      <c r="G34" s="20"/>
      <c r="H34" s="56"/>
      <c r="I34" s="57"/>
      <c r="J34" s="19"/>
      <c r="K34" s="19"/>
      <c r="L34" s="19"/>
    </row>
    <row r="35" spans="7:12" ht="25.9" customHeight="1" x14ac:dyDescent="0.25">
      <c r="G35" s="20"/>
      <c r="H35" s="56"/>
      <c r="I35" s="57"/>
      <c r="J35" s="19"/>
      <c r="K35" s="19"/>
      <c r="L35" s="19"/>
    </row>
  </sheetData>
  <mergeCells count="8">
    <mergeCell ref="A1:K1"/>
    <mergeCell ref="M3:O3"/>
    <mergeCell ref="I19:L19"/>
    <mergeCell ref="I31:R31"/>
    <mergeCell ref="C23:H23"/>
    <mergeCell ref="C24:D24"/>
    <mergeCell ref="G24:H24"/>
    <mergeCell ref="M4:Q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AF84-C471-4AB9-B690-4E569D685B10}">
  <dimension ref="A1:R22"/>
  <sheetViews>
    <sheetView topLeftCell="A25" workbookViewId="0">
      <selection activeCell="I18" sqref="I18"/>
    </sheetView>
  </sheetViews>
  <sheetFormatPr defaultRowHeight="15" x14ac:dyDescent="0.25"/>
  <sheetData>
    <row r="1" spans="1:18" x14ac:dyDescent="0.25">
      <c r="A1" s="75" t="s">
        <v>54</v>
      </c>
      <c r="B1" s="75"/>
      <c r="C1" s="75"/>
      <c r="D1" s="75"/>
      <c r="E1" s="75"/>
      <c r="F1" s="75"/>
      <c r="G1" s="75"/>
      <c r="H1" s="75"/>
    </row>
    <row r="2" spans="1:18" x14ac:dyDescent="0.25">
      <c r="A2" s="66" t="s">
        <v>59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</row>
    <row r="3" spans="1:18" ht="21" x14ac:dyDescent="0.35">
      <c r="A3" s="83" t="s">
        <v>60</v>
      </c>
      <c r="B3" s="83"/>
      <c r="C3" s="83"/>
      <c r="D3" s="83"/>
      <c r="E3" s="83"/>
      <c r="F3" s="83"/>
      <c r="G3" s="83"/>
      <c r="H3" s="83"/>
      <c r="J3" s="67"/>
      <c r="M3" s="76" t="s">
        <v>14</v>
      </c>
      <c r="N3" s="76"/>
      <c r="O3" s="76"/>
      <c r="P3" s="76"/>
      <c r="Q3" s="76"/>
    </row>
    <row r="4" spans="1:18" ht="21" x14ac:dyDescent="0.35">
      <c r="A4" t="s">
        <v>55</v>
      </c>
      <c r="M4" s="51"/>
      <c r="N4" s="51"/>
      <c r="O4" s="51"/>
      <c r="P4" s="51"/>
      <c r="Q4" s="51"/>
    </row>
    <row r="5" spans="1:18" ht="18.75" x14ac:dyDescent="0.3">
      <c r="A5" s="4" t="s">
        <v>15</v>
      </c>
      <c r="B5" s="4" t="s">
        <v>16</v>
      </c>
    </row>
    <row r="6" spans="1:18" ht="19.149999999999999" customHeight="1" x14ac:dyDescent="0.3">
      <c r="A6" s="69">
        <v>31.76</v>
      </c>
      <c r="B6" s="70">
        <v>0.27</v>
      </c>
      <c r="M6" s="6" t="s">
        <v>17</v>
      </c>
      <c r="N6" s="6" t="s">
        <v>18</v>
      </c>
      <c r="O6" s="6" t="s">
        <v>19</v>
      </c>
      <c r="P6" s="6" t="s">
        <v>20</v>
      </c>
      <c r="Q6" s="6" t="s">
        <v>21</v>
      </c>
    </row>
    <row r="7" spans="1:18" ht="19.149999999999999" customHeight="1" x14ac:dyDescent="0.25">
      <c r="A7" s="19"/>
      <c r="B7" s="19"/>
      <c r="E7" s="7"/>
      <c r="F7" s="8"/>
      <c r="G7" s="8"/>
      <c r="H7" s="8"/>
      <c r="M7" s="68">
        <v>31.5</v>
      </c>
      <c r="N7" s="9">
        <v>32.5</v>
      </c>
      <c r="O7" s="10">
        <f>_xlfn.NORM.DIST(M7,A6,B6,TRUE)</f>
        <v>0.1677830551154264</v>
      </c>
      <c r="P7" s="11">
        <f>_xlfn.NORM.DIST(N7,A6,B6,TRUE)-_xlfn.NORM.DIST(M7,A6,B6,TRUE)</f>
        <v>0.82915190207986456</v>
      </c>
      <c r="Q7" s="12">
        <f>1-_xlfn.NORM.DIST(N7,A6,B6,TRUE)</f>
        <v>3.065042804709095E-3</v>
      </c>
      <c r="R7" s="13" t="s">
        <v>22</v>
      </c>
    </row>
    <row r="8" spans="1:18" ht="21.6" customHeight="1" x14ac:dyDescent="0.3">
      <c r="A8" s="71"/>
      <c r="B8" s="71"/>
      <c r="E8" s="7"/>
      <c r="F8" s="8"/>
      <c r="G8" s="8"/>
      <c r="H8" s="8"/>
      <c r="O8" s="14">
        <f>O7</f>
        <v>0.1677830551154264</v>
      </c>
      <c r="P8" s="14">
        <f>P7</f>
        <v>0.82915190207986456</v>
      </c>
      <c r="Q8" s="14">
        <f>Q7</f>
        <v>3.065042804709095E-3</v>
      </c>
      <c r="R8" s="15">
        <f>SUM(O8:Q8)</f>
        <v>1</v>
      </c>
    </row>
    <row r="9" spans="1:18" ht="18.75" x14ac:dyDescent="0.3">
      <c r="A9" s="72"/>
      <c r="B9" s="73"/>
      <c r="E9" s="7"/>
      <c r="F9" s="8"/>
      <c r="G9" s="8"/>
      <c r="H9" s="8"/>
    </row>
    <row r="10" spans="1:18" ht="21" x14ac:dyDescent="0.35">
      <c r="A10" s="19"/>
      <c r="B10" s="19"/>
      <c r="E10" s="7"/>
      <c r="F10" s="8"/>
      <c r="G10" s="8"/>
      <c r="H10" s="8"/>
      <c r="M10" s="16" t="s">
        <v>31</v>
      </c>
      <c r="N10" s="16"/>
      <c r="O10" s="16"/>
      <c r="P10" s="16"/>
      <c r="Q10" s="16"/>
    </row>
    <row r="11" spans="1:18" x14ac:dyDescent="0.25">
      <c r="E11" s="7"/>
      <c r="F11" s="8"/>
      <c r="G11" s="8"/>
      <c r="H11" s="8"/>
    </row>
    <row r="12" spans="1:18" ht="18.75" x14ac:dyDescent="0.25">
      <c r="E12" s="7"/>
      <c r="F12" s="8"/>
      <c r="G12" s="8"/>
      <c r="H12" s="8"/>
      <c r="M12" s="6" t="s">
        <v>32</v>
      </c>
      <c r="N12" s="6" t="s">
        <v>40</v>
      </c>
    </row>
    <row r="13" spans="1:18" ht="15.75" x14ac:dyDescent="0.25">
      <c r="M13" s="28">
        <v>0.99</v>
      </c>
      <c r="N13" s="29">
        <f>_xlfn.NORM.INV(M13,A6,B6)</f>
        <v>32.388113925991028</v>
      </c>
    </row>
    <row r="15" spans="1:18" x14ac:dyDescent="0.25">
      <c r="E15" s="7"/>
      <c r="F15" s="8"/>
      <c r="G15" s="8"/>
      <c r="H15" s="8"/>
    </row>
    <row r="16" spans="1:18" ht="11.45" customHeight="1" x14ac:dyDescent="0.25">
      <c r="E16" s="7"/>
      <c r="F16" s="8"/>
      <c r="G16" s="8"/>
      <c r="H16" s="8"/>
    </row>
    <row r="17" spans="1:15" ht="18.75" x14ac:dyDescent="0.25">
      <c r="E17" s="7"/>
      <c r="F17" s="17">
        <f>A6-B6</f>
        <v>31.490000000000002</v>
      </c>
      <c r="G17" s="17">
        <f>A6</f>
        <v>31.76</v>
      </c>
      <c r="H17" s="17">
        <f>A6+B6</f>
        <v>32.03</v>
      </c>
      <c r="M17" s="19"/>
      <c r="N17" s="19"/>
      <c r="O17" s="19"/>
    </row>
    <row r="18" spans="1:15" ht="18.75" x14ac:dyDescent="0.3">
      <c r="F18" s="18" t="s">
        <v>23</v>
      </c>
      <c r="G18" s="18" t="s">
        <v>24</v>
      </c>
      <c r="H18" s="18" t="s">
        <v>25</v>
      </c>
    </row>
    <row r="20" spans="1:15" x14ac:dyDescent="0.25">
      <c r="A20" s="58"/>
      <c r="B20" s="26" t="s">
        <v>56</v>
      </c>
      <c r="C20" s="26"/>
      <c r="D20" s="38"/>
      <c r="E20" s="38"/>
      <c r="F20" s="38"/>
      <c r="G20" s="38"/>
      <c r="H20" s="38"/>
    </row>
    <row r="21" spans="1:15" x14ac:dyDescent="0.25">
      <c r="A21" s="58"/>
      <c r="B21" s="26" t="s">
        <v>61</v>
      </c>
      <c r="C21" s="26"/>
      <c r="D21" s="38"/>
      <c r="E21" s="38"/>
      <c r="F21" s="74"/>
      <c r="G21" s="74">
        <f>P8</f>
        <v>0.82915190207986456</v>
      </c>
      <c r="H21" s="74"/>
      <c r="N21" s="65"/>
    </row>
    <row r="22" spans="1:15" x14ac:dyDescent="0.25">
      <c r="A22" s="47"/>
      <c r="B22" s="26" t="s">
        <v>57</v>
      </c>
      <c r="C22" s="38"/>
      <c r="D22" s="38"/>
      <c r="E22" s="38"/>
      <c r="F22" s="38"/>
      <c r="G22" s="38"/>
      <c r="H22" s="74">
        <f>1-G21</f>
        <v>0.17084809792013544</v>
      </c>
    </row>
  </sheetData>
  <mergeCells count="3">
    <mergeCell ref="M3:Q3"/>
    <mergeCell ref="A1:H1"/>
    <mergeCell ref="A3:H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20EE4-E2EC-4D51-AB39-64E09F866161}">
  <dimension ref="A1:AB34"/>
  <sheetViews>
    <sheetView topLeftCell="A28" workbookViewId="0">
      <selection activeCell="H26" sqref="H26"/>
    </sheetView>
  </sheetViews>
  <sheetFormatPr defaultRowHeight="15" x14ac:dyDescent="0.25"/>
  <cols>
    <col min="9" max="9" width="18.7109375" bestFit="1" customWidth="1"/>
    <col min="10" max="10" width="7.7109375" bestFit="1" customWidth="1"/>
  </cols>
  <sheetData>
    <row r="1" spans="1:21" x14ac:dyDescent="0.25">
      <c r="F1" s="75" t="s">
        <v>75</v>
      </c>
      <c r="G1" s="75"/>
      <c r="H1" s="75"/>
      <c r="I1" s="75"/>
      <c r="J1" s="75"/>
      <c r="K1" s="75"/>
      <c r="L1" s="75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13</v>
      </c>
      <c r="F2" t="s">
        <v>12</v>
      </c>
    </row>
    <row r="3" spans="1:21" x14ac:dyDescent="0.25">
      <c r="A3">
        <v>1</v>
      </c>
      <c r="B3">
        <v>0.1</v>
      </c>
      <c r="C3">
        <v>27</v>
      </c>
      <c r="D3">
        <v>29.9</v>
      </c>
      <c r="E3">
        <v>2.8999999999999998E-3</v>
      </c>
      <c r="F3">
        <v>34.479999999999997</v>
      </c>
    </row>
    <row r="4" spans="1:21" x14ac:dyDescent="0.25">
      <c r="A4">
        <v>2</v>
      </c>
      <c r="B4">
        <v>0.15</v>
      </c>
      <c r="C4">
        <v>27</v>
      </c>
      <c r="D4">
        <v>31.3</v>
      </c>
      <c r="E4">
        <v>4.3E-3</v>
      </c>
      <c r="F4">
        <v>34.880000000000003</v>
      </c>
    </row>
    <row r="5" spans="1:21" x14ac:dyDescent="0.25">
      <c r="A5">
        <v>3</v>
      </c>
      <c r="B5">
        <v>0.23</v>
      </c>
      <c r="C5">
        <v>27</v>
      </c>
      <c r="D5">
        <v>34</v>
      </c>
      <c r="E5">
        <v>7.0000000000000001E-3</v>
      </c>
      <c r="F5">
        <v>32.86</v>
      </c>
    </row>
    <row r="6" spans="1:21" x14ac:dyDescent="0.25">
      <c r="A6">
        <v>4</v>
      </c>
      <c r="B6">
        <v>0.45</v>
      </c>
      <c r="C6">
        <v>27</v>
      </c>
      <c r="D6">
        <v>41.4</v>
      </c>
      <c r="E6">
        <v>1.44E-2</v>
      </c>
      <c r="F6">
        <v>31.25</v>
      </c>
    </row>
    <row r="7" spans="1:21" x14ac:dyDescent="0.25">
      <c r="A7">
        <v>5</v>
      </c>
      <c r="B7">
        <v>0.55000000000000004</v>
      </c>
      <c r="C7">
        <v>27</v>
      </c>
      <c r="D7">
        <v>44.2</v>
      </c>
      <c r="E7">
        <v>1.72E-2</v>
      </c>
      <c r="F7">
        <v>31.98</v>
      </c>
    </row>
    <row r="8" spans="1:21" x14ac:dyDescent="0.25">
      <c r="A8">
        <v>6</v>
      </c>
      <c r="B8">
        <v>0.68</v>
      </c>
      <c r="C8">
        <v>27</v>
      </c>
      <c r="D8">
        <v>47.2</v>
      </c>
      <c r="E8">
        <v>2.0199999999999999E-2</v>
      </c>
      <c r="F8">
        <v>33.659999999999997</v>
      </c>
    </row>
    <row r="9" spans="1:21" x14ac:dyDescent="0.25">
      <c r="A9">
        <v>7</v>
      </c>
      <c r="B9">
        <v>0.72</v>
      </c>
      <c r="C9">
        <v>27</v>
      </c>
      <c r="D9">
        <v>50</v>
      </c>
      <c r="E9">
        <v>2.3E-2</v>
      </c>
      <c r="F9">
        <v>31.3</v>
      </c>
    </row>
    <row r="10" spans="1:21" x14ac:dyDescent="0.25">
      <c r="A10">
        <v>8</v>
      </c>
      <c r="B10">
        <v>0.83</v>
      </c>
      <c r="C10">
        <v>27</v>
      </c>
      <c r="D10">
        <v>51.9</v>
      </c>
      <c r="E10">
        <v>2.4899999999999999E-2</v>
      </c>
      <c r="F10">
        <v>33.33</v>
      </c>
    </row>
    <row r="11" spans="1:21" x14ac:dyDescent="0.25">
      <c r="A11">
        <v>9</v>
      </c>
      <c r="B11">
        <v>1.05</v>
      </c>
      <c r="C11">
        <v>27</v>
      </c>
      <c r="D11">
        <v>58</v>
      </c>
      <c r="E11">
        <v>3.1E-2</v>
      </c>
      <c r="F11">
        <v>33.869999999999997</v>
      </c>
      <c r="I11" s="26" t="s">
        <v>62</v>
      </c>
      <c r="J11" s="26">
        <f>_xlfn.COVARIANCE.P(B3:B28,E3:E28)</f>
        <v>2.4141791124260351E-2</v>
      </c>
      <c r="K11" s="26"/>
      <c r="L11" s="26" t="s">
        <v>72</v>
      </c>
      <c r="M11" s="26"/>
      <c r="N11" s="26"/>
      <c r="O11" s="26"/>
      <c r="P11" s="26"/>
      <c r="Q11" s="26"/>
      <c r="R11" s="38"/>
      <c r="S11" s="38"/>
      <c r="T11" s="38"/>
      <c r="U11" s="38"/>
    </row>
    <row r="12" spans="1:21" x14ac:dyDescent="0.25">
      <c r="A12">
        <v>10</v>
      </c>
      <c r="B12">
        <v>1.1499999999999999</v>
      </c>
      <c r="C12">
        <v>27</v>
      </c>
      <c r="D12">
        <v>61.2</v>
      </c>
      <c r="E12">
        <v>3.4200000000000001E-2</v>
      </c>
      <c r="F12">
        <v>33.630000000000003</v>
      </c>
      <c r="I12" s="26"/>
      <c r="J12" s="26"/>
      <c r="K12" s="26"/>
      <c r="L12" s="26"/>
      <c r="M12" s="26"/>
      <c r="N12" s="26"/>
      <c r="O12" s="26"/>
      <c r="P12" s="26"/>
      <c r="Q12" s="26"/>
      <c r="R12" s="38"/>
      <c r="S12" s="38"/>
      <c r="T12" s="38"/>
      <c r="U12" s="38"/>
    </row>
    <row r="13" spans="1:21" x14ac:dyDescent="0.25">
      <c r="A13">
        <v>11</v>
      </c>
      <c r="B13">
        <v>1.21</v>
      </c>
      <c r="C13">
        <v>27</v>
      </c>
      <c r="D13">
        <v>66</v>
      </c>
      <c r="E13">
        <v>3.9E-2</v>
      </c>
      <c r="F13">
        <v>31.03</v>
      </c>
      <c r="I13" s="26" t="s">
        <v>63</v>
      </c>
      <c r="J13" s="26">
        <f>CORREL(B3:B28,E3:E28)</f>
        <v>0.99901517554516572</v>
      </c>
      <c r="K13" s="26"/>
      <c r="L13" s="26" t="s">
        <v>73</v>
      </c>
      <c r="M13" s="26"/>
      <c r="N13" s="26"/>
      <c r="O13" s="26"/>
      <c r="P13" s="26"/>
      <c r="Q13" s="26"/>
      <c r="R13" s="38"/>
      <c r="S13" s="38"/>
      <c r="T13" s="38"/>
      <c r="U13" s="38"/>
    </row>
    <row r="14" spans="1:21" x14ac:dyDescent="0.25">
      <c r="A14">
        <v>12</v>
      </c>
      <c r="B14">
        <v>1.23</v>
      </c>
      <c r="C14">
        <v>27</v>
      </c>
      <c r="D14">
        <v>66.3</v>
      </c>
      <c r="E14">
        <v>3.9300000000000002E-2</v>
      </c>
      <c r="F14">
        <v>31.3</v>
      </c>
    </row>
    <row r="15" spans="1:21" x14ac:dyDescent="0.25">
      <c r="A15">
        <v>13</v>
      </c>
      <c r="B15">
        <v>1.35</v>
      </c>
      <c r="C15">
        <v>27</v>
      </c>
      <c r="D15">
        <v>69.3</v>
      </c>
      <c r="E15">
        <v>4.2299999999999997E-2</v>
      </c>
      <c r="F15">
        <v>31.91</v>
      </c>
    </row>
    <row r="16" spans="1:21" x14ac:dyDescent="0.25">
      <c r="A16">
        <v>14</v>
      </c>
      <c r="B16">
        <v>1.55</v>
      </c>
      <c r="C16">
        <v>27</v>
      </c>
      <c r="D16">
        <v>76.400000000000006</v>
      </c>
      <c r="E16">
        <v>4.9399999999999999E-2</v>
      </c>
      <c r="F16">
        <v>31.38</v>
      </c>
    </row>
    <row r="17" spans="1:28" ht="23.25" x14ac:dyDescent="0.35">
      <c r="A17">
        <v>15</v>
      </c>
      <c r="B17">
        <v>1.71</v>
      </c>
      <c r="C17">
        <v>27</v>
      </c>
      <c r="D17">
        <v>82.5</v>
      </c>
      <c r="E17">
        <v>5.5500000000000001E-2</v>
      </c>
      <c r="F17">
        <v>30.81</v>
      </c>
      <c r="I17" s="87" t="s">
        <v>67</v>
      </c>
      <c r="J17" s="87"/>
      <c r="K17" s="87"/>
      <c r="L17" t="s">
        <v>76</v>
      </c>
    </row>
    <row r="18" spans="1:28" ht="21" x14ac:dyDescent="0.35">
      <c r="A18">
        <v>16</v>
      </c>
      <c r="B18">
        <v>1.75</v>
      </c>
      <c r="C18">
        <v>27</v>
      </c>
      <c r="D18">
        <v>83.8</v>
      </c>
      <c r="E18">
        <v>5.6800000000000003E-2</v>
      </c>
      <c r="F18">
        <v>30.81</v>
      </c>
      <c r="I18" s="76" t="s">
        <v>64</v>
      </c>
      <c r="J18" s="76"/>
      <c r="K18" s="76"/>
      <c r="L18" s="76"/>
      <c r="M18" s="76"/>
      <c r="N18" s="76"/>
      <c r="O18" s="76"/>
      <c r="P18" s="76"/>
    </row>
    <row r="19" spans="1:28" x14ac:dyDescent="0.25">
      <c r="A19">
        <v>17</v>
      </c>
      <c r="B19">
        <v>1.92</v>
      </c>
      <c r="C19">
        <v>27</v>
      </c>
      <c r="D19">
        <v>91.7</v>
      </c>
      <c r="E19">
        <v>6.4699999999999994E-2</v>
      </c>
      <c r="F19">
        <v>29.68</v>
      </c>
    </row>
    <row r="20" spans="1:28" ht="26.25" x14ac:dyDescent="0.45">
      <c r="A20">
        <v>18</v>
      </c>
      <c r="B20">
        <v>2.04</v>
      </c>
      <c r="C20">
        <v>27</v>
      </c>
      <c r="D20">
        <v>94.6</v>
      </c>
      <c r="E20">
        <v>6.7599999999999993E-2</v>
      </c>
      <c r="F20">
        <v>30.18</v>
      </c>
      <c r="J20" s="4" t="s">
        <v>35</v>
      </c>
      <c r="K20" s="4" t="s">
        <v>65</v>
      </c>
      <c r="L20" s="4" t="s">
        <v>66</v>
      </c>
      <c r="M20" s="84" t="s">
        <v>70</v>
      </c>
      <c r="N20" s="89" t="s">
        <v>69</v>
      </c>
      <c r="Q20" s="93">
        <v>0.02</v>
      </c>
    </row>
    <row r="21" spans="1:28" ht="18.75" x14ac:dyDescent="0.3">
      <c r="A21">
        <v>19</v>
      </c>
      <c r="B21">
        <v>2.15</v>
      </c>
      <c r="C21">
        <v>27</v>
      </c>
      <c r="D21">
        <v>97.4</v>
      </c>
      <c r="E21">
        <v>7.0400000000000004E-2</v>
      </c>
      <c r="F21">
        <v>30.54</v>
      </c>
      <c r="J21" s="5">
        <v>26</v>
      </c>
      <c r="K21" s="85">
        <f>IF(J21="","", J21-2)</f>
        <v>24</v>
      </c>
      <c r="L21" s="86">
        <f>Q20</f>
        <v>0.02</v>
      </c>
      <c r="M21" s="29">
        <f>IF(L21="","",_xlfn.T.INV(L21/2,K21))</f>
        <v>-2.492159473157757</v>
      </c>
      <c r="N21" s="92" t="s">
        <v>71</v>
      </c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</row>
    <row r="22" spans="1:28" x14ac:dyDescent="0.25">
      <c r="A22">
        <v>20</v>
      </c>
      <c r="B22">
        <v>2.19</v>
      </c>
      <c r="C22">
        <v>27</v>
      </c>
      <c r="D22">
        <v>98.5</v>
      </c>
      <c r="E22">
        <v>7.1499999999999994E-2</v>
      </c>
      <c r="F22">
        <v>30.63</v>
      </c>
    </row>
    <row r="23" spans="1:28" ht="18.75" x14ac:dyDescent="0.3">
      <c r="A23">
        <v>21</v>
      </c>
      <c r="B23">
        <v>2.25</v>
      </c>
      <c r="C23">
        <v>27</v>
      </c>
      <c r="D23">
        <v>99.74</v>
      </c>
      <c r="E23">
        <v>7.2739999999999999E-2</v>
      </c>
      <c r="F23">
        <v>30.93</v>
      </c>
      <c r="I23" s="88" t="s">
        <v>68</v>
      </c>
      <c r="J23">
        <f>J13*SQRT(K21/(1-J13^2))</f>
        <v>110.30374267829968</v>
      </c>
      <c r="K23" s="90" t="str">
        <f>IF(SQRT(J23^2)&gt;SQRT(M21^2), "Ho rejeitado", "Ho não rejeitado")</f>
        <v>Ho rejeitado</v>
      </c>
      <c r="L23" s="90"/>
    </row>
    <row r="24" spans="1:28" x14ac:dyDescent="0.25">
      <c r="A24">
        <v>22</v>
      </c>
      <c r="B24">
        <v>2.4</v>
      </c>
      <c r="C24">
        <v>27</v>
      </c>
      <c r="D24">
        <v>105.5</v>
      </c>
      <c r="E24">
        <v>7.85E-2</v>
      </c>
      <c r="F24">
        <v>30.57</v>
      </c>
    </row>
    <row r="25" spans="1:28" x14ac:dyDescent="0.25">
      <c r="A25">
        <v>23</v>
      </c>
      <c r="B25">
        <v>2.5499999999999998</v>
      </c>
      <c r="C25">
        <v>27</v>
      </c>
      <c r="D25">
        <v>108.2</v>
      </c>
      <c r="E25">
        <v>8.1199999999999994E-2</v>
      </c>
      <c r="F25">
        <v>31.4</v>
      </c>
    </row>
    <row r="26" spans="1:28" x14ac:dyDescent="0.25">
      <c r="A26">
        <v>24</v>
      </c>
      <c r="B26">
        <v>2.72</v>
      </c>
      <c r="C26">
        <v>27</v>
      </c>
      <c r="D26">
        <v>112.3</v>
      </c>
      <c r="E26">
        <v>8.5300000000000001E-2</v>
      </c>
      <c r="F26">
        <v>31.89</v>
      </c>
    </row>
    <row r="27" spans="1:28" x14ac:dyDescent="0.25">
      <c r="A27">
        <v>25</v>
      </c>
      <c r="B27">
        <v>2.85</v>
      </c>
      <c r="C27">
        <v>27</v>
      </c>
      <c r="D27">
        <v>119.5</v>
      </c>
      <c r="E27">
        <v>9.2499999999999999E-2</v>
      </c>
      <c r="F27">
        <v>30.81</v>
      </c>
    </row>
    <row r="28" spans="1:28" x14ac:dyDescent="0.25">
      <c r="A28">
        <v>26</v>
      </c>
      <c r="B28">
        <v>3</v>
      </c>
      <c r="C28">
        <v>27</v>
      </c>
      <c r="D28">
        <v>124.5</v>
      </c>
      <c r="E28">
        <v>9.7500000000000003E-2</v>
      </c>
      <c r="F28">
        <v>30.77</v>
      </c>
    </row>
    <row r="34" spans="8:18" x14ac:dyDescent="0.25">
      <c r="H34" s="94" t="s">
        <v>74</v>
      </c>
      <c r="I34" s="94"/>
      <c r="J34" s="94"/>
      <c r="K34" s="94"/>
      <c r="L34" s="94"/>
      <c r="M34" s="94"/>
      <c r="N34" s="94"/>
      <c r="O34" s="94"/>
      <c r="P34" s="94"/>
      <c r="Q34" s="94"/>
      <c r="R34" s="38"/>
    </row>
  </sheetData>
  <mergeCells count="3">
    <mergeCell ref="I18:P18"/>
    <mergeCell ref="I17:K17"/>
    <mergeCell ref="F1:L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A2A-7E03-43D5-A50F-CD35F5B934CE}">
  <dimension ref="A1:N50"/>
  <sheetViews>
    <sheetView tabSelected="1" topLeftCell="B52" workbookViewId="0">
      <selection activeCell="H53" sqref="H53"/>
    </sheetView>
  </sheetViews>
  <sheetFormatPr defaultRowHeight="15" x14ac:dyDescent="0.25"/>
  <cols>
    <col min="1" max="1" width="7.140625" customWidth="1"/>
    <col min="2" max="2" width="18.7109375" customWidth="1"/>
    <col min="3" max="3" width="21.85546875" customWidth="1"/>
    <col min="7" max="7" width="15" bestFit="1" customWidth="1"/>
    <col min="8" max="8" width="12.42578125" customWidth="1"/>
  </cols>
  <sheetData>
    <row r="1" spans="2:8" x14ac:dyDescent="0.25">
      <c r="C1" s="75" t="s">
        <v>87</v>
      </c>
      <c r="D1" s="75"/>
      <c r="E1" s="75"/>
      <c r="F1" s="75"/>
    </row>
    <row r="3" spans="2:8" ht="19.5" x14ac:dyDescent="0.25">
      <c r="B3" s="95" t="s">
        <v>90</v>
      </c>
      <c r="C3" s="95" t="s">
        <v>85</v>
      </c>
      <c r="D3" s="95" t="s">
        <v>77</v>
      </c>
      <c r="E3" s="95" t="s">
        <v>78</v>
      </c>
      <c r="F3" s="95" t="s">
        <v>79</v>
      </c>
      <c r="G3" s="95" t="s">
        <v>80</v>
      </c>
      <c r="H3" s="95" t="s">
        <v>81</v>
      </c>
    </row>
    <row r="4" spans="2:8" ht="15.75" x14ac:dyDescent="0.25">
      <c r="B4" s="97">
        <v>2.8999999999999998E-3</v>
      </c>
      <c r="C4" s="97">
        <v>0.1</v>
      </c>
      <c r="D4" s="96">
        <f>B4-$B$32</f>
        <v>-4.4920769230769229E-2</v>
      </c>
      <c r="E4" s="96">
        <f>C4-$C$32</f>
        <v>-1.3915384615384614</v>
      </c>
      <c r="F4" s="96">
        <f>D4^2</f>
        <v>2.0178755082840235E-3</v>
      </c>
      <c r="G4" s="96">
        <f>E4^2</f>
        <v>1.9363792899408281</v>
      </c>
      <c r="H4" s="96">
        <f>D4*E4</f>
        <v>6.2508978106508864E-2</v>
      </c>
    </row>
    <row r="5" spans="2:8" ht="15.75" x14ac:dyDescent="0.25">
      <c r="B5" s="97">
        <v>4.3E-3</v>
      </c>
      <c r="C5" s="97">
        <v>0.15</v>
      </c>
      <c r="D5" s="96">
        <f t="shared" ref="D5:D29" si="0">B5-$B$32</f>
        <v>-4.3520769230769231E-2</v>
      </c>
      <c r="E5" s="96">
        <f t="shared" ref="E5:E29" si="1">C5-$C$32</f>
        <v>-1.3415384615384616</v>
      </c>
      <c r="F5" s="96">
        <f t="shared" ref="F5:F29" si="2">D5^2</f>
        <v>1.8940573544378699E-3</v>
      </c>
      <c r="G5" s="96">
        <f t="shared" ref="G5:G29" si="3">E5^2</f>
        <v>1.7997254437869823</v>
      </c>
      <c r="H5" s="96">
        <f t="shared" ref="H5:H29" si="4">D5*E5</f>
        <v>5.838478579881657E-2</v>
      </c>
    </row>
    <row r="6" spans="2:8" ht="15.75" x14ac:dyDescent="0.25">
      <c r="B6" s="97">
        <v>7.0000000000000001E-3</v>
      </c>
      <c r="C6" s="97">
        <v>0.23</v>
      </c>
      <c r="D6" s="96">
        <f t="shared" si="0"/>
        <v>-4.082076923076923E-2</v>
      </c>
      <c r="E6" s="96">
        <f t="shared" si="1"/>
        <v>-1.2615384615384615</v>
      </c>
      <c r="F6" s="96">
        <f t="shared" si="2"/>
        <v>1.6663352005917159E-3</v>
      </c>
      <c r="G6" s="96">
        <f t="shared" si="3"/>
        <v>1.5914792899408283</v>
      </c>
      <c r="H6" s="96">
        <f t="shared" si="4"/>
        <v>5.1496970414201183E-2</v>
      </c>
    </row>
    <row r="7" spans="2:8" ht="15.75" x14ac:dyDescent="0.25">
      <c r="B7" s="97">
        <v>1.44E-2</v>
      </c>
      <c r="C7" s="97">
        <v>0.45</v>
      </c>
      <c r="D7" s="96">
        <f t="shared" si="0"/>
        <v>-3.3420769230769226E-2</v>
      </c>
      <c r="E7" s="96">
        <f t="shared" si="1"/>
        <v>-1.0415384615384615</v>
      </c>
      <c r="F7" s="96">
        <f t="shared" si="2"/>
        <v>1.1169478159763311E-3</v>
      </c>
      <c r="G7" s="96">
        <f t="shared" si="3"/>
        <v>1.0848023668639053</v>
      </c>
      <c r="H7" s="96">
        <f t="shared" si="4"/>
        <v>3.480901656804733E-2</v>
      </c>
    </row>
    <row r="8" spans="2:8" ht="15.75" x14ac:dyDescent="0.25">
      <c r="B8" s="97">
        <v>1.72E-2</v>
      </c>
      <c r="C8" s="97">
        <v>0.55000000000000004</v>
      </c>
      <c r="D8" s="96">
        <f t="shared" si="0"/>
        <v>-3.0620769230769229E-2</v>
      </c>
      <c r="E8" s="96">
        <f t="shared" si="1"/>
        <v>-0.94153846153846144</v>
      </c>
      <c r="F8" s="96">
        <f t="shared" si="2"/>
        <v>9.3763150828402356E-4</v>
      </c>
      <c r="G8" s="96">
        <f t="shared" si="3"/>
        <v>0.88649467455621278</v>
      </c>
      <c r="H8" s="96">
        <f t="shared" si="4"/>
        <v>2.8830631952662718E-2</v>
      </c>
    </row>
    <row r="9" spans="2:8" ht="15.75" x14ac:dyDescent="0.25">
      <c r="B9" s="97">
        <v>2.0199999999999999E-2</v>
      </c>
      <c r="C9" s="97">
        <v>0.68</v>
      </c>
      <c r="D9" s="96">
        <f t="shared" si="0"/>
        <v>-2.762076923076923E-2</v>
      </c>
      <c r="E9" s="96">
        <f t="shared" si="1"/>
        <v>-0.81153846153846143</v>
      </c>
      <c r="F9" s="96">
        <f t="shared" si="2"/>
        <v>7.6290689289940821E-4</v>
      </c>
      <c r="G9" s="96">
        <f t="shared" si="3"/>
        <v>0.65859467455621279</v>
      </c>
      <c r="H9" s="96">
        <f t="shared" si="4"/>
        <v>2.2415316568047332E-2</v>
      </c>
    </row>
    <row r="10" spans="2:8" ht="15.75" x14ac:dyDescent="0.25">
      <c r="B10" s="97">
        <v>2.3E-2</v>
      </c>
      <c r="C10" s="97">
        <v>0.72</v>
      </c>
      <c r="D10" s="96">
        <f t="shared" si="0"/>
        <v>-2.482076923076923E-2</v>
      </c>
      <c r="E10" s="96">
        <f t="shared" si="1"/>
        <v>-0.77153846153846151</v>
      </c>
      <c r="F10" s="96">
        <f t="shared" si="2"/>
        <v>6.1607058520710058E-4</v>
      </c>
      <c r="G10" s="96">
        <f t="shared" si="3"/>
        <v>0.59527159763313608</v>
      </c>
      <c r="H10" s="96">
        <f t="shared" si="4"/>
        <v>1.9150178106508875E-2</v>
      </c>
    </row>
    <row r="11" spans="2:8" ht="15.75" x14ac:dyDescent="0.25">
      <c r="B11" s="97">
        <v>2.4899999999999999E-2</v>
      </c>
      <c r="C11" s="97">
        <v>0.83</v>
      </c>
      <c r="D11" s="96">
        <f t="shared" si="0"/>
        <v>-2.2920769230769231E-2</v>
      </c>
      <c r="E11" s="96">
        <f t="shared" si="1"/>
        <v>-0.66153846153846152</v>
      </c>
      <c r="F11" s="96">
        <f t="shared" si="2"/>
        <v>5.2536166213017752E-4</v>
      </c>
      <c r="G11" s="96">
        <f t="shared" si="3"/>
        <v>0.43763313609467452</v>
      </c>
      <c r="H11" s="96">
        <f t="shared" si="4"/>
        <v>1.5162970414201183E-2</v>
      </c>
    </row>
    <row r="12" spans="2:8" ht="15.75" x14ac:dyDescent="0.25">
      <c r="B12" s="97">
        <v>3.1E-2</v>
      </c>
      <c r="C12" s="97">
        <v>1.05</v>
      </c>
      <c r="D12" s="96">
        <f t="shared" si="0"/>
        <v>-1.6820769230769229E-2</v>
      </c>
      <c r="E12" s="96">
        <f t="shared" si="1"/>
        <v>-0.44153846153846144</v>
      </c>
      <c r="F12" s="96">
        <f t="shared" si="2"/>
        <v>2.8293827751479288E-4</v>
      </c>
      <c r="G12" s="96">
        <f t="shared" si="3"/>
        <v>0.1949562130177514</v>
      </c>
      <c r="H12" s="96">
        <f t="shared" si="4"/>
        <v>7.4270165680473347E-3</v>
      </c>
    </row>
    <row r="13" spans="2:8" ht="15.75" x14ac:dyDescent="0.25">
      <c r="B13" s="97">
        <v>3.4200000000000001E-2</v>
      </c>
      <c r="C13" s="97">
        <v>1.1499999999999999</v>
      </c>
      <c r="D13" s="96">
        <f t="shared" si="0"/>
        <v>-1.3620769230769228E-2</v>
      </c>
      <c r="E13" s="96">
        <f t="shared" si="1"/>
        <v>-0.34153846153846157</v>
      </c>
      <c r="F13" s="96">
        <f t="shared" si="2"/>
        <v>1.8552535443786976E-4</v>
      </c>
      <c r="G13" s="96">
        <f t="shared" si="3"/>
        <v>0.1166485207100592</v>
      </c>
      <c r="H13" s="96">
        <f t="shared" si="4"/>
        <v>4.6520165680473367E-3</v>
      </c>
    </row>
    <row r="14" spans="2:8" ht="15.75" x14ac:dyDescent="0.25">
      <c r="B14" s="97">
        <v>3.9E-2</v>
      </c>
      <c r="C14" s="97">
        <v>1.21</v>
      </c>
      <c r="D14" s="96">
        <f t="shared" si="0"/>
        <v>-8.8207692307692293E-3</v>
      </c>
      <c r="E14" s="96">
        <f t="shared" si="1"/>
        <v>-0.28153846153846152</v>
      </c>
      <c r="F14" s="96">
        <f t="shared" si="2"/>
        <v>7.7805969822485182E-5</v>
      </c>
      <c r="G14" s="96">
        <f t="shared" si="3"/>
        <v>7.9263905325443779E-2</v>
      </c>
      <c r="H14" s="96">
        <f t="shared" si="4"/>
        <v>2.4833857988165674E-3</v>
      </c>
    </row>
    <row r="15" spans="2:8" ht="15.75" x14ac:dyDescent="0.25">
      <c r="B15" s="97">
        <v>3.9300000000000002E-2</v>
      </c>
      <c r="C15" s="97">
        <v>1.23</v>
      </c>
      <c r="D15" s="96">
        <f t="shared" si="0"/>
        <v>-8.5207692307692276E-3</v>
      </c>
      <c r="E15" s="96">
        <f t="shared" si="1"/>
        <v>-0.2615384615384615</v>
      </c>
      <c r="F15" s="96">
        <f t="shared" si="2"/>
        <v>7.2603508284023617E-5</v>
      </c>
      <c r="G15" s="96">
        <f t="shared" si="3"/>
        <v>6.8402366863905301E-2</v>
      </c>
      <c r="H15" s="96">
        <f t="shared" si="4"/>
        <v>2.2285088757396437E-3</v>
      </c>
    </row>
    <row r="16" spans="2:8" ht="15.75" x14ac:dyDescent="0.25">
      <c r="B16" s="97">
        <v>4.2299999999999997E-2</v>
      </c>
      <c r="C16" s="97">
        <v>1.35</v>
      </c>
      <c r="D16" s="96">
        <f t="shared" si="0"/>
        <v>-5.5207692307692319E-3</v>
      </c>
      <c r="E16" s="96">
        <f t="shared" si="1"/>
        <v>-0.14153846153846139</v>
      </c>
      <c r="F16" s="96">
        <f t="shared" si="2"/>
        <v>3.0478892899408296E-5</v>
      </c>
      <c r="G16" s="96">
        <f t="shared" si="3"/>
        <v>2.0033136094674515E-2</v>
      </c>
      <c r="H16" s="96">
        <f t="shared" si="4"/>
        <v>7.8140118343195196E-4</v>
      </c>
    </row>
    <row r="17" spans="1:14" ht="15.75" x14ac:dyDescent="0.25">
      <c r="B17" s="97">
        <v>4.9399999999999999E-2</v>
      </c>
      <c r="C17" s="97">
        <v>1.55</v>
      </c>
      <c r="D17" s="96">
        <f t="shared" si="0"/>
        <v>1.5792307692307703E-3</v>
      </c>
      <c r="E17" s="96">
        <f t="shared" si="1"/>
        <v>5.8461538461538565E-2</v>
      </c>
      <c r="F17" s="96">
        <f t="shared" si="2"/>
        <v>2.4939698224852103E-6</v>
      </c>
      <c r="G17" s="96">
        <f t="shared" si="3"/>
        <v>3.4177514792899529E-3</v>
      </c>
      <c r="H17" s="96">
        <f t="shared" si="4"/>
        <v>9.2324260355029804E-5</v>
      </c>
    </row>
    <row r="18" spans="1:14" ht="15.75" x14ac:dyDescent="0.25">
      <c r="B18" s="97">
        <v>5.5500000000000001E-2</v>
      </c>
      <c r="C18" s="97">
        <v>1.71</v>
      </c>
      <c r="D18" s="96">
        <f t="shared" si="0"/>
        <v>7.6792307692307715E-3</v>
      </c>
      <c r="E18" s="96">
        <f t="shared" si="1"/>
        <v>0.21846153846153848</v>
      </c>
      <c r="F18" s="96">
        <f t="shared" si="2"/>
        <v>5.8970585207100626E-5</v>
      </c>
      <c r="G18" s="96">
        <f t="shared" si="3"/>
        <v>4.7725443786982256E-2</v>
      </c>
      <c r="H18" s="96">
        <f t="shared" si="4"/>
        <v>1.6776165680473379E-3</v>
      </c>
    </row>
    <row r="19" spans="1:14" ht="15.75" x14ac:dyDescent="0.25">
      <c r="B19" s="97">
        <v>5.6800000000000003E-2</v>
      </c>
      <c r="C19" s="97">
        <v>1.75</v>
      </c>
      <c r="D19" s="96">
        <f t="shared" si="0"/>
        <v>8.9792307692307741E-3</v>
      </c>
      <c r="E19" s="96">
        <f t="shared" si="1"/>
        <v>0.25846153846153852</v>
      </c>
      <c r="F19" s="96">
        <f t="shared" si="2"/>
        <v>8.0626585207100684E-5</v>
      </c>
      <c r="G19" s="96">
        <f t="shared" si="3"/>
        <v>6.6802366863905352E-2</v>
      </c>
      <c r="H19" s="96">
        <f t="shared" si="4"/>
        <v>2.3207857988165699E-3</v>
      </c>
    </row>
    <row r="20" spans="1:14" ht="15.75" x14ac:dyDescent="0.25">
      <c r="B20" s="97">
        <v>6.4699999999999994E-2</v>
      </c>
      <c r="C20" s="97">
        <v>1.92</v>
      </c>
      <c r="D20" s="96">
        <f t="shared" si="0"/>
        <v>1.6879230769230764E-2</v>
      </c>
      <c r="E20" s="96">
        <f t="shared" si="1"/>
        <v>0.42846153846153845</v>
      </c>
      <c r="F20" s="96">
        <f t="shared" si="2"/>
        <v>2.8490843136094659E-4</v>
      </c>
      <c r="G20" s="96">
        <f t="shared" si="3"/>
        <v>0.18357928994082839</v>
      </c>
      <c r="H20" s="96">
        <f t="shared" si="4"/>
        <v>7.2321011834319505E-3</v>
      </c>
    </row>
    <row r="21" spans="1:14" ht="15.75" x14ac:dyDescent="0.25">
      <c r="B21" s="97">
        <v>6.7599999999999993E-2</v>
      </c>
      <c r="C21" s="97">
        <v>2.04</v>
      </c>
      <c r="D21" s="96">
        <f t="shared" si="0"/>
        <v>1.9779230769230764E-2</v>
      </c>
      <c r="E21" s="96">
        <f t="shared" si="1"/>
        <v>0.54846153846153856</v>
      </c>
      <c r="F21" s="96">
        <f t="shared" si="2"/>
        <v>3.9121796982248503E-4</v>
      </c>
      <c r="G21" s="96">
        <f t="shared" si="3"/>
        <v>0.30081005917159775</v>
      </c>
      <c r="H21" s="96">
        <f t="shared" si="4"/>
        <v>1.0848147337278105E-2</v>
      </c>
    </row>
    <row r="22" spans="1:14" ht="15.75" x14ac:dyDescent="0.25">
      <c r="B22" s="97">
        <v>7.0400000000000004E-2</v>
      </c>
      <c r="C22" s="97">
        <v>2.15</v>
      </c>
      <c r="D22" s="96">
        <f t="shared" si="0"/>
        <v>2.2579230769230775E-2</v>
      </c>
      <c r="E22" s="96">
        <f t="shared" si="1"/>
        <v>0.65846153846153843</v>
      </c>
      <c r="F22" s="96">
        <f t="shared" si="2"/>
        <v>5.0982166213017776E-4</v>
      </c>
      <c r="G22" s="96">
        <f t="shared" si="3"/>
        <v>0.43357159763313607</v>
      </c>
      <c r="H22" s="96">
        <f t="shared" si="4"/>
        <v>1.4867555029585802E-2</v>
      </c>
    </row>
    <row r="23" spans="1:14" ht="15.75" x14ac:dyDescent="0.25">
      <c r="B23" s="97">
        <v>7.1499999999999994E-2</v>
      </c>
      <c r="C23" s="97">
        <v>2.19</v>
      </c>
      <c r="D23" s="96">
        <f t="shared" si="0"/>
        <v>2.3679230769230765E-2</v>
      </c>
      <c r="E23" s="96">
        <f t="shared" si="1"/>
        <v>0.69846153846153847</v>
      </c>
      <c r="F23" s="96">
        <f t="shared" si="2"/>
        <v>5.6070596982248501E-4</v>
      </c>
      <c r="G23" s="96">
        <f t="shared" si="3"/>
        <v>0.48784852071005919</v>
      </c>
      <c r="H23" s="96">
        <f t="shared" si="4"/>
        <v>1.6539031952662719E-2</v>
      </c>
    </row>
    <row r="24" spans="1:14" ht="15.75" x14ac:dyDescent="0.25">
      <c r="B24" s="97">
        <v>7.2739999999999999E-2</v>
      </c>
      <c r="C24" s="97">
        <v>2.25</v>
      </c>
      <c r="D24" s="96">
        <f t="shared" si="0"/>
        <v>2.491923076923077E-2</v>
      </c>
      <c r="E24" s="96">
        <f t="shared" si="1"/>
        <v>0.75846153846153852</v>
      </c>
      <c r="F24" s="96">
        <f t="shared" si="2"/>
        <v>6.2096806213017758E-4</v>
      </c>
      <c r="G24" s="96">
        <f t="shared" si="3"/>
        <v>0.57526390532544391</v>
      </c>
      <c r="H24" s="96">
        <f t="shared" si="4"/>
        <v>1.8900278106508878E-2</v>
      </c>
    </row>
    <row r="25" spans="1:14" ht="15.75" x14ac:dyDescent="0.25">
      <c r="B25" s="97">
        <v>7.85E-2</v>
      </c>
      <c r="C25" s="97">
        <v>2.4</v>
      </c>
      <c r="D25" s="96">
        <f t="shared" si="0"/>
        <v>3.0679230769230771E-2</v>
      </c>
      <c r="E25" s="96">
        <f t="shared" si="1"/>
        <v>0.90846153846153843</v>
      </c>
      <c r="F25" s="96">
        <f t="shared" si="2"/>
        <v>9.4121520059171611E-4</v>
      </c>
      <c r="G25" s="96">
        <f t="shared" si="3"/>
        <v>0.82530236686390523</v>
      </c>
      <c r="H25" s="96">
        <f t="shared" si="4"/>
        <v>2.7870901183431954E-2</v>
      </c>
    </row>
    <row r="26" spans="1:14" ht="15.75" x14ac:dyDescent="0.25">
      <c r="B26" s="97">
        <v>8.1199999999999994E-2</v>
      </c>
      <c r="C26" s="97">
        <v>2.5499999999999998</v>
      </c>
      <c r="D26" s="96">
        <f t="shared" si="0"/>
        <v>3.3379230769230765E-2</v>
      </c>
      <c r="E26" s="96">
        <f t="shared" si="1"/>
        <v>1.0584615384615383</v>
      </c>
      <c r="F26" s="96">
        <f t="shared" si="2"/>
        <v>1.1141730467455618E-3</v>
      </c>
      <c r="G26" s="96">
        <f t="shared" si="3"/>
        <v>1.1203408284023666</v>
      </c>
      <c r="H26" s="96">
        <f t="shared" si="4"/>
        <v>3.5330631952662714E-2</v>
      </c>
    </row>
    <row r="27" spans="1:14" ht="15.75" x14ac:dyDescent="0.25">
      <c r="B27" s="97">
        <v>8.5300000000000001E-2</v>
      </c>
      <c r="C27" s="97">
        <v>2.72</v>
      </c>
      <c r="D27" s="96">
        <f t="shared" si="0"/>
        <v>3.7479230769230772E-2</v>
      </c>
      <c r="E27" s="96">
        <f t="shared" si="1"/>
        <v>1.2284615384615387</v>
      </c>
      <c r="F27" s="96">
        <f t="shared" si="2"/>
        <v>1.4046927390532547E-3</v>
      </c>
      <c r="G27" s="96">
        <f t="shared" si="3"/>
        <v>1.5091177514792906</v>
      </c>
      <c r="H27" s="96">
        <f t="shared" si="4"/>
        <v>4.6041793491124271E-2</v>
      </c>
    </row>
    <row r="28" spans="1:14" ht="15.75" x14ac:dyDescent="0.25">
      <c r="B28" s="97">
        <v>9.2499999999999999E-2</v>
      </c>
      <c r="C28" s="97">
        <v>2.85</v>
      </c>
      <c r="D28" s="96">
        <f t="shared" si="0"/>
        <v>4.467923076923077E-2</v>
      </c>
      <c r="E28" s="96">
        <f t="shared" si="1"/>
        <v>1.3584615384615386</v>
      </c>
      <c r="F28" s="96">
        <f t="shared" si="2"/>
        <v>1.9962336621301775E-3</v>
      </c>
      <c r="G28" s="96">
        <f t="shared" si="3"/>
        <v>1.8454177514792904</v>
      </c>
      <c r="H28" s="96">
        <f t="shared" si="4"/>
        <v>6.0695016568047343E-2</v>
      </c>
    </row>
    <row r="29" spans="1:14" ht="15.75" x14ac:dyDescent="0.25">
      <c r="B29" s="97">
        <v>9.7500000000000003E-2</v>
      </c>
      <c r="C29" s="97">
        <v>3</v>
      </c>
      <c r="D29" s="96">
        <f t="shared" si="0"/>
        <v>4.9679230769230774E-2</v>
      </c>
      <c r="E29" s="96">
        <f t="shared" si="1"/>
        <v>1.5084615384615385</v>
      </c>
      <c r="F29" s="96">
        <f t="shared" si="2"/>
        <v>2.4680259698224858E-3</v>
      </c>
      <c r="G29" s="96">
        <f t="shared" si="3"/>
        <v>2.2754562130177516</v>
      </c>
      <c r="H29" s="96">
        <f t="shared" si="4"/>
        <v>7.4939208875739655E-2</v>
      </c>
      <c r="J29" s="38" t="s">
        <v>95</v>
      </c>
      <c r="K29" s="38"/>
      <c r="L29" s="38"/>
      <c r="M29" s="38"/>
      <c r="N29" s="38"/>
    </row>
    <row r="30" spans="1:14" ht="15.75" x14ac:dyDescent="0.25">
      <c r="B30" s="97"/>
      <c r="C30" s="98" t="s">
        <v>82</v>
      </c>
      <c r="D30" s="99">
        <f>SUM(D4:D29)</f>
        <v>0</v>
      </c>
      <c r="E30" s="99">
        <f>SUM(E4:E29)</f>
        <v>0</v>
      </c>
      <c r="F30" s="99">
        <f>SUM(F4:F29)</f>
        <v>2.0620592384615381E-2</v>
      </c>
      <c r="G30" s="99">
        <f>SUM(G4:G29)</f>
        <v>19.144338461538464</v>
      </c>
      <c r="H30" s="99">
        <f>SUM(H4:H29)</f>
        <v>0.62768656923076915</v>
      </c>
      <c r="J30" t="s">
        <v>93</v>
      </c>
    </row>
    <row r="31" spans="1:14" x14ac:dyDescent="0.25">
      <c r="J31" t="s">
        <v>94</v>
      </c>
    </row>
    <row r="32" spans="1:14" x14ac:dyDescent="0.25">
      <c r="A32" s="100" t="s">
        <v>83</v>
      </c>
      <c r="B32" s="101">
        <f>AVERAGE(B4:B29)</f>
        <v>4.7820769230769229E-2</v>
      </c>
      <c r="C32" s="101">
        <f>AVERAGE(C4:C29)</f>
        <v>1.4915384615384615</v>
      </c>
    </row>
    <row r="34" spans="2:13" x14ac:dyDescent="0.25">
      <c r="B34" s="102" t="s">
        <v>84</v>
      </c>
      <c r="C34" s="103">
        <f>H30/(SQRT(F30*G30))</f>
        <v>0.99901517554516572</v>
      </c>
      <c r="E34" s="105" t="s">
        <v>86</v>
      </c>
      <c r="F34" s="105"/>
      <c r="G34" s="105"/>
      <c r="H34" s="105"/>
      <c r="I34" s="105"/>
    </row>
    <row r="36" spans="2:13" ht="15.75" x14ac:dyDescent="0.25">
      <c r="B36" s="102" t="s">
        <v>84</v>
      </c>
      <c r="C36" s="104">
        <f>CORREL(B4:B29,C4:C29)</f>
        <v>0.99901517554516572</v>
      </c>
      <c r="E36" s="105" t="s">
        <v>102</v>
      </c>
      <c r="F36" s="105"/>
      <c r="G36" s="105"/>
      <c r="H36" s="105"/>
      <c r="I36" s="105"/>
    </row>
    <row r="43" spans="2:13" x14ac:dyDescent="0.25">
      <c r="C43" s="1" t="s">
        <v>88</v>
      </c>
      <c r="D43" s="1">
        <f>H30/(F30)</f>
        <v>30.439793267000116</v>
      </c>
      <c r="E43" s="1"/>
      <c r="F43" s="1" t="s">
        <v>91</v>
      </c>
      <c r="G43" s="1"/>
      <c r="H43" s="1"/>
      <c r="I43" s="1"/>
      <c r="J43" s="1"/>
      <c r="K43" s="1"/>
    </row>
    <row r="44" spans="2:13" x14ac:dyDescent="0.25">
      <c r="C44" s="1" t="s">
        <v>89</v>
      </c>
      <c r="D44" s="106">
        <f>C32-D43*B32</f>
        <v>3.5884132284925929E-2</v>
      </c>
      <c r="E44" s="1"/>
      <c r="F44" s="1" t="s">
        <v>92</v>
      </c>
      <c r="G44" s="1"/>
      <c r="H44" s="1"/>
      <c r="I44" s="1"/>
      <c r="J44" s="1"/>
      <c r="K44" s="1"/>
    </row>
    <row r="46" spans="2:13" x14ac:dyDescent="0.25">
      <c r="B46" t="s">
        <v>96</v>
      </c>
      <c r="L46" s="38" t="s">
        <v>97</v>
      </c>
      <c r="M46" s="38"/>
    </row>
    <row r="48" spans="2:13" x14ac:dyDescent="0.25">
      <c r="C48" s="75" t="s">
        <v>99</v>
      </c>
      <c r="D48" s="75"/>
      <c r="F48" s="75" t="s">
        <v>100</v>
      </c>
      <c r="G48" s="75"/>
      <c r="H48" s="75"/>
    </row>
    <row r="49" spans="3:7" x14ac:dyDescent="0.25">
      <c r="C49" s="63" t="s">
        <v>98</v>
      </c>
      <c r="D49" s="63" t="s">
        <v>85</v>
      </c>
      <c r="F49" s="63" t="s">
        <v>85</v>
      </c>
      <c r="G49" s="63" t="s">
        <v>101</v>
      </c>
    </row>
    <row r="50" spans="3:7" x14ac:dyDescent="0.25">
      <c r="C50" s="3">
        <v>2</v>
      </c>
      <c r="D50" s="3">
        <f xml:space="preserve"> 0.04+30.44*C50</f>
        <v>60.92</v>
      </c>
      <c r="F50" s="3">
        <v>60.92</v>
      </c>
      <c r="G50" s="3">
        <f>(F50-0.04)/30.44</f>
        <v>2</v>
      </c>
    </row>
  </sheetData>
  <mergeCells count="5">
    <mergeCell ref="E34:I34"/>
    <mergeCell ref="E36:I36"/>
    <mergeCell ref="C48:D48"/>
    <mergeCell ref="F48:H48"/>
    <mergeCell ref="C1:F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Estatística_Descritiva</vt:lpstr>
      <vt:lpstr>Probabilidade</vt:lpstr>
      <vt:lpstr>Intervalo_Confiança</vt:lpstr>
      <vt:lpstr>Teste_Hipótese</vt:lpstr>
      <vt:lpstr>Análise Erros</vt:lpstr>
      <vt:lpstr>Correlação</vt:lpstr>
      <vt:lpstr>Regressão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</dc:creator>
  <cp:lastModifiedBy>Luciano</cp:lastModifiedBy>
  <dcterms:created xsi:type="dcterms:W3CDTF">2020-10-20T04:08:15Z</dcterms:created>
  <dcterms:modified xsi:type="dcterms:W3CDTF">2020-10-27T19:21:20Z</dcterms:modified>
</cp:coreProperties>
</file>