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ucianogarim\Downloads\"/>
    </mc:Choice>
  </mc:AlternateContent>
  <xr:revisionPtr revIDLastSave="0" documentId="8_{F7A74A03-056A-4E62-A7E5-695AEB78200B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Completa" sheetId="1" r:id="rId1"/>
    <sheet name="P1" sheetId="2" r:id="rId2"/>
    <sheet name="P2" sheetId="3" r:id="rId3"/>
    <sheet name="P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x4PlPSklWCN/L/L5FMlcTUElALD6SSXLY3mh6ng+TbE="/>
    </ext>
  </extLst>
</workbook>
</file>

<file path=xl/calcChain.xml><?xml version="1.0" encoding="utf-8"?>
<calcChain xmlns="http://schemas.openxmlformats.org/spreadsheetml/2006/main">
  <c r="Q83" i="4" l="1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83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82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81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80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79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78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76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75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74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72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71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70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68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67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66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65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64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53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52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51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50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S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S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S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S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S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W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W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B51" i="2"/>
  <c r="W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B50" i="2"/>
  <c r="W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B49" i="2"/>
  <c r="W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W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W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B45" i="2"/>
  <c r="W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B44" i="2"/>
  <c r="W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B43" i="2"/>
  <c r="W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W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W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B39" i="2"/>
  <c r="W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B38" i="2"/>
  <c r="W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B37" i="2"/>
  <c r="W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W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W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B33" i="2"/>
  <c r="W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B32" i="2"/>
  <c r="W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B31" i="2"/>
  <c r="W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W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B28" i="2"/>
  <c r="W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B27" i="2"/>
  <c r="W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B26" i="2"/>
  <c r="W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B25" i="2"/>
  <c r="W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S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S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Z8" i="2"/>
  <c r="S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Z7" i="2"/>
  <c r="S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Z6" i="2"/>
  <c r="S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Z5" i="2"/>
  <c r="S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J1" i="2"/>
  <c r="AI1" i="2"/>
  <c r="AH1" i="2"/>
  <c r="AG1" i="2"/>
  <c r="AF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Q280" i="1"/>
  <c r="P280" i="1"/>
  <c r="F280" i="1"/>
  <c r="Q279" i="1"/>
  <c r="P279" i="1"/>
  <c r="F279" i="1"/>
  <c r="Q278" i="1"/>
  <c r="P278" i="1"/>
  <c r="F278" i="1"/>
  <c r="Q277" i="1"/>
  <c r="P277" i="1"/>
  <c r="F277" i="1"/>
  <c r="Q276" i="1"/>
  <c r="P276" i="1"/>
  <c r="F276" i="1"/>
  <c r="Q275" i="1"/>
  <c r="P275" i="1"/>
  <c r="F275" i="1"/>
  <c r="Q274" i="1"/>
  <c r="P274" i="1"/>
  <c r="F274" i="1"/>
  <c r="Q273" i="1"/>
  <c r="P273" i="1"/>
  <c r="F273" i="1"/>
  <c r="Q272" i="1"/>
  <c r="P272" i="1"/>
  <c r="F272" i="1"/>
  <c r="Q271" i="1"/>
  <c r="P271" i="1"/>
  <c r="F271" i="1"/>
  <c r="Q270" i="1"/>
  <c r="P270" i="1"/>
  <c r="F270" i="1"/>
  <c r="Q269" i="1"/>
  <c r="P269" i="1"/>
  <c r="F269" i="1"/>
  <c r="Q268" i="1"/>
  <c r="P268" i="1"/>
  <c r="F268" i="1"/>
  <c r="Q267" i="1"/>
  <c r="P267" i="1"/>
  <c r="F267" i="1"/>
  <c r="Q266" i="1"/>
  <c r="P266" i="1"/>
  <c r="F266" i="1"/>
  <c r="Q265" i="1"/>
  <c r="P265" i="1"/>
  <c r="F265" i="1"/>
  <c r="Q264" i="1"/>
  <c r="P264" i="1"/>
  <c r="F264" i="1"/>
  <c r="Q263" i="1"/>
  <c r="P263" i="1"/>
  <c r="F263" i="1"/>
  <c r="Q262" i="1"/>
  <c r="P262" i="1"/>
  <c r="F262" i="1"/>
  <c r="Q261" i="1"/>
  <c r="P261" i="1"/>
  <c r="F261" i="1"/>
  <c r="Q260" i="1"/>
  <c r="P260" i="1"/>
  <c r="F260" i="1"/>
  <c r="Q259" i="1"/>
  <c r="P259" i="1"/>
  <c r="F259" i="1"/>
  <c r="Q258" i="1"/>
  <c r="P258" i="1"/>
  <c r="F258" i="1"/>
  <c r="Q257" i="1"/>
  <c r="P257" i="1"/>
  <c r="F257" i="1"/>
  <c r="Q256" i="1"/>
  <c r="P256" i="1"/>
  <c r="F256" i="1"/>
  <c r="Q255" i="1"/>
  <c r="P255" i="1"/>
  <c r="F255" i="1"/>
  <c r="Q254" i="1"/>
  <c r="P254" i="1"/>
  <c r="F254" i="1"/>
  <c r="Q253" i="1"/>
  <c r="P253" i="1"/>
  <c r="F253" i="1"/>
  <c r="Q252" i="1"/>
  <c r="P252" i="1"/>
  <c r="F252" i="1"/>
  <c r="Q251" i="1"/>
  <c r="P251" i="1"/>
  <c r="F251" i="1"/>
  <c r="Q250" i="1"/>
  <c r="P250" i="1"/>
  <c r="F250" i="1"/>
  <c r="Q249" i="1"/>
  <c r="P249" i="1"/>
  <c r="F249" i="1"/>
  <c r="Q248" i="1"/>
  <c r="P248" i="1"/>
  <c r="F248" i="1"/>
  <c r="Q247" i="1"/>
  <c r="P247" i="1"/>
  <c r="F247" i="1"/>
  <c r="Q246" i="1"/>
  <c r="P246" i="1"/>
  <c r="F246" i="1"/>
  <c r="Q245" i="1"/>
  <c r="P245" i="1"/>
  <c r="F245" i="1"/>
  <c r="Q244" i="1"/>
  <c r="P244" i="1"/>
  <c r="F244" i="1"/>
  <c r="Q243" i="1"/>
  <c r="P243" i="1"/>
  <c r="F243" i="1"/>
  <c r="Q242" i="1"/>
  <c r="P242" i="1"/>
  <c r="F242" i="1"/>
  <c r="Q241" i="1"/>
  <c r="P241" i="1"/>
  <c r="F241" i="1"/>
  <c r="Q240" i="1"/>
  <c r="P240" i="1"/>
  <c r="F240" i="1"/>
  <c r="Q239" i="1"/>
  <c r="P239" i="1"/>
  <c r="F239" i="1"/>
  <c r="Q238" i="1"/>
  <c r="P238" i="1"/>
  <c r="F238" i="1"/>
  <c r="Q237" i="1"/>
  <c r="P237" i="1"/>
  <c r="F237" i="1"/>
  <c r="Q236" i="1"/>
  <c r="P236" i="1"/>
  <c r="F236" i="1"/>
  <c r="Q235" i="1"/>
  <c r="P235" i="1"/>
  <c r="F235" i="1"/>
  <c r="Q234" i="1"/>
  <c r="P234" i="1"/>
  <c r="F234" i="1"/>
  <c r="Q233" i="1"/>
  <c r="P233" i="1"/>
  <c r="F233" i="1"/>
  <c r="Q232" i="1"/>
  <c r="P232" i="1"/>
  <c r="F232" i="1"/>
  <c r="Q231" i="1"/>
  <c r="P231" i="1"/>
  <c r="F231" i="1"/>
  <c r="Q230" i="1"/>
  <c r="P230" i="1"/>
  <c r="F230" i="1"/>
  <c r="Q229" i="1"/>
  <c r="P229" i="1"/>
  <c r="F229" i="1"/>
  <c r="Q228" i="1"/>
  <c r="P228" i="1"/>
  <c r="F228" i="1"/>
  <c r="Q227" i="1"/>
  <c r="P227" i="1"/>
  <c r="F227" i="1"/>
  <c r="Q226" i="1"/>
  <c r="P226" i="1"/>
  <c r="F226" i="1"/>
  <c r="Q225" i="1"/>
  <c r="P225" i="1"/>
  <c r="F225" i="1"/>
  <c r="Q224" i="1"/>
  <c r="P224" i="1"/>
  <c r="F224" i="1"/>
  <c r="Q223" i="1"/>
  <c r="P223" i="1"/>
  <c r="F223" i="1"/>
  <c r="Q222" i="1"/>
  <c r="P222" i="1"/>
  <c r="F222" i="1"/>
  <c r="Q221" i="1"/>
  <c r="P221" i="1"/>
  <c r="F221" i="1"/>
  <c r="Q220" i="1"/>
  <c r="P220" i="1"/>
  <c r="F220" i="1"/>
  <c r="Q219" i="1"/>
  <c r="P219" i="1"/>
  <c r="F219" i="1"/>
  <c r="Q218" i="1"/>
  <c r="P218" i="1"/>
  <c r="F218" i="1"/>
  <c r="Q217" i="1"/>
  <c r="P217" i="1"/>
  <c r="F217" i="1"/>
  <c r="Q216" i="1"/>
  <c r="P216" i="1"/>
  <c r="F216" i="1"/>
  <c r="Q215" i="1"/>
  <c r="P215" i="1"/>
  <c r="F215" i="1"/>
  <c r="Q214" i="1"/>
  <c r="P214" i="1"/>
  <c r="F214" i="1"/>
  <c r="Q213" i="1"/>
  <c r="P213" i="1"/>
  <c r="F213" i="1"/>
  <c r="Q212" i="1"/>
  <c r="P212" i="1"/>
  <c r="F212" i="1"/>
  <c r="Q211" i="1"/>
  <c r="P211" i="1"/>
  <c r="F211" i="1"/>
  <c r="Q210" i="1"/>
  <c r="P210" i="1"/>
  <c r="F210" i="1"/>
  <c r="Q209" i="1"/>
  <c r="P209" i="1"/>
  <c r="F209" i="1"/>
  <c r="Q208" i="1"/>
  <c r="P208" i="1"/>
  <c r="F208" i="1"/>
  <c r="Q207" i="1"/>
  <c r="P207" i="1"/>
  <c r="F207" i="1"/>
  <c r="Q206" i="1"/>
  <c r="P206" i="1"/>
  <c r="F206" i="1"/>
  <c r="Q205" i="1"/>
  <c r="P205" i="1"/>
  <c r="F205" i="1"/>
  <c r="Q204" i="1"/>
  <c r="P204" i="1"/>
  <c r="F204" i="1"/>
  <c r="Q203" i="1"/>
  <c r="P203" i="1"/>
  <c r="F203" i="1"/>
  <c r="Q202" i="1"/>
  <c r="P202" i="1"/>
  <c r="F202" i="1"/>
  <c r="Q201" i="1"/>
  <c r="P201" i="1"/>
  <c r="F201" i="1"/>
  <c r="Q200" i="1"/>
  <c r="P200" i="1"/>
  <c r="F200" i="1"/>
  <c r="Q199" i="1"/>
  <c r="P199" i="1"/>
  <c r="F199" i="1"/>
  <c r="Q198" i="1"/>
  <c r="P198" i="1"/>
  <c r="F198" i="1"/>
  <c r="Q197" i="1"/>
  <c r="P197" i="1"/>
  <c r="F197" i="1"/>
  <c r="Q196" i="1"/>
  <c r="P196" i="1"/>
  <c r="F196" i="1"/>
  <c r="Q195" i="1"/>
  <c r="P195" i="1"/>
  <c r="F195" i="1"/>
  <c r="Q194" i="1"/>
  <c r="P194" i="1"/>
  <c r="F194" i="1"/>
  <c r="Q193" i="1"/>
  <c r="P193" i="1"/>
  <c r="F193" i="1"/>
  <c r="Q192" i="1"/>
  <c r="P192" i="1"/>
  <c r="F192" i="1"/>
  <c r="Q191" i="1"/>
  <c r="P191" i="1"/>
  <c r="F191" i="1"/>
  <c r="Q190" i="1"/>
  <c r="P190" i="1"/>
  <c r="F190" i="1"/>
  <c r="Q189" i="1"/>
  <c r="P189" i="1"/>
  <c r="F189" i="1"/>
  <c r="Q188" i="1"/>
  <c r="P188" i="1"/>
  <c r="F188" i="1"/>
  <c r="Q187" i="1"/>
  <c r="P187" i="1"/>
  <c r="F187" i="1"/>
  <c r="Q186" i="1"/>
  <c r="P186" i="1"/>
  <c r="F186" i="1"/>
  <c r="Q185" i="1"/>
  <c r="P185" i="1"/>
  <c r="F185" i="1"/>
  <c r="Q184" i="1"/>
  <c r="P184" i="1"/>
  <c r="F184" i="1"/>
  <c r="Q183" i="1"/>
  <c r="P183" i="1"/>
  <c r="F183" i="1"/>
  <c r="Q182" i="1"/>
  <c r="P182" i="1"/>
  <c r="F182" i="1"/>
  <c r="Q181" i="1"/>
  <c r="P181" i="1"/>
  <c r="F181" i="1"/>
  <c r="Q180" i="1"/>
  <c r="P180" i="1"/>
  <c r="F180" i="1"/>
  <c r="Q179" i="1"/>
  <c r="P179" i="1"/>
  <c r="F179" i="1"/>
  <c r="Q178" i="1"/>
  <c r="P178" i="1"/>
  <c r="F178" i="1"/>
  <c r="Q177" i="1"/>
  <c r="P177" i="1"/>
  <c r="F177" i="1"/>
  <c r="Q176" i="1"/>
  <c r="P176" i="1"/>
  <c r="F176" i="1"/>
  <c r="Q175" i="1"/>
  <c r="P175" i="1"/>
  <c r="F175" i="1"/>
  <c r="Q174" i="1"/>
  <c r="P174" i="1"/>
  <c r="F174" i="1"/>
  <c r="Q173" i="1"/>
  <c r="P173" i="1"/>
  <c r="F173" i="1"/>
  <c r="Q172" i="1"/>
  <c r="P172" i="1"/>
  <c r="F172" i="1"/>
  <c r="Q171" i="1"/>
  <c r="P171" i="1"/>
  <c r="F171" i="1"/>
  <c r="Q170" i="1"/>
  <c r="P170" i="1"/>
  <c r="F170" i="1"/>
  <c r="Q169" i="1"/>
  <c r="P169" i="1"/>
  <c r="F169" i="1"/>
  <c r="Q168" i="1"/>
  <c r="P168" i="1"/>
  <c r="F168" i="1"/>
  <c r="Q167" i="1"/>
  <c r="P167" i="1"/>
  <c r="F167" i="1"/>
  <c r="Q166" i="1"/>
  <c r="P166" i="1"/>
  <c r="F166" i="1"/>
  <c r="Q165" i="1"/>
  <c r="P165" i="1"/>
  <c r="F165" i="1"/>
  <c r="Q164" i="1"/>
  <c r="P164" i="1"/>
  <c r="F164" i="1"/>
  <c r="Q163" i="1"/>
  <c r="P163" i="1"/>
  <c r="F163" i="1"/>
  <c r="Q162" i="1"/>
  <c r="P162" i="1"/>
  <c r="F162" i="1"/>
  <c r="Q161" i="1"/>
  <c r="P161" i="1"/>
  <c r="F161" i="1"/>
  <c r="Q160" i="1"/>
  <c r="P160" i="1"/>
  <c r="F160" i="1"/>
  <c r="Q159" i="1"/>
  <c r="P159" i="1"/>
  <c r="F159" i="1"/>
  <c r="Q158" i="1"/>
  <c r="P158" i="1"/>
  <c r="F158" i="1"/>
  <c r="Q157" i="1"/>
  <c r="P157" i="1"/>
  <c r="F157" i="1"/>
  <c r="Q156" i="1"/>
  <c r="P156" i="1"/>
  <c r="F156" i="1"/>
  <c r="Q155" i="1"/>
  <c r="P155" i="1"/>
  <c r="F155" i="1"/>
  <c r="Q154" i="1"/>
  <c r="P154" i="1"/>
  <c r="F154" i="1"/>
  <c r="Q153" i="1"/>
  <c r="P153" i="1"/>
  <c r="F153" i="1"/>
  <c r="Q152" i="1"/>
  <c r="P152" i="1"/>
  <c r="F152" i="1"/>
  <c r="Q151" i="1"/>
  <c r="P151" i="1"/>
  <c r="F151" i="1"/>
  <c r="Q150" i="1"/>
  <c r="P150" i="1"/>
  <c r="F150" i="1"/>
  <c r="Q149" i="1"/>
  <c r="P149" i="1"/>
  <c r="F149" i="1"/>
  <c r="Q148" i="1"/>
  <c r="P148" i="1"/>
  <c r="F148" i="1"/>
  <c r="Q147" i="1"/>
  <c r="P147" i="1"/>
  <c r="F147" i="1"/>
  <c r="Q146" i="1"/>
  <c r="P146" i="1"/>
  <c r="F146" i="1"/>
  <c r="Q145" i="1"/>
  <c r="P145" i="1"/>
  <c r="F145" i="1"/>
  <c r="Q144" i="1"/>
  <c r="P144" i="1"/>
  <c r="F144" i="1"/>
  <c r="Q143" i="1"/>
  <c r="P143" i="1"/>
  <c r="F143" i="1"/>
  <c r="Q142" i="1"/>
  <c r="P142" i="1"/>
  <c r="F142" i="1"/>
  <c r="Q141" i="1"/>
  <c r="P141" i="1"/>
  <c r="F141" i="1"/>
  <c r="Q140" i="1"/>
  <c r="P140" i="1"/>
  <c r="F140" i="1"/>
  <c r="Q139" i="1"/>
  <c r="P139" i="1"/>
  <c r="F139" i="1"/>
  <c r="Q138" i="1"/>
  <c r="P138" i="1"/>
  <c r="F138" i="1"/>
  <c r="Q137" i="1"/>
  <c r="P137" i="1"/>
  <c r="F137" i="1"/>
  <c r="Q136" i="1"/>
  <c r="P136" i="1"/>
  <c r="F136" i="1"/>
  <c r="Q135" i="1"/>
  <c r="P135" i="1"/>
  <c r="F135" i="1"/>
  <c r="Q134" i="1"/>
  <c r="P134" i="1"/>
  <c r="F134" i="1"/>
  <c r="Q133" i="1"/>
  <c r="P133" i="1"/>
  <c r="F133" i="1"/>
  <c r="Q132" i="1"/>
  <c r="P132" i="1"/>
  <c r="F132" i="1"/>
  <c r="Q131" i="1"/>
  <c r="P131" i="1"/>
  <c r="F131" i="1"/>
  <c r="Q130" i="1"/>
  <c r="P130" i="1"/>
  <c r="F130" i="1"/>
  <c r="Q129" i="1"/>
  <c r="P129" i="1"/>
  <c r="F129" i="1"/>
  <c r="Q128" i="1"/>
  <c r="P128" i="1"/>
  <c r="F128" i="1"/>
  <c r="Q127" i="1"/>
  <c r="P127" i="1"/>
  <c r="F127" i="1"/>
  <c r="Q126" i="1"/>
  <c r="P126" i="1"/>
  <c r="F126" i="1"/>
  <c r="Q125" i="1"/>
  <c r="P125" i="1"/>
  <c r="F125" i="1"/>
  <c r="Q124" i="1"/>
  <c r="P124" i="1"/>
  <c r="F124" i="1"/>
  <c r="Q123" i="1"/>
  <c r="P123" i="1"/>
  <c r="F123" i="1"/>
  <c r="Q122" i="1"/>
  <c r="P122" i="1"/>
  <c r="F122" i="1"/>
  <c r="Q121" i="1"/>
  <c r="P121" i="1"/>
  <c r="F121" i="1"/>
  <c r="Q120" i="1"/>
  <c r="P120" i="1"/>
  <c r="F120" i="1"/>
  <c r="Q119" i="1"/>
  <c r="P119" i="1"/>
  <c r="F119" i="1"/>
  <c r="Q118" i="1"/>
  <c r="P118" i="1"/>
  <c r="F118" i="1"/>
  <c r="Q117" i="1"/>
  <c r="P117" i="1"/>
  <c r="F117" i="1"/>
  <c r="Q116" i="1"/>
  <c r="P116" i="1"/>
  <c r="F116" i="1"/>
  <c r="Q115" i="1"/>
  <c r="P115" i="1"/>
  <c r="F115" i="1"/>
  <c r="Q114" i="1"/>
  <c r="P114" i="1"/>
  <c r="F114" i="1"/>
  <c r="Q113" i="1"/>
  <c r="P113" i="1"/>
  <c r="F113" i="1"/>
  <c r="Q112" i="1"/>
  <c r="P112" i="1"/>
  <c r="F112" i="1"/>
  <c r="Q111" i="1"/>
  <c r="P111" i="1"/>
  <c r="F111" i="1"/>
  <c r="Q110" i="1"/>
  <c r="P110" i="1"/>
  <c r="F110" i="1"/>
  <c r="Q109" i="1"/>
  <c r="P109" i="1"/>
  <c r="F109" i="1"/>
  <c r="Q108" i="1"/>
  <c r="P108" i="1"/>
  <c r="F108" i="1"/>
  <c r="Q107" i="1"/>
  <c r="P107" i="1"/>
  <c r="F107" i="1"/>
  <c r="Q106" i="1"/>
  <c r="P106" i="1"/>
  <c r="F106" i="1"/>
  <c r="Q105" i="1"/>
  <c r="P105" i="1"/>
  <c r="F105" i="1"/>
  <c r="Q104" i="1"/>
  <c r="P104" i="1"/>
  <c r="F104" i="1"/>
  <c r="Q103" i="1"/>
  <c r="P103" i="1"/>
  <c r="F103" i="1"/>
  <c r="Q102" i="1"/>
  <c r="P102" i="1"/>
  <c r="F102" i="1"/>
  <c r="Q101" i="1"/>
  <c r="P101" i="1"/>
  <c r="F101" i="1"/>
  <c r="Q100" i="1"/>
  <c r="P100" i="1"/>
  <c r="F100" i="1"/>
  <c r="Q99" i="1"/>
  <c r="P99" i="1"/>
  <c r="F99" i="1"/>
  <c r="Q98" i="1"/>
  <c r="P98" i="1"/>
  <c r="F98" i="1"/>
  <c r="Q97" i="1"/>
  <c r="P97" i="1"/>
  <c r="F97" i="1"/>
  <c r="Q96" i="1"/>
  <c r="P96" i="1"/>
  <c r="F96" i="1"/>
  <c r="Q95" i="1"/>
  <c r="P95" i="1"/>
  <c r="F95" i="1"/>
  <c r="Q94" i="1"/>
  <c r="P94" i="1"/>
  <c r="F94" i="1"/>
  <c r="Q93" i="1"/>
  <c r="P93" i="1"/>
  <c r="F93" i="1"/>
  <c r="Q92" i="1"/>
  <c r="P92" i="1"/>
  <c r="F92" i="1"/>
  <c r="Q91" i="1"/>
  <c r="P91" i="1"/>
  <c r="F91" i="1"/>
  <c r="Q90" i="1"/>
  <c r="P90" i="1"/>
  <c r="F90" i="1"/>
  <c r="Q89" i="1"/>
  <c r="P89" i="1"/>
  <c r="F89" i="1"/>
  <c r="Q88" i="1"/>
  <c r="P88" i="1"/>
  <c r="F88" i="1"/>
  <c r="Q87" i="1"/>
  <c r="P87" i="1"/>
  <c r="F87" i="1"/>
  <c r="Q86" i="1"/>
  <c r="P86" i="1"/>
  <c r="F86" i="1"/>
  <c r="Q85" i="1"/>
  <c r="P85" i="1"/>
  <c r="F85" i="1"/>
  <c r="Q84" i="1"/>
  <c r="P84" i="1"/>
  <c r="F84" i="1"/>
  <c r="Q83" i="1"/>
  <c r="P83" i="1"/>
  <c r="F83" i="1"/>
  <c r="Q82" i="1"/>
  <c r="P82" i="1"/>
  <c r="F82" i="1"/>
  <c r="Q81" i="1"/>
  <c r="P81" i="1"/>
  <c r="F81" i="1"/>
  <c r="Q80" i="1"/>
  <c r="P80" i="1"/>
  <c r="F80" i="1"/>
  <c r="Q79" i="1"/>
  <c r="P79" i="1"/>
  <c r="F79" i="1"/>
  <c r="Q78" i="1"/>
  <c r="P78" i="1"/>
  <c r="F78" i="1"/>
  <c r="Q77" i="1"/>
  <c r="P77" i="1"/>
  <c r="F77" i="1"/>
  <c r="Q76" i="1"/>
  <c r="P76" i="1"/>
  <c r="F76" i="1"/>
  <c r="Q75" i="1"/>
  <c r="P75" i="1"/>
  <c r="F75" i="1"/>
  <c r="Q74" i="1"/>
  <c r="P74" i="1"/>
  <c r="F74" i="1"/>
  <c r="Q73" i="1"/>
  <c r="P73" i="1"/>
  <c r="F73" i="1"/>
  <c r="Q72" i="1"/>
  <c r="P72" i="1"/>
  <c r="F72" i="1"/>
  <c r="Q71" i="1"/>
  <c r="P71" i="1"/>
  <c r="F71" i="1"/>
  <c r="Q70" i="1"/>
  <c r="P70" i="1"/>
  <c r="F70" i="1"/>
  <c r="Q69" i="1"/>
  <c r="P69" i="1"/>
  <c r="F69" i="1"/>
  <c r="Q68" i="1"/>
  <c r="P68" i="1"/>
  <c r="F68" i="1"/>
  <c r="Q67" i="1"/>
  <c r="P67" i="1"/>
  <c r="F67" i="1"/>
  <c r="Q66" i="1"/>
  <c r="P66" i="1"/>
  <c r="F66" i="1"/>
  <c r="Q65" i="1"/>
  <c r="P65" i="1"/>
  <c r="F65" i="1"/>
  <c r="Q64" i="1"/>
  <c r="P64" i="1"/>
  <c r="F64" i="1"/>
  <c r="Q63" i="1"/>
  <c r="P63" i="1"/>
  <c r="F63" i="1"/>
  <c r="Q62" i="1"/>
  <c r="P62" i="1"/>
  <c r="F62" i="1"/>
  <c r="Q61" i="1"/>
  <c r="P61" i="1"/>
  <c r="F61" i="1"/>
  <c r="Q60" i="1"/>
  <c r="P60" i="1"/>
  <c r="F60" i="1"/>
  <c r="Q59" i="1"/>
  <c r="P59" i="1"/>
  <c r="F59" i="1"/>
  <c r="Q58" i="1"/>
  <c r="P58" i="1"/>
  <c r="F58" i="1"/>
  <c r="Q57" i="1"/>
  <c r="P57" i="1"/>
  <c r="F57" i="1"/>
  <c r="Q56" i="1"/>
  <c r="P56" i="1"/>
  <c r="F56" i="1"/>
  <c r="Q55" i="1"/>
  <c r="P55" i="1"/>
  <c r="F55" i="1"/>
  <c r="Q54" i="1"/>
  <c r="P54" i="1"/>
  <c r="F54" i="1"/>
  <c r="Q53" i="1"/>
  <c r="P53" i="1"/>
  <c r="F53" i="1"/>
  <c r="Q52" i="1"/>
  <c r="P52" i="1"/>
  <c r="F52" i="1"/>
  <c r="Q51" i="1"/>
  <c r="P51" i="1"/>
  <c r="F51" i="1"/>
  <c r="Q50" i="1"/>
  <c r="P50" i="1"/>
  <c r="F50" i="1"/>
  <c r="Q49" i="1"/>
  <c r="P49" i="1"/>
  <c r="F49" i="1"/>
  <c r="Q48" i="1"/>
  <c r="P48" i="1"/>
  <c r="F48" i="1"/>
  <c r="Q47" i="1"/>
  <c r="P47" i="1"/>
  <c r="F47" i="1"/>
  <c r="Q46" i="1"/>
  <c r="P46" i="1"/>
  <c r="F46" i="1"/>
  <c r="Q45" i="1"/>
  <c r="P45" i="1"/>
  <c r="F45" i="1"/>
  <c r="Q44" i="1"/>
  <c r="P44" i="1"/>
  <c r="F44" i="1"/>
  <c r="Q43" i="1"/>
  <c r="P43" i="1"/>
  <c r="F43" i="1"/>
  <c r="Q42" i="1"/>
  <c r="P42" i="1"/>
  <c r="F42" i="1"/>
  <c r="Q41" i="1"/>
  <c r="P41" i="1"/>
  <c r="F41" i="1"/>
  <c r="Q40" i="1"/>
  <c r="P40" i="1"/>
  <c r="F40" i="1"/>
  <c r="Q39" i="1"/>
  <c r="P39" i="1"/>
  <c r="F39" i="1"/>
  <c r="Q38" i="1"/>
  <c r="P38" i="1"/>
  <c r="F38" i="1"/>
  <c r="Q37" i="1"/>
  <c r="P37" i="1"/>
  <c r="F37" i="1"/>
  <c r="Q36" i="1"/>
  <c r="P36" i="1"/>
  <c r="F36" i="1"/>
  <c r="Q35" i="1"/>
  <c r="P35" i="1"/>
  <c r="F35" i="1"/>
  <c r="Q34" i="1"/>
  <c r="P34" i="1"/>
  <c r="F34" i="1"/>
  <c r="Q33" i="1"/>
  <c r="P33" i="1"/>
  <c r="F33" i="1"/>
  <c r="Q32" i="1"/>
  <c r="P32" i="1"/>
  <c r="F32" i="1"/>
  <c r="Q31" i="1"/>
  <c r="P31" i="1"/>
  <c r="F31" i="1"/>
  <c r="Q30" i="1"/>
  <c r="P30" i="1"/>
  <c r="F30" i="1"/>
  <c r="Q29" i="1"/>
  <c r="P29" i="1"/>
  <c r="F29" i="1"/>
  <c r="Q28" i="1"/>
  <c r="P28" i="1"/>
  <c r="F28" i="1"/>
  <c r="Q27" i="1"/>
  <c r="P27" i="1"/>
  <c r="F27" i="1"/>
  <c r="Q26" i="1"/>
  <c r="P26" i="1"/>
  <c r="F26" i="1"/>
  <c r="Q25" i="1"/>
  <c r="P25" i="1"/>
  <c r="F25" i="1"/>
  <c r="Q24" i="1"/>
  <c r="P24" i="1"/>
  <c r="F24" i="1"/>
  <c r="Q23" i="1"/>
  <c r="P23" i="1"/>
  <c r="F23" i="1"/>
  <c r="Q22" i="1"/>
  <c r="P22" i="1"/>
  <c r="F22" i="1"/>
  <c r="Q21" i="1"/>
  <c r="P21" i="1"/>
  <c r="F21" i="1"/>
  <c r="Q20" i="1"/>
  <c r="P20" i="1"/>
  <c r="F20" i="1"/>
  <c r="Q19" i="1"/>
  <c r="P19" i="1"/>
  <c r="F19" i="1"/>
  <c r="Q18" i="1"/>
  <c r="P18" i="1"/>
  <c r="F18" i="1"/>
  <c r="Q17" i="1"/>
  <c r="P17" i="1"/>
  <c r="F17" i="1"/>
  <c r="Q16" i="1"/>
  <c r="P16" i="1"/>
  <c r="F16" i="1"/>
  <c r="Q15" i="1"/>
  <c r="P15" i="1"/>
  <c r="F15" i="1"/>
  <c r="Q14" i="1"/>
  <c r="P14" i="1"/>
  <c r="F14" i="1"/>
  <c r="Q13" i="1"/>
  <c r="P13" i="1"/>
  <c r="F13" i="1"/>
  <c r="Q12" i="1"/>
  <c r="P12" i="1"/>
  <c r="F12" i="1"/>
  <c r="Q11" i="1"/>
  <c r="P11" i="1"/>
  <c r="F11" i="1"/>
  <c r="Q10" i="1"/>
  <c r="P10" i="1"/>
  <c r="F10" i="1"/>
  <c r="Q9" i="1"/>
  <c r="P9" i="1"/>
  <c r="F9" i="1"/>
  <c r="Q8" i="1"/>
  <c r="P8" i="1"/>
  <c r="F8" i="1"/>
  <c r="Q7" i="1"/>
  <c r="P7" i="1"/>
  <c r="F7" i="1"/>
  <c r="Q6" i="1"/>
  <c r="P6" i="1"/>
  <c r="F6" i="1"/>
  <c r="Q5" i="1"/>
  <c r="P5" i="1"/>
  <c r="F5" i="1"/>
  <c r="Q4" i="1"/>
  <c r="P4" i="1"/>
  <c r="F4" i="1"/>
  <c r="Q3" i="1"/>
  <c r="P3" i="1"/>
  <c r="F3" i="1"/>
  <c r="Q2" i="1"/>
  <c r="P2" i="1"/>
  <c r="F2" i="1"/>
</calcChain>
</file>

<file path=xl/sharedStrings.xml><?xml version="1.0" encoding="utf-8"?>
<sst xmlns="http://schemas.openxmlformats.org/spreadsheetml/2006/main" count="672" uniqueCount="381">
  <si>
    <t>Well</t>
  </si>
  <si>
    <t>Number</t>
  </si>
  <si>
    <t>Depth (m)</t>
  </si>
  <si>
    <t>Lithology</t>
  </si>
  <si>
    <t>Class</t>
  </si>
  <si>
    <t>Other particles of the framework (spherulites, oolites, fascicular calcites, bioclasts...) (%)</t>
  </si>
  <si>
    <t xml:space="preserve">Cement (intercrystalline calcite and dolomite)  (%) </t>
  </si>
  <si>
    <t xml:space="preserve">Argila (%) </t>
  </si>
  <si>
    <t xml:space="preserve">SiO2 (%) </t>
  </si>
  <si>
    <t>Type contact between crystals</t>
  </si>
  <si>
    <t xml:space="preserve">Amalgamated framework </t>
  </si>
  <si>
    <t>Pore intercrystalline (%)</t>
  </si>
  <si>
    <t>Poro intracristalino</t>
  </si>
  <si>
    <t>Occurrence of vug</t>
  </si>
  <si>
    <t>Pore Connections (throats)</t>
  </si>
  <si>
    <t>Absolute porosity (%)</t>
  </si>
  <si>
    <t>Effective porosity (%)</t>
  </si>
  <si>
    <t>Laboratory porosity (%)</t>
  </si>
  <si>
    <t>Laboratory permeability (mD)</t>
  </si>
  <si>
    <t>Facies</t>
  </si>
  <si>
    <t>Petrofacies</t>
  </si>
  <si>
    <t>69 (2)</t>
  </si>
  <si>
    <t>4987,05</t>
  </si>
  <si>
    <t>Shrubby spherulitestone with mud</t>
  </si>
  <si>
    <t>4987,95</t>
  </si>
  <si>
    <r>
      <rPr>
        <sz val="12"/>
        <color theme="1"/>
        <rFont val="Calibri"/>
      </rPr>
      <t xml:space="preserve">Lithology - Classification = Facies </t>
    </r>
    <r>
      <rPr>
        <i/>
        <sz val="12"/>
        <color rgb="FF000000"/>
        <rFont val="Calibri"/>
      </rPr>
      <t>in situ</t>
    </r>
    <r>
      <rPr>
        <sz val="12"/>
        <color rgb="FF000000"/>
        <rFont val="Calibri"/>
      </rPr>
      <t xml:space="preserve"> and reworked facies adaptaded according to Gomes et al. 2020. Lithofacies* - adapted by Petrobras (original classification)</t>
    </r>
  </si>
  <si>
    <t>4988,05</t>
  </si>
  <si>
    <t>Spherulitestone</t>
  </si>
  <si>
    <t>Class:</t>
  </si>
  <si>
    <t>Shrubstone = 1</t>
  </si>
  <si>
    <t>4989,30</t>
  </si>
  <si>
    <t>Shrubby spherulitestone</t>
  </si>
  <si>
    <t>Spherulitestone = 2</t>
  </si>
  <si>
    <t>Intraclastic grainstone = 8</t>
  </si>
  <si>
    <t>4990,00</t>
  </si>
  <si>
    <t>Mudstone (silicius mudstone, dolomudstone) = 3</t>
  </si>
  <si>
    <t>Intraclastic packstone = 9</t>
  </si>
  <si>
    <t>4990,65</t>
  </si>
  <si>
    <t>Shrubstone</t>
  </si>
  <si>
    <t>Shrubby spherulitestone = 4</t>
  </si>
  <si>
    <t>Intraclastic rudstone = 10</t>
  </si>
  <si>
    <t>4991,60</t>
  </si>
  <si>
    <t>Spherulitic shrubstone = 5</t>
  </si>
  <si>
    <t>Breccias (cabonatic, silic) = 11</t>
  </si>
  <si>
    <t>4992,80</t>
  </si>
  <si>
    <t>Intraclastic packstone</t>
  </si>
  <si>
    <t>Mudstone spherulitic = 6</t>
  </si>
  <si>
    <t>4993,05</t>
  </si>
  <si>
    <t>Shrubby spherulitestone with mud = 7</t>
  </si>
  <si>
    <t>4994,85</t>
  </si>
  <si>
    <t>4995,05</t>
  </si>
  <si>
    <t xml:space="preserve">Type contact between grains = amalgameda: 0; sutured: 1; concave-convex: 2; longitudinal-transverse: 3; punctual: 4; floating: 5 </t>
  </si>
  <si>
    <t>4995,60</t>
  </si>
  <si>
    <t>4996,75</t>
  </si>
  <si>
    <t>Intraclastic grainstone</t>
  </si>
  <si>
    <t>Amalgamated framework = yes: 1; no: 0</t>
  </si>
  <si>
    <t>4997,50</t>
  </si>
  <si>
    <t>4997,75</t>
  </si>
  <si>
    <t>Presence of vug = yes: 1; no: 0</t>
  </si>
  <si>
    <t>4998,35</t>
  </si>
  <si>
    <t>4998,95</t>
  </si>
  <si>
    <t>Pore connections = yes: 1; no: 0</t>
  </si>
  <si>
    <t>4999,30</t>
  </si>
  <si>
    <t>4999,75</t>
  </si>
  <si>
    <t>Effective porosity = empty spaces that are connected</t>
  </si>
  <si>
    <t>5000,45</t>
  </si>
  <si>
    <t>5000,70</t>
  </si>
  <si>
    <t>Facies: in situ: 1; Reworked: 2</t>
  </si>
  <si>
    <t>5001,45</t>
  </si>
  <si>
    <t>5001,70</t>
  </si>
  <si>
    <t>5002,00</t>
  </si>
  <si>
    <t>Petrofacies 1</t>
  </si>
  <si>
    <t>Degree of relevance of the parameters:</t>
  </si>
  <si>
    <t>Intraparticle porosity: 2</t>
  </si>
  <si>
    <t>5003,80</t>
  </si>
  <si>
    <t>Average absolute porosity: 9,10%</t>
  </si>
  <si>
    <t>Interparticle cementation (calcite and dolomite): 3</t>
  </si>
  <si>
    <t>Vugs: 3</t>
  </si>
  <si>
    <t>5004,05</t>
  </si>
  <si>
    <t>Mudstone spherulitic</t>
  </si>
  <si>
    <t>Average effective porosity: 2,40%</t>
  </si>
  <si>
    <t>Clay content (clay matrix): 3</t>
  </si>
  <si>
    <t>Amalgamated particles: 1</t>
  </si>
  <si>
    <t>5004,60</t>
  </si>
  <si>
    <t>Average laboratory porosity:  10,89%</t>
  </si>
  <si>
    <t xml:space="preserve">
Interparticle silica: 3</t>
  </si>
  <si>
    <t>Connection between pores: 3</t>
  </si>
  <si>
    <t>5005,50</t>
  </si>
  <si>
    <t>Laboratory permeability: 0,001 a 50 mD</t>
  </si>
  <si>
    <t>interparticle porosity: 2</t>
  </si>
  <si>
    <t>5005,85</t>
  </si>
  <si>
    <t>5006,75</t>
  </si>
  <si>
    <t>Petrofacies 2</t>
  </si>
  <si>
    <t>5007,60</t>
  </si>
  <si>
    <t>Average absolute porosity: 16,65%</t>
  </si>
  <si>
    <t>5008,50</t>
  </si>
  <si>
    <t>Average effective porosity: 7,32%</t>
  </si>
  <si>
    <t>Interparticle silica: 3</t>
  </si>
  <si>
    <t>5009,10</t>
  </si>
  <si>
    <t>Average laboratory porosity:  16,55%</t>
  </si>
  <si>
    <t>Interparticle porosity: 2</t>
  </si>
  <si>
    <t>5010,00</t>
  </si>
  <si>
    <t>Laboratory permeability: 51 - 100 mD</t>
  </si>
  <si>
    <t>5010,50</t>
  </si>
  <si>
    <t>5013,70</t>
  </si>
  <si>
    <t>Petrofacies 3</t>
  </si>
  <si>
    <t>5013,95</t>
  </si>
  <si>
    <t>Mudstone</t>
  </si>
  <si>
    <t>Average absolute porosity: 18,67%</t>
  </si>
  <si>
    <t>Clay content (clay matrix): 2</t>
  </si>
  <si>
    <t>5017,40</t>
  </si>
  <si>
    <t>Average effective porosity: 9,30%</t>
  </si>
  <si>
    <t>Connection between poress: 3</t>
  </si>
  <si>
    <t>5017,80</t>
  </si>
  <si>
    <t>Average laboratory porosity: 18,65%</t>
  </si>
  <si>
    <t>Interparticle porosity: 3</t>
  </si>
  <si>
    <t>5018,95</t>
  </si>
  <si>
    <t>Laboratory permeability: de 101 até 500 mD</t>
  </si>
  <si>
    <t>Intraparticle porosity: 3</t>
  </si>
  <si>
    <t>5019,50</t>
  </si>
  <si>
    <t>5020,90</t>
  </si>
  <si>
    <t>Petrofacies 4</t>
  </si>
  <si>
    <t>5021,35</t>
  </si>
  <si>
    <t>Intraclastic graisntone</t>
  </si>
  <si>
    <t>Average absolute porosity: 19,76%</t>
  </si>
  <si>
    <t>Amalgamated particles: 2</t>
  </si>
  <si>
    <t>5021,60</t>
  </si>
  <si>
    <t>Average effective porosity: 13,53%</t>
  </si>
  <si>
    <t>5023,65</t>
  </si>
  <si>
    <t>Average laboratory porosity:  17,90%</t>
  </si>
  <si>
    <t>5024,40</t>
  </si>
  <si>
    <t>Laboratory permeability: 501 a 1000 mD</t>
  </si>
  <si>
    <t>5024,60</t>
  </si>
  <si>
    <t>5026,50</t>
  </si>
  <si>
    <t>Petrofacies 5</t>
  </si>
  <si>
    <t>Interparticle cementation (calcite and dolomite): 2</t>
  </si>
  <si>
    <t>5026,70</t>
  </si>
  <si>
    <t>Average absolute porosity: 18,33%</t>
  </si>
  <si>
    <t>Clay content (clay matrix): 1</t>
  </si>
  <si>
    <t>5027,60</t>
  </si>
  <si>
    <t>Average effective porosity: 12,50%</t>
  </si>
  <si>
    <t>Interparticle silica: 2</t>
  </si>
  <si>
    <t>5028,15</t>
  </si>
  <si>
    <t>Average laboratory porosity:  18,43%</t>
  </si>
  <si>
    <t>5028,75</t>
  </si>
  <si>
    <t>Laboratory permeability: &gt; 1000 mD</t>
  </si>
  <si>
    <t>Intraparticle porositya: 1</t>
  </si>
  <si>
    <t>5029,25</t>
  </si>
  <si>
    <t>5030,15</t>
  </si>
  <si>
    <t>0 - 50 mD</t>
  </si>
  <si>
    <t>5031,80</t>
  </si>
  <si>
    <t>51 - 100 mD</t>
  </si>
  <si>
    <t>5032,90</t>
  </si>
  <si>
    <t>101 - 500 mD</t>
  </si>
  <si>
    <t>5035,25</t>
  </si>
  <si>
    <t>501- 1000 mD</t>
  </si>
  <si>
    <t>5035,65</t>
  </si>
  <si>
    <t>&gt; 1000 mD</t>
  </si>
  <si>
    <t>5036,20</t>
  </si>
  <si>
    <t>5037,40</t>
  </si>
  <si>
    <t>5037,85</t>
  </si>
  <si>
    <t>5038,65</t>
  </si>
  <si>
    <t>5039,85</t>
  </si>
  <si>
    <t>5040,30</t>
  </si>
  <si>
    <t>5040,90</t>
  </si>
  <si>
    <t>5041,20</t>
  </si>
  <si>
    <t>5042,85</t>
  </si>
  <si>
    <t>5045,80</t>
  </si>
  <si>
    <t>5046,15</t>
  </si>
  <si>
    <t>5046,70</t>
  </si>
  <si>
    <t>5048,00</t>
  </si>
  <si>
    <t>5049,00</t>
  </si>
  <si>
    <t>5052,00</t>
  </si>
  <si>
    <t>5056,00</t>
  </si>
  <si>
    <t>5057,00</t>
  </si>
  <si>
    <t>5058,00</t>
  </si>
  <si>
    <t>5060,00</t>
  </si>
  <si>
    <t>5061,40</t>
  </si>
  <si>
    <t>5062,35</t>
  </si>
  <si>
    <t>5062,90</t>
  </si>
  <si>
    <t>5063,55</t>
  </si>
  <si>
    <t>5063,80</t>
  </si>
  <si>
    <t>5064,35</t>
  </si>
  <si>
    <t>5064,90</t>
  </si>
  <si>
    <t>5065,65</t>
  </si>
  <si>
    <t>5066,00</t>
  </si>
  <si>
    <t>5067,90</t>
  </si>
  <si>
    <t>5079,00</t>
  </si>
  <si>
    <t>5080,00</t>
  </si>
  <si>
    <t>5082,00</t>
  </si>
  <si>
    <t>5087,00</t>
  </si>
  <si>
    <t>5093,00</t>
  </si>
  <si>
    <t>5095,00</t>
  </si>
  <si>
    <t>5099,00</t>
  </si>
  <si>
    <t>5100,00</t>
  </si>
  <si>
    <t>5101,00</t>
  </si>
  <si>
    <t>5116,00</t>
  </si>
  <si>
    <t>5121,00</t>
  </si>
  <si>
    <t>5133,00</t>
  </si>
  <si>
    <t>5138,50</t>
  </si>
  <si>
    <t>5142,00</t>
  </si>
  <si>
    <t>5147,00</t>
  </si>
  <si>
    <t>5148,00</t>
  </si>
  <si>
    <t>5151,00</t>
  </si>
  <si>
    <t>6 (19)</t>
  </si>
  <si>
    <t>5005,00</t>
  </si>
  <si>
    <t>5007,50</t>
  </si>
  <si>
    <t>5015,00</t>
  </si>
  <si>
    <t>5022,00</t>
  </si>
  <si>
    <t>5028,00</t>
  </si>
  <si>
    <t>5032,00</t>
  </si>
  <si>
    <t>5033,80</t>
  </si>
  <si>
    <t>5036,00</t>
  </si>
  <si>
    <t>5038,50</t>
  </si>
  <si>
    <t>5040,40</t>
  </si>
  <si>
    <t>5043,00</t>
  </si>
  <si>
    <t>5056,50</t>
  </si>
  <si>
    <t>5061,00</t>
  </si>
  <si>
    <t>5064,50</t>
  </si>
  <si>
    <t>5073,00</t>
  </si>
  <si>
    <t>Intraclastic rudstone</t>
  </si>
  <si>
    <t>5077,00</t>
  </si>
  <si>
    <t>5084,00</t>
  </si>
  <si>
    <t>5091,00</t>
  </si>
  <si>
    <t>5110,10</t>
  </si>
  <si>
    <t>5111,10</t>
  </si>
  <si>
    <t>5111,65</t>
  </si>
  <si>
    <t>5111,95</t>
  </si>
  <si>
    <t>5112,35</t>
  </si>
  <si>
    <t>5112,65</t>
  </si>
  <si>
    <t>5113,00</t>
  </si>
  <si>
    <t>5113,20</t>
  </si>
  <si>
    <t>5113,55</t>
  </si>
  <si>
    <t>5113,95</t>
  </si>
  <si>
    <t>5114,30</t>
  </si>
  <si>
    <t>5114,60</t>
  </si>
  <si>
    <t>5114,95</t>
  </si>
  <si>
    <t>5115,25</t>
  </si>
  <si>
    <t>5116,15</t>
  </si>
  <si>
    <t>5116,45</t>
  </si>
  <si>
    <t>5116,75</t>
  </si>
  <si>
    <t>5117,05</t>
  </si>
  <si>
    <t>5117,35</t>
  </si>
  <si>
    <t>5117,65</t>
  </si>
  <si>
    <t>5117,95</t>
  </si>
  <si>
    <t>5118,20</t>
  </si>
  <si>
    <t>5118,60</t>
  </si>
  <si>
    <t>5119,00</t>
  </si>
  <si>
    <t>5119,30</t>
  </si>
  <si>
    <t>5119,60</t>
  </si>
  <si>
    <t>5119,90</t>
  </si>
  <si>
    <t>5120,45</t>
  </si>
  <si>
    <t>5120,50</t>
  </si>
  <si>
    <t>5120,80</t>
  </si>
  <si>
    <t>5121,05</t>
  </si>
  <si>
    <t>5121,40</t>
  </si>
  <si>
    <t>5121,70</t>
  </si>
  <si>
    <t>5122,00</t>
  </si>
  <si>
    <t>5122,30</t>
  </si>
  <si>
    <t>5123,60</t>
  </si>
  <si>
    <t>5123,90</t>
  </si>
  <si>
    <t>5124,20</t>
  </si>
  <si>
    <t>5124,50</t>
  </si>
  <si>
    <t>5124,85</t>
  </si>
  <si>
    <t>5125,10</t>
  </si>
  <si>
    <t>5125,60</t>
  </si>
  <si>
    <t>5125,85</t>
  </si>
  <si>
    <t>5126,60</t>
  </si>
  <si>
    <t xml:space="preserve">Mudstone spherulitic </t>
  </si>
  <si>
    <t>5127,65</t>
  </si>
  <si>
    <t>5127,95</t>
  </si>
  <si>
    <t>5128,25</t>
  </si>
  <si>
    <t>5129,20</t>
  </si>
  <si>
    <t>5129,45</t>
  </si>
  <si>
    <t>5129,90</t>
  </si>
  <si>
    <t>5130,95</t>
  </si>
  <si>
    <t>5131,20</t>
  </si>
  <si>
    <t>5131,55</t>
  </si>
  <si>
    <t>5131,95</t>
  </si>
  <si>
    <t>5132,25</t>
  </si>
  <si>
    <t>5132,80</t>
  </si>
  <si>
    <t>5133,10</t>
  </si>
  <si>
    <t>5133,45</t>
  </si>
  <si>
    <t>5133,75</t>
  </si>
  <si>
    <t>5134,95</t>
  </si>
  <si>
    <t>5135,85</t>
  </si>
  <si>
    <t>5136,65</t>
  </si>
  <si>
    <t>5137,00</t>
  </si>
  <si>
    <t>5137,85</t>
  </si>
  <si>
    <t>5138,70</t>
  </si>
  <si>
    <t>5156,00</t>
  </si>
  <si>
    <t>5160,50</t>
  </si>
  <si>
    <t>5237,50</t>
  </si>
  <si>
    <t>5283,50</t>
  </si>
  <si>
    <t>5266,00</t>
  </si>
  <si>
    <t>Breccias</t>
  </si>
  <si>
    <t>5352,00</t>
  </si>
  <si>
    <t>95 (14)</t>
  </si>
  <si>
    <t>5123</t>
  </si>
  <si>
    <t>5129</t>
  </si>
  <si>
    <t>5130</t>
  </si>
  <si>
    <t>5135</t>
  </si>
  <si>
    <t>5178</t>
  </si>
  <si>
    <t>5180</t>
  </si>
  <si>
    <t>5183</t>
  </si>
  <si>
    <t>5185</t>
  </si>
  <si>
    <t>5195</t>
  </si>
  <si>
    <t>5197</t>
  </si>
  <si>
    <t>5205</t>
  </si>
  <si>
    <t>5207</t>
  </si>
  <si>
    <t>5209</t>
  </si>
  <si>
    <t>5216</t>
  </si>
  <si>
    <t>5225</t>
  </si>
  <si>
    <t>5240</t>
  </si>
  <si>
    <t>5260</t>
  </si>
  <si>
    <t>5265</t>
  </si>
  <si>
    <t>5275</t>
  </si>
  <si>
    <t>5290</t>
  </si>
  <si>
    <t>5315</t>
  </si>
  <si>
    <t>5405</t>
  </si>
  <si>
    <t>5415</t>
  </si>
  <si>
    <t>5420</t>
  </si>
  <si>
    <t>5428</t>
  </si>
  <si>
    <t>5435</t>
  </si>
  <si>
    <t>5438</t>
  </si>
  <si>
    <t>5440</t>
  </si>
  <si>
    <t>5450</t>
  </si>
  <si>
    <t>5470</t>
  </si>
  <si>
    <t>5474</t>
  </si>
  <si>
    <t>5485</t>
  </si>
  <si>
    <t>5490</t>
  </si>
  <si>
    <t>5495</t>
  </si>
  <si>
    <t>5500</t>
  </si>
  <si>
    <t>5503</t>
  </si>
  <si>
    <t>5510</t>
  </si>
  <si>
    <t>5516</t>
  </si>
  <si>
    <t>5518</t>
  </si>
  <si>
    <t>5520</t>
  </si>
  <si>
    <t>5522</t>
  </si>
  <si>
    <t>5525</t>
  </si>
  <si>
    <t>5530</t>
  </si>
  <si>
    <t>5540</t>
  </si>
  <si>
    <t>5555</t>
  </si>
  <si>
    <t>5562</t>
  </si>
  <si>
    <t>5565</t>
  </si>
  <si>
    <t>5567</t>
  </si>
  <si>
    <t>5573</t>
  </si>
  <si>
    <t>Musdstone spherulitic</t>
  </si>
  <si>
    <t>5575</t>
  </si>
  <si>
    <t>5580</t>
  </si>
  <si>
    <t>5585</t>
  </si>
  <si>
    <t>5590</t>
  </si>
  <si>
    <t>5600</t>
  </si>
  <si>
    <t>5605</t>
  </si>
  <si>
    <t>5617</t>
  </si>
  <si>
    <t>5625</t>
  </si>
  <si>
    <t>5635</t>
  </si>
  <si>
    <t>5639</t>
  </si>
  <si>
    <t>5649</t>
  </si>
  <si>
    <t>5662</t>
  </si>
  <si>
    <t>5675</t>
  </si>
  <si>
    <t>5681</t>
  </si>
  <si>
    <t>5690</t>
  </si>
  <si>
    <t>5700</t>
  </si>
  <si>
    <t>5705</t>
  </si>
  <si>
    <t>5711</t>
  </si>
  <si>
    <t>5725</t>
  </si>
  <si>
    <t>5730</t>
  </si>
  <si>
    <t>5737</t>
  </si>
  <si>
    <t>5740</t>
  </si>
  <si>
    <t>5767</t>
  </si>
  <si>
    <t>5780</t>
  </si>
  <si>
    <t>5785</t>
  </si>
  <si>
    <t>5790</t>
  </si>
  <si>
    <t>5800</t>
  </si>
  <si>
    <t>5810</t>
  </si>
  <si>
    <t>5820</t>
  </si>
  <si>
    <t>5990</t>
  </si>
  <si>
    <t>5995</t>
  </si>
  <si>
    <t>5998</t>
  </si>
  <si>
    <t>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</si>
</sst>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sz val="11"/>
      <color theme="1"/>
      <name val="Calibri"/>
    </font>
    <font>
      <i/>
      <sz val="12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0070C0"/>
        <bgColor rgb="FF0070C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2" fontId="2" fillId="2" borderId="1" xfId="0" applyNumberFormat="1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/>
    <xf numFmtId="2" fontId="2" fillId="3" borderId="1" xfId="0" applyNumberFormat="1" applyFont="1" applyFill="1" applyBorder="1" applyAlignment="1">
      <alignment horizontal="right"/>
    </xf>
    <xf numFmtId="2" fontId="2" fillId="4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  <xf numFmtId="2" fontId="2" fillId="5" borderId="1" xfId="0" applyNumberFormat="1" applyFont="1" applyFill="1" applyBorder="1" applyAlignment="1">
      <alignment horizontal="right"/>
    </xf>
    <xf numFmtId="2" fontId="2" fillId="6" borderId="1" xfId="0" applyNumberFormat="1" applyFont="1" applyFill="1" applyBorder="1" applyAlignment="1">
      <alignment horizontal="right"/>
    </xf>
    <xf numFmtId="49" fontId="3" fillId="0" borderId="0" xfId="0" applyNumberFormat="1" applyFont="1" applyAlignment="1">
      <alignment horizontal="center"/>
    </xf>
    <xf numFmtId="0" fontId="2" fillId="3" borderId="1" xfId="0" applyFont="1" applyFill="1" applyBorder="1"/>
    <xf numFmtId="0" fontId="2" fillId="5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0" fontId="2" fillId="2" borderId="1" xfId="0" applyFont="1" applyFill="1" applyBorder="1"/>
    <xf numFmtId="164" fontId="3" fillId="0" borderId="0" xfId="0" applyNumberFormat="1" applyFont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2" fontId="3" fillId="3" borderId="1" xfId="0" applyNumberFormat="1" applyFont="1" applyFill="1" applyBorder="1" applyAlignment="1">
      <alignment horizontal="right"/>
    </xf>
    <xf numFmtId="2" fontId="3" fillId="6" borderId="1" xfId="0" applyNumberFormat="1" applyFont="1" applyFill="1" applyBorder="1" applyAlignment="1">
      <alignment horizontal="right"/>
    </xf>
    <xf numFmtId="2" fontId="3" fillId="4" borderId="1" xfId="0" applyNumberFormat="1" applyFont="1" applyFill="1" applyBorder="1" applyAlignment="1">
      <alignment horizontal="right"/>
    </xf>
    <xf numFmtId="2" fontId="3" fillId="2" borderId="1" xfId="0" applyNumberFormat="1" applyFont="1" applyFill="1" applyBorder="1" applyAlignment="1">
      <alignment horizontal="right"/>
    </xf>
    <xf numFmtId="1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right"/>
    </xf>
    <xf numFmtId="0" fontId="4" fillId="0" borderId="0" xfId="0" applyFont="1"/>
    <xf numFmtId="1" fontId="4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35"/>
  <cols>
    <col min="1" max="2" width="9.08984375" customWidth="1"/>
    <col min="3" max="3" width="12.7265625" customWidth="1"/>
    <col min="4" max="4" width="33.26953125" customWidth="1"/>
    <col min="5" max="5" width="9.08984375" customWidth="1"/>
    <col min="6" max="6" width="17.7265625" customWidth="1"/>
    <col min="7" max="7" width="22.453125" customWidth="1"/>
    <col min="8" max="8" width="9.08984375" customWidth="1"/>
    <col min="9" max="9" width="8" customWidth="1"/>
    <col min="10" max="10" width="15" customWidth="1"/>
    <col min="11" max="11" width="15.26953125" customWidth="1"/>
    <col min="12" max="13" width="16.453125" customWidth="1"/>
    <col min="14" max="14" width="13.81640625" customWidth="1"/>
    <col min="15" max="15" width="13.08984375" customWidth="1"/>
    <col min="16" max="16" width="11.08984375" customWidth="1"/>
    <col min="17" max="17" width="11.54296875" customWidth="1"/>
    <col min="18" max="18" width="12.453125" customWidth="1"/>
    <col min="19" max="19" width="14.08984375" customWidth="1"/>
    <col min="20" max="20" width="9.08984375" customWidth="1"/>
    <col min="21" max="21" width="11.81640625" customWidth="1"/>
    <col min="22" max="24" width="9.08984375" customWidth="1"/>
    <col min="25" max="25" width="12.453125" customWidth="1"/>
    <col min="26" max="38" width="9.08984375" customWidth="1"/>
  </cols>
  <sheetData>
    <row r="1" spans="1:38" ht="120" customHeight="1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5" t="s">
        <v>17</v>
      </c>
      <c r="S1" s="6" t="s">
        <v>18</v>
      </c>
      <c r="T1" s="1" t="s">
        <v>19</v>
      </c>
      <c r="U1" s="1" t="s">
        <v>20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ht="15.75" customHeight="1" x14ac:dyDescent="0.35">
      <c r="A2" s="41" t="s">
        <v>21</v>
      </c>
      <c r="B2" s="8">
        <v>1</v>
      </c>
      <c r="C2" s="9" t="s">
        <v>22</v>
      </c>
      <c r="D2" s="7" t="s">
        <v>23</v>
      </c>
      <c r="E2" s="7">
        <v>7</v>
      </c>
      <c r="F2" s="7">
        <f t="shared" ref="F2:F256" si="0">100-G2-H2-I2-L2-M2</f>
        <v>73</v>
      </c>
      <c r="G2" s="8">
        <v>3</v>
      </c>
      <c r="H2" s="8">
        <v>1</v>
      </c>
      <c r="I2" s="8">
        <v>0</v>
      </c>
      <c r="J2" s="8">
        <v>4</v>
      </c>
      <c r="K2" s="8">
        <v>1</v>
      </c>
      <c r="L2" s="8">
        <v>8</v>
      </c>
      <c r="M2" s="8">
        <v>15</v>
      </c>
      <c r="N2" s="8">
        <v>1</v>
      </c>
      <c r="O2" s="8">
        <v>1</v>
      </c>
      <c r="P2" s="8">
        <f t="shared" ref="P2:P256" si="1">L2+M2</f>
        <v>23</v>
      </c>
      <c r="Q2" s="10">
        <f t="shared" ref="Q2:Q256" si="2">L2</f>
        <v>8</v>
      </c>
      <c r="R2" s="11">
        <v>17.2</v>
      </c>
      <c r="S2" s="12">
        <v>1160</v>
      </c>
      <c r="T2" s="13">
        <v>1</v>
      </c>
      <c r="U2" s="8">
        <v>5</v>
      </c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</row>
    <row r="3" spans="1:38" ht="15.75" customHeight="1" x14ac:dyDescent="0.35">
      <c r="A3" s="42"/>
      <c r="B3" s="8">
        <v>2</v>
      </c>
      <c r="C3" s="9" t="s">
        <v>24</v>
      </c>
      <c r="D3" s="7" t="s">
        <v>23</v>
      </c>
      <c r="E3" s="7">
        <v>7</v>
      </c>
      <c r="F3" s="7">
        <f t="shared" si="0"/>
        <v>84</v>
      </c>
      <c r="G3" s="8">
        <v>8</v>
      </c>
      <c r="H3" s="8">
        <v>1</v>
      </c>
      <c r="I3" s="8">
        <v>0</v>
      </c>
      <c r="J3" s="8">
        <v>4</v>
      </c>
      <c r="K3" s="8">
        <v>1</v>
      </c>
      <c r="L3" s="8">
        <v>7</v>
      </c>
      <c r="M3" s="8">
        <v>0</v>
      </c>
      <c r="N3" s="8">
        <v>1</v>
      </c>
      <c r="O3" s="8">
        <v>1</v>
      </c>
      <c r="P3" s="8">
        <f t="shared" si="1"/>
        <v>7</v>
      </c>
      <c r="Q3" s="10">
        <f t="shared" si="2"/>
        <v>7</v>
      </c>
      <c r="R3" s="11">
        <v>14.4</v>
      </c>
      <c r="S3" s="15">
        <v>10.1</v>
      </c>
      <c r="T3" s="13">
        <v>1</v>
      </c>
      <c r="U3" s="8">
        <v>1</v>
      </c>
      <c r="V3" s="14" t="s">
        <v>25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</row>
    <row r="4" spans="1:38" ht="15.75" customHeight="1" x14ac:dyDescent="0.35">
      <c r="A4" s="42"/>
      <c r="B4" s="8">
        <v>3</v>
      </c>
      <c r="C4" s="9" t="s">
        <v>26</v>
      </c>
      <c r="D4" s="7" t="s">
        <v>27</v>
      </c>
      <c r="E4" s="7">
        <v>2</v>
      </c>
      <c r="F4" s="7">
        <f t="shared" si="0"/>
        <v>71</v>
      </c>
      <c r="G4" s="8">
        <v>7</v>
      </c>
      <c r="H4" s="8">
        <v>13</v>
      </c>
      <c r="I4" s="8">
        <v>0</v>
      </c>
      <c r="J4" s="8">
        <v>3</v>
      </c>
      <c r="K4" s="8">
        <v>0</v>
      </c>
      <c r="L4" s="8">
        <v>9</v>
      </c>
      <c r="M4" s="8">
        <v>0</v>
      </c>
      <c r="N4" s="8">
        <v>1</v>
      </c>
      <c r="O4" s="8">
        <v>1</v>
      </c>
      <c r="P4" s="8">
        <f t="shared" si="1"/>
        <v>9</v>
      </c>
      <c r="Q4" s="10">
        <f t="shared" si="2"/>
        <v>9</v>
      </c>
      <c r="R4" s="11">
        <v>10</v>
      </c>
      <c r="S4" s="16">
        <v>234</v>
      </c>
      <c r="T4" s="13">
        <v>1</v>
      </c>
      <c r="U4" s="8">
        <v>3</v>
      </c>
      <c r="V4" s="14" t="s">
        <v>28</v>
      </c>
      <c r="W4" s="14" t="s">
        <v>29</v>
      </c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</row>
    <row r="5" spans="1:38" ht="15.75" customHeight="1" x14ac:dyDescent="0.35">
      <c r="A5" s="42"/>
      <c r="B5" s="8">
        <v>4</v>
      </c>
      <c r="C5" s="9" t="s">
        <v>30</v>
      </c>
      <c r="D5" s="7" t="s">
        <v>31</v>
      </c>
      <c r="E5" s="7">
        <v>4</v>
      </c>
      <c r="F5" s="7">
        <f t="shared" si="0"/>
        <v>56</v>
      </c>
      <c r="G5" s="8">
        <v>29</v>
      </c>
      <c r="H5" s="8">
        <v>0</v>
      </c>
      <c r="I5" s="8">
        <v>0</v>
      </c>
      <c r="J5" s="8">
        <v>4</v>
      </c>
      <c r="K5" s="8">
        <v>0</v>
      </c>
      <c r="L5" s="8">
        <v>10</v>
      </c>
      <c r="M5" s="8">
        <v>5</v>
      </c>
      <c r="N5" s="8">
        <v>1</v>
      </c>
      <c r="O5" s="8">
        <v>1</v>
      </c>
      <c r="P5" s="8">
        <f t="shared" si="1"/>
        <v>15</v>
      </c>
      <c r="Q5" s="10">
        <f t="shared" si="2"/>
        <v>10</v>
      </c>
      <c r="R5" s="11">
        <v>20.399999999999999</v>
      </c>
      <c r="S5" s="12">
        <v>1030</v>
      </c>
      <c r="T5" s="13">
        <v>1</v>
      </c>
      <c r="U5" s="8">
        <v>5</v>
      </c>
      <c r="V5" s="14"/>
      <c r="W5" s="14" t="s">
        <v>32</v>
      </c>
      <c r="X5" s="14"/>
      <c r="Y5" s="14"/>
      <c r="Z5" s="14"/>
      <c r="AA5" s="14"/>
      <c r="AB5" s="14"/>
      <c r="AC5" s="14"/>
      <c r="AD5" s="14" t="s">
        <v>33</v>
      </c>
      <c r="AE5" s="14"/>
      <c r="AF5" s="14"/>
      <c r="AG5" s="14"/>
      <c r="AH5" s="14"/>
      <c r="AI5" s="14"/>
      <c r="AJ5" s="14"/>
      <c r="AK5" s="14"/>
      <c r="AL5" s="14"/>
    </row>
    <row r="6" spans="1:38" ht="15.75" customHeight="1" x14ac:dyDescent="0.35">
      <c r="A6" s="42"/>
      <c r="B6" s="8">
        <v>5</v>
      </c>
      <c r="C6" s="9" t="s">
        <v>34</v>
      </c>
      <c r="D6" s="7" t="s">
        <v>31</v>
      </c>
      <c r="E6" s="7">
        <v>4</v>
      </c>
      <c r="F6" s="7">
        <f t="shared" si="0"/>
        <v>81</v>
      </c>
      <c r="G6" s="8">
        <v>10</v>
      </c>
      <c r="H6" s="8">
        <v>0</v>
      </c>
      <c r="I6" s="8">
        <v>0</v>
      </c>
      <c r="J6" s="8">
        <v>2</v>
      </c>
      <c r="K6" s="8">
        <v>0</v>
      </c>
      <c r="L6" s="8">
        <v>3</v>
      </c>
      <c r="M6" s="8">
        <v>6</v>
      </c>
      <c r="N6" s="8">
        <v>0</v>
      </c>
      <c r="O6" s="8">
        <v>1</v>
      </c>
      <c r="P6" s="8">
        <f t="shared" si="1"/>
        <v>9</v>
      </c>
      <c r="Q6" s="10">
        <f t="shared" si="2"/>
        <v>3</v>
      </c>
      <c r="R6" s="11">
        <v>14.7</v>
      </c>
      <c r="S6" s="12">
        <v>4360</v>
      </c>
      <c r="T6" s="13">
        <v>1</v>
      </c>
      <c r="U6" s="8">
        <v>5</v>
      </c>
      <c r="V6" s="14"/>
      <c r="W6" s="14" t="s">
        <v>35</v>
      </c>
      <c r="X6" s="14"/>
      <c r="Y6" s="14"/>
      <c r="Z6" s="14"/>
      <c r="AA6" s="14"/>
      <c r="AB6" s="14"/>
      <c r="AC6" s="14"/>
      <c r="AD6" s="14" t="s">
        <v>36</v>
      </c>
      <c r="AE6" s="14"/>
      <c r="AF6" s="14"/>
      <c r="AG6" s="14"/>
      <c r="AH6" s="14"/>
      <c r="AI6" s="14"/>
      <c r="AJ6" s="14"/>
      <c r="AK6" s="14"/>
      <c r="AL6" s="14"/>
    </row>
    <row r="7" spans="1:38" ht="15.75" customHeight="1" x14ac:dyDescent="0.35">
      <c r="A7" s="42"/>
      <c r="B7" s="8">
        <v>6</v>
      </c>
      <c r="C7" s="9" t="s">
        <v>37</v>
      </c>
      <c r="D7" s="7" t="s">
        <v>38</v>
      </c>
      <c r="E7" s="7">
        <v>1</v>
      </c>
      <c r="F7" s="7">
        <f t="shared" si="0"/>
        <v>81</v>
      </c>
      <c r="G7" s="8">
        <v>8</v>
      </c>
      <c r="H7" s="8">
        <v>0</v>
      </c>
      <c r="I7" s="8">
        <v>0</v>
      </c>
      <c r="J7" s="8">
        <v>3</v>
      </c>
      <c r="K7" s="8">
        <v>1</v>
      </c>
      <c r="L7" s="8">
        <v>7</v>
      </c>
      <c r="M7" s="8">
        <v>4</v>
      </c>
      <c r="N7" s="8">
        <v>1</v>
      </c>
      <c r="O7" s="8">
        <v>1</v>
      </c>
      <c r="P7" s="8">
        <f t="shared" si="1"/>
        <v>11</v>
      </c>
      <c r="Q7" s="10">
        <f t="shared" si="2"/>
        <v>7</v>
      </c>
      <c r="R7" s="11">
        <v>9.9</v>
      </c>
      <c r="S7" s="16">
        <v>231</v>
      </c>
      <c r="T7" s="13">
        <v>1</v>
      </c>
      <c r="U7" s="8">
        <v>3</v>
      </c>
      <c r="V7" s="14"/>
      <c r="W7" s="14" t="s">
        <v>39</v>
      </c>
      <c r="X7" s="14"/>
      <c r="Y7" s="14"/>
      <c r="Z7" s="14"/>
      <c r="AA7" s="14"/>
      <c r="AB7" s="14"/>
      <c r="AC7" s="14"/>
      <c r="AD7" s="14" t="s">
        <v>40</v>
      </c>
      <c r="AE7" s="14"/>
      <c r="AF7" s="14"/>
      <c r="AG7" s="14"/>
      <c r="AH7" s="14"/>
      <c r="AI7" s="14"/>
      <c r="AJ7" s="14"/>
      <c r="AK7" s="14"/>
      <c r="AL7" s="14"/>
    </row>
    <row r="8" spans="1:38" ht="15.75" customHeight="1" x14ac:dyDescent="0.35">
      <c r="A8" s="42"/>
      <c r="B8" s="8">
        <v>7</v>
      </c>
      <c r="C8" s="9" t="s">
        <v>41</v>
      </c>
      <c r="D8" s="7" t="s">
        <v>38</v>
      </c>
      <c r="E8" s="7">
        <v>1</v>
      </c>
      <c r="F8" s="7">
        <f t="shared" si="0"/>
        <v>80</v>
      </c>
      <c r="G8" s="8">
        <v>1</v>
      </c>
      <c r="H8" s="8">
        <v>0</v>
      </c>
      <c r="I8" s="8">
        <v>0</v>
      </c>
      <c r="J8" s="8">
        <v>1</v>
      </c>
      <c r="K8" s="8">
        <v>1</v>
      </c>
      <c r="L8" s="8">
        <v>10</v>
      </c>
      <c r="M8" s="8">
        <v>9</v>
      </c>
      <c r="N8" s="8">
        <v>0</v>
      </c>
      <c r="O8" s="8">
        <v>1</v>
      </c>
      <c r="P8" s="8">
        <f t="shared" si="1"/>
        <v>19</v>
      </c>
      <c r="Q8" s="10">
        <f t="shared" si="2"/>
        <v>10</v>
      </c>
      <c r="R8" s="11">
        <v>16.3</v>
      </c>
      <c r="S8" s="16">
        <v>330</v>
      </c>
      <c r="T8" s="13">
        <v>1</v>
      </c>
      <c r="U8" s="8">
        <v>3</v>
      </c>
      <c r="V8" s="14"/>
      <c r="W8" s="14" t="s">
        <v>42</v>
      </c>
      <c r="X8" s="14"/>
      <c r="Y8" s="14"/>
      <c r="Z8" s="14"/>
      <c r="AA8" s="14"/>
      <c r="AB8" s="14"/>
      <c r="AC8" s="14"/>
      <c r="AD8" s="14" t="s">
        <v>43</v>
      </c>
      <c r="AE8" s="14"/>
      <c r="AF8" s="14"/>
      <c r="AG8" s="14"/>
      <c r="AH8" s="14"/>
      <c r="AI8" s="14"/>
      <c r="AJ8" s="14"/>
      <c r="AK8" s="14"/>
      <c r="AL8" s="14"/>
    </row>
    <row r="9" spans="1:38" ht="15.75" customHeight="1" x14ac:dyDescent="0.35">
      <c r="A9" s="42"/>
      <c r="B9" s="8">
        <v>8</v>
      </c>
      <c r="C9" s="9" t="s">
        <v>44</v>
      </c>
      <c r="D9" s="7" t="s">
        <v>45</v>
      </c>
      <c r="E9" s="7">
        <v>9</v>
      </c>
      <c r="F9" s="7">
        <f t="shared" si="0"/>
        <v>54</v>
      </c>
      <c r="G9" s="8">
        <v>12</v>
      </c>
      <c r="H9" s="8">
        <v>2</v>
      </c>
      <c r="I9" s="8">
        <v>0</v>
      </c>
      <c r="J9" s="8">
        <v>4</v>
      </c>
      <c r="K9" s="8">
        <v>0</v>
      </c>
      <c r="L9" s="8">
        <v>11</v>
      </c>
      <c r="M9" s="8">
        <v>21</v>
      </c>
      <c r="N9" s="8">
        <v>0</v>
      </c>
      <c r="O9" s="8">
        <v>0</v>
      </c>
      <c r="P9" s="8">
        <f t="shared" si="1"/>
        <v>32</v>
      </c>
      <c r="Q9" s="10">
        <f t="shared" si="2"/>
        <v>11</v>
      </c>
      <c r="R9" s="11">
        <v>18.100000000000001</v>
      </c>
      <c r="S9" s="15">
        <v>49.3</v>
      </c>
      <c r="T9" s="13">
        <v>2</v>
      </c>
      <c r="U9" s="8">
        <v>1</v>
      </c>
      <c r="V9" s="14"/>
      <c r="W9" s="17" t="s">
        <v>46</v>
      </c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</row>
    <row r="10" spans="1:38" ht="15.75" customHeight="1" x14ac:dyDescent="0.35">
      <c r="A10" s="42"/>
      <c r="B10" s="8">
        <v>9</v>
      </c>
      <c r="C10" s="9" t="s">
        <v>47</v>
      </c>
      <c r="D10" s="7" t="s">
        <v>45</v>
      </c>
      <c r="E10" s="7">
        <v>9</v>
      </c>
      <c r="F10" s="7">
        <f t="shared" si="0"/>
        <v>59</v>
      </c>
      <c r="G10" s="8">
        <v>12</v>
      </c>
      <c r="H10" s="8">
        <v>1</v>
      </c>
      <c r="I10" s="8">
        <v>0</v>
      </c>
      <c r="J10" s="8">
        <v>4</v>
      </c>
      <c r="K10" s="8">
        <v>0</v>
      </c>
      <c r="L10" s="8">
        <v>13</v>
      </c>
      <c r="M10" s="8">
        <v>15</v>
      </c>
      <c r="N10" s="8">
        <v>0</v>
      </c>
      <c r="O10" s="8">
        <v>1</v>
      </c>
      <c r="P10" s="8">
        <f t="shared" si="1"/>
        <v>28</v>
      </c>
      <c r="Q10" s="10">
        <f t="shared" si="2"/>
        <v>13</v>
      </c>
      <c r="R10" s="11">
        <v>18.7</v>
      </c>
      <c r="S10" s="16">
        <v>189</v>
      </c>
      <c r="T10" s="13">
        <v>2</v>
      </c>
      <c r="U10" s="8">
        <v>2</v>
      </c>
      <c r="V10" s="14"/>
      <c r="W10" s="14" t="s">
        <v>48</v>
      </c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</row>
    <row r="11" spans="1:38" ht="15.75" customHeight="1" x14ac:dyDescent="0.35">
      <c r="A11" s="42"/>
      <c r="B11" s="8">
        <v>10</v>
      </c>
      <c r="C11" s="9" t="s">
        <v>49</v>
      </c>
      <c r="D11" s="7" t="s">
        <v>38</v>
      </c>
      <c r="E11" s="7">
        <v>1</v>
      </c>
      <c r="F11" s="7">
        <f t="shared" si="0"/>
        <v>65</v>
      </c>
      <c r="G11" s="8">
        <v>20</v>
      </c>
      <c r="H11" s="8">
        <v>0</v>
      </c>
      <c r="I11" s="8">
        <v>0</v>
      </c>
      <c r="J11" s="8">
        <v>4</v>
      </c>
      <c r="K11" s="8">
        <v>0</v>
      </c>
      <c r="L11" s="8">
        <v>12</v>
      </c>
      <c r="M11" s="8">
        <v>3</v>
      </c>
      <c r="N11" s="8">
        <v>1</v>
      </c>
      <c r="O11" s="8">
        <v>1</v>
      </c>
      <c r="P11" s="8">
        <f t="shared" si="1"/>
        <v>15</v>
      </c>
      <c r="Q11" s="10">
        <f t="shared" si="2"/>
        <v>12</v>
      </c>
      <c r="R11" s="11">
        <v>17.2</v>
      </c>
      <c r="S11" s="12">
        <v>1670</v>
      </c>
      <c r="T11" s="13">
        <v>1</v>
      </c>
      <c r="U11" s="8">
        <v>5</v>
      </c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</row>
    <row r="12" spans="1:38" ht="15.75" customHeight="1" x14ac:dyDescent="0.35">
      <c r="A12" s="42"/>
      <c r="B12" s="8">
        <v>11</v>
      </c>
      <c r="C12" s="9" t="s">
        <v>50</v>
      </c>
      <c r="D12" s="7" t="s">
        <v>31</v>
      </c>
      <c r="E12" s="7">
        <v>4</v>
      </c>
      <c r="F12" s="7">
        <f t="shared" si="0"/>
        <v>42</v>
      </c>
      <c r="G12" s="8">
        <v>33</v>
      </c>
      <c r="H12" s="8">
        <v>0</v>
      </c>
      <c r="I12" s="8">
        <v>0</v>
      </c>
      <c r="J12" s="8">
        <v>4</v>
      </c>
      <c r="K12" s="8">
        <v>1</v>
      </c>
      <c r="L12" s="8">
        <v>16</v>
      </c>
      <c r="M12" s="8">
        <v>9</v>
      </c>
      <c r="N12" s="8">
        <v>1</v>
      </c>
      <c r="O12" s="8">
        <v>1</v>
      </c>
      <c r="P12" s="8">
        <f t="shared" si="1"/>
        <v>25</v>
      </c>
      <c r="Q12" s="10">
        <f t="shared" si="2"/>
        <v>16</v>
      </c>
      <c r="R12" s="11">
        <v>17</v>
      </c>
      <c r="S12" s="12">
        <v>2100</v>
      </c>
      <c r="T12" s="13">
        <v>1</v>
      </c>
      <c r="U12" s="8">
        <v>5</v>
      </c>
      <c r="V12" s="14" t="s">
        <v>51</v>
      </c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</row>
    <row r="13" spans="1:38" ht="15.75" customHeight="1" x14ac:dyDescent="0.35">
      <c r="A13" s="42"/>
      <c r="B13" s="8">
        <v>12</v>
      </c>
      <c r="C13" s="9" t="s">
        <v>52</v>
      </c>
      <c r="D13" s="7" t="s">
        <v>38</v>
      </c>
      <c r="E13" s="7">
        <v>1</v>
      </c>
      <c r="F13" s="7">
        <f t="shared" si="0"/>
        <v>71</v>
      </c>
      <c r="G13" s="8">
        <v>19</v>
      </c>
      <c r="H13" s="8">
        <v>0</v>
      </c>
      <c r="I13" s="8">
        <v>0</v>
      </c>
      <c r="J13" s="8">
        <v>4</v>
      </c>
      <c r="K13" s="8">
        <v>1</v>
      </c>
      <c r="L13" s="8">
        <v>7</v>
      </c>
      <c r="M13" s="8">
        <v>3</v>
      </c>
      <c r="N13" s="8">
        <v>1</v>
      </c>
      <c r="O13" s="8">
        <v>0</v>
      </c>
      <c r="P13" s="8">
        <f t="shared" si="1"/>
        <v>10</v>
      </c>
      <c r="Q13" s="10">
        <f t="shared" si="2"/>
        <v>7</v>
      </c>
      <c r="R13" s="11">
        <v>11.3</v>
      </c>
      <c r="S13" s="16">
        <v>195</v>
      </c>
      <c r="T13" s="13">
        <v>1</v>
      </c>
      <c r="U13" s="8">
        <v>2</v>
      </c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</row>
    <row r="14" spans="1:38" ht="15.75" customHeight="1" x14ac:dyDescent="0.35">
      <c r="A14" s="42"/>
      <c r="B14" s="8">
        <v>13</v>
      </c>
      <c r="C14" s="9" t="s">
        <v>53</v>
      </c>
      <c r="D14" s="7" t="s">
        <v>54</v>
      </c>
      <c r="E14" s="7">
        <v>9</v>
      </c>
      <c r="F14" s="7">
        <f t="shared" si="0"/>
        <v>66</v>
      </c>
      <c r="G14" s="8">
        <v>11</v>
      </c>
      <c r="H14" s="8">
        <v>0</v>
      </c>
      <c r="I14" s="8">
        <v>0</v>
      </c>
      <c r="J14" s="8">
        <v>4</v>
      </c>
      <c r="K14" s="8">
        <v>0</v>
      </c>
      <c r="L14" s="8">
        <v>5</v>
      </c>
      <c r="M14" s="8">
        <v>18</v>
      </c>
      <c r="N14" s="8">
        <v>1</v>
      </c>
      <c r="O14" s="8">
        <v>1</v>
      </c>
      <c r="P14" s="8">
        <f t="shared" si="1"/>
        <v>23</v>
      </c>
      <c r="Q14" s="10">
        <f t="shared" si="2"/>
        <v>5</v>
      </c>
      <c r="R14" s="11">
        <v>16.399999999999999</v>
      </c>
      <c r="S14" s="16">
        <v>204</v>
      </c>
      <c r="T14" s="13">
        <v>2</v>
      </c>
      <c r="U14" s="8">
        <v>2</v>
      </c>
      <c r="V14" s="14" t="s">
        <v>55</v>
      </c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</row>
    <row r="15" spans="1:38" ht="15.75" customHeight="1" x14ac:dyDescent="0.35">
      <c r="A15" s="42"/>
      <c r="B15" s="8">
        <v>14</v>
      </c>
      <c r="C15" s="9" t="s">
        <v>56</v>
      </c>
      <c r="D15" s="7" t="s">
        <v>23</v>
      </c>
      <c r="E15" s="7">
        <v>7</v>
      </c>
      <c r="F15" s="7">
        <f t="shared" si="0"/>
        <v>70</v>
      </c>
      <c r="G15" s="8">
        <v>7</v>
      </c>
      <c r="H15" s="8">
        <v>4</v>
      </c>
      <c r="I15" s="8">
        <v>0</v>
      </c>
      <c r="J15" s="8">
        <v>4</v>
      </c>
      <c r="K15" s="8">
        <v>1</v>
      </c>
      <c r="L15" s="8">
        <v>12</v>
      </c>
      <c r="M15" s="8">
        <v>7</v>
      </c>
      <c r="N15" s="8">
        <v>1</v>
      </c>
      <c r="O15" s="8">
        <v>1</v>
      </c>
      <c r="P15" s="8">
        <f t="shared" si="1"/>
        <v>19</v>
      </c>
      <c r="Q15" s="10">
        <f t="shared" si="2"/>
        <v>12</v>
      </c>
      <c r="R15" s="11">
        <v>16.5</v>
      </c>
      <c r="S15" s="12">
        <v>2190</v>
      </c>
      <c r="T15" s="13">
        <v>1</v>
      </c>
      <c r="U15" s="8">
        <v>5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</row>
    <row r="16" spans="1:38" ht="15.75" customHeight="1" x14ac:dyDescent="0.35">
      <c r="A16" s="42"/>
      <c r="B16" s="8">
        <v>15</v>
      </c>
      <c r="C16" s="9" t="s">
        <v>57</v>
      </c>
      <c r="D16" s="7" t="s">
        <v>31</v>
      </c>
      <c r="E16" s="7">
        <v>4</v>
      </c>
      <c r="F16" s="7">
        <f t="shared" si="0"/>
        <v>77</v>
      </c>
      <c r="G16" s="8">
        <v>6</v>
      </c>
      <c r="H16" s="8">
        <v>0</v>
      </c>
      <c r="I16" s="8">
        <v>0</v>
      </c>
      <c r="J16" s="8">
        <v>4</v>
      </c>
      <c r="K16" s="8">
        <v>1</v>
      </c>
      <c r="L16" s="8">
        <v>11</v>
      </c>
      <c r="M16" s="8">
        <v>6</v>
      </c>
      <c r="N16" s="8">
        <v>1</v>
      </c>
      <c r="O16" s="8">
        <v>1</v>
      </c>
      <c r="P16" s="8">
        <f t="shared" si="1"/>
        <v>17</v>
      </c>
      <c r="Q16" s="10">
        <f t="shared" si="2"/>
        <v>11</v>
      </c>
      <c r="R16" s="11">
        <v>17.399999999999999</v>
      </c>
      <c r="S16" s="12">
        <v>1050</v>
      </c>
      <c r="T16" s="13">
        <v>1</v>
      </c>
      <c r="U16" s="8">
        <v>5</v>
      </c>
      <c r="V16" s="14" t="s">
        <v>58</v>
      </c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</row>
    <row r="17" spans="1:38" ht="15.75" customHeight="1" x14ac:dyDescent="0.35">
      <c r="A17" s="42"/>
      <c r="B17" s="8">
        <v>16</v>
      </c>
      <c r="C17" s="9" t="s">
        <v>59</v>
      </c>
      <c r="D17" s="7" t="s">
        <v>45</v>
      </c>
      <c r="E17" s="7">
        <v>9</v>
      </c>
      <c r="F17" s="7">
        <f t="shared" si="0"/>
        <v>19</v>
      </c>
      <c r="G17" s="8">
        <v>9</v>
      </c>
      <c r="H17" s="8">
        <v>64</v>
      </c>
      <c r="I17" s="8">
        <v>0</v>
      </c>
      <c r="J17" s="8">
        <v>4</v>
      </c>
      <c r="K17" s="8">
        <v>0</v>
      </c>
      <c r="L17" s="8">
        <v>3</v>
      </c>
      <c r="M17" s="8">
        <v>5</v>
      </c>
      <c r="N17" s="8">
        <v>0</v>
      </c>
      <c r="O17" s="8">
        <v>0</v>
      </c>
      <c r="P17" s="8">
        <f t="shared" si="1"/>
        <v>8</v>
      </c>
      <c r="Q17" s="10">
        <f t="shared" si="2"/>
        <v>3</v>
      </c>
      <c r="R17" s="11">
        <v>12</v>
      </c>
      <c r="S17" s="18">
        <v>70.2</v>
      </c>
      <c r="T17" s="13">
        <v>2</v>
      </c>
      <c r="U17" s="8">
        <v>2</v>
      </c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</row>
    <row r="18" spans="1:38" ht="15.75" customHeight="1" x14ac:dyDescent="0.35">
      <c r="A18" s="42"/>
      <c r="B18" s="8">
        <v>17</v>
      </c>
      <c r="C18" s="9" t="s">
        <v>60</v>
      </c>
      <c r="D18" s="7" t="s">
        <v>54</v>
      </c>
      <c r="E18" s="7">
        <v>8</v>
      </c>
      <c r="F18" s="7">
        <f t="shared" si="0"/>
        <v>80</v>
      </c>
      <c r="G18" s="8">
        <v>6</v>
      </c>
      <c r="H18" s="8">
        <v>1</v>
      </c>
      <c r="I18" s="8">
        <v>0</v>
      </c>
      <c r="J18" s="8">
        <v>4</v>
      </c>
      <c r="K18" s="8">
        <v>0</v>
      </c>
      <c r="L18" s="8">
        <v>10</v>
      </c>
      <c r="M18" s="8">
        <v>3</v>
      </c>
      <c r="N18" s="8">
        <v>1</v>
      </c>
      <c r="O18" s="8">
        <v>1</v>
      </c>
      <c r="P18" s="8">
        <f t="shared" si="1"/>
        <v>13</v>
      </c>
      <c r="Q18" s="10">
        <f t="shared" si="2"/>
        <v>10</v>
      </c>
      <c r="R18" s="11">
        <v>9.1999999999999993</v>
      </c>
      <c r="S18" s="18">
        <v>67.2</v>
      </c>
      <c r="T18" s="8">
        <v>2</v>
      </c>
      <c r="U18" s="8">
        <v>2</v>
      </c>
      <c r="V18" s="14" t="s">
        <v>61</v>
      </c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</row>
    <row r="19" spans="1:38" ht="15.75" customHeight="1" x14ac:dyDescent="0.35">
      <c r="A19" s="42"/>
      <c r="B19" s="8">
        <v>18</v>
      </c>
      <c r="C19" s="9" t="s">
        <v>62</v>
      </c>
      <c r="D19" s="7" t="s">
        <v>31</v>
      </c>
      <c r="E19" s="7">
        <v>4</v>
      </c>
      <c r="F19" s="7">
        <f t="shared" si="0"/>
        <v>53</v>
      </c>
      <c r="G19" s="8">
        <v>27</v>
      </c>
      <c r="H19" s="8">
        <v>6</v>
      </c>
      <c r="I19" s="8">
        <v>0</v>
      </c>
      <c r="J19" s="8">
        <v>4</v>
      </c>
      <c r="K19" s="8">
        <v>1</v>
      </c>
      <c r="L19" s="8">
        <v>11</v>
      </c>
      <c r="M19" s="8">
        <v>3</v>
      </c>
      <c r="N19" s="8">
        <v>1</v>
      </c>
      <c r="O19" s="8">
        <v>0</v>
      </c>
      <c r="P19" s="8">
        <f t="shared" si="1"/>
        <v>14</v>
      </c>
      <c r="Q19" s="10">
        <f t="shared" si="2"/>
        <v>11</v>
      </c>
      <c r="R19" s="11">
        <v>9.9</v>
      </c>
      <c r="S19" s="15">
        <v>16.7</v>
      </c>
      <c r="T19" s="13">
        <v>1</v>
      </c>
      <c r="U19" s="8">
        <v>1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</row>
    <row r="20" spans="1:38" ht="15.75" customHeight="1" x14ac:dyDescent="0.35">
      <c r="A20" s="42"/>
      <c r="B20" s="8">
        <v>19</v>
      </c>
      <c r="C20" s="9" t="s">
        <v>63</v>
      </c>
      <c r="D20" s="7" t="s">
        <v>45</v>
      </c>
      <c r="E20" s="7">
        <v>9</v>
      </c>
      <c r="F20" s="7">
        <f t="shared" si="0"/>
        <v>61</v>
      </c>
      <c r="G20" s="8">
        <v>6</v>
      </c>
      <c r="H20" s="8">
        <v>5</v>
      </c>
      <c r="I20" s="8">
        <v>0</v>
      </c>
      <c r="J20" s="8">
        <v>4</v>
      </c>
      <c r="K20" s="8">
        <v>0</v>
      </c>
      <c r="L20" s="8">
        <v>12</v>
      </c>
      <c r="M20" s="8">
        <v>16</v>
      </c>
      <c r="N20" s="8">
        <v>1</v>
      </c>
      <c r="O20" s="8">
        <v>0</v>
      </c>
      <c r="P20" s="8">
        <f t="shared" si="1"/>
        <v>28</v>
      </c>
      <c r="Q20" s="10">
        <f t="shared" si="2"/>
        <v>12</v>
      </c>
      <c r="R20" s="11">
        <v>9.4</v>
      </c>
      <c r="S20" s="15">
        <v>8.9499999999999993</v>
      </c>
      <c r="T20" s="13">
        <v>2</v>
      </c>
      <c r="U20" s="8">
        <v>1</v>
      </c>
      <c r="V20" s="14" t="s">
        <v>64</v>
      </c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</row>
    <row r="21" spans="1:38" ht="15.75" customHeight="1" x14ac:dyDescent="0.35">
      <c r="A21" s="42"/>
      <c r="B21" s="8">
        <v>20</v>
      </c>
      <c r="C21" s="9" t="s">
        <v>65</v>
      </c>
      <c r="D21" s="7" t="s">
        <v>45</v>
      </c>
      <c r="E21" s="7">
        <v>9</v>
      </c>
      <c r="F21" s="7">
        <f t="shared" si="0"/>
        <v>52</v>
      </c>
      <c r="G21" s="8">
        <v>17</v>
      </c>
      <c r="H21" s="8">
        <v>21</v>
      </c>
      <c r="I21" s="8">
        <v>0</v>
      </c>
      <c r="J21" s="8">
        <v>4</v>
      </c>
      <c r="K21" s="8">
        <v>0</v>
      </c>
      <c r="L21" s="8">
        <v>5</v>
      </c>
      <c r="M21" s="8">
        <v>5</v>
      </c>
      <c r="N21" s="8">
        <v>0</v>
      </c>
      <c r="O21" s="8">
        <v>0</v>
      </c>
      <c r="P21" s="8">
        <f t="shared" si="1"/>
        <v>10</v>
      </c>
      <c r="Q21" s="10">
        <f t="shared" si="2"/>
        <v>5</v>
      </c>
      <c r="R21" s="11">
        <v>8.6999999999999993</v>
      </c>
      <c r="S21" s="15">
        <v>36.700000000000003</v>
      </c>
      <c r="T21" s="13">
        <v>2</v>
      </c>
      <c r="U21" s="8">
        <v>1</v>
      </c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</row>
    <row r="22" spans="1:38" ht="15.75" customHeight="1" x14ac:dyDescent="0.35">
      <c r="A22" s="42"/>
      <c r="B22" s="8">
        <v>21</v>
      </c>
      <c r="C22" s="9" t="s">
        <v>66</v>
      </c>
      <c r="D22" s="7" t="s">
        <v>45</v>
      </c>
      <c r="E22" s="7">
        <v>9</v>
      </c>
      <c r="F22" s="7">
        <f t="shared" si="0"/>
        <v>52</v>
      </c>
      <c r="G22" s="8">
        <v>30</v>
      </c>
      <c r="H22" s="8">
        <v>7</v>
      </c>
      <c r="I22" s="8">
        <v>0</v>
      </c>
      <c r="J22" s="8">
        <v>3</v>
      </c>
      <c r="K22" s="8">
        <v>0</v>
      </c>
      <c r="L22" s="8">
        <v>8</v>
      </c>
      <c r="M22" s="8">
        <v>3</v>
      </c>
      <c r="N22" s="8">
        <v>1</v>
      </c>
      <c r="O22" s="8">
        <v>0</v>
      </c>
      <c r="P22" s="8">
        <f t="shared" si="1"/>
        <v>11</v>
      </c>
      <c r="Q22" s="10">
        <f t="shared" si="2"/>
        <v>8</v>
      </c>
      <c r="R22" s="11">
        <v>13.8</v>
      </c>
      <c r="S22" s="16">
        <v>346</v>
      </c>
      <c r="T22" s="13">
        <v>2</v>
      </c>
      <c r="U22" s="8">
        <v>3</v>
      </c>
      <c r="V22" s="14" t="s">
        <v>67</v>
      </c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</row>
    <row r="23" spans="1:38" ht="15.75" customHeight="1" x14ac:dyDescent="0.35">
      <c r="A23" s="42"/>
      <c r="B23" s="8">
        <v>22</v>
      </c>
      <c r="C23" s="9" t="s">
        <v>68</v>
      </c>
      <c r="D23" s="7" t="s">
        <v>45</v>
      </c>
      <c r="E23" s="7">
        <v>9</v>
      </c>
      <c r="F23" s="7">
        <f t="shared" si="0"/>
        <v>55</v>
      </c>
      <c r="G23" s="8">
        <v>18</v>
      </c>
      <c r="H23" s="8">
        <v>1</v>
      </c>
      <c r="I23" s="8">
        <v>0</v>
      </c>
      <c r="J23" s="8">
        <v>4</v>
      </c>
      <c r="K23" s="8">
        <v>0</v>
      </c>
      <c r="L23" s="8">
        <v>16</v>
      </c>
      <c r="M23" s="8">
        <v>10</v>
      </c>
      <c r="N23" s="8">
        <v>0</v>
      </c>
      <c r="O23" s="8">
        <v>0</v>
      </c>
      <c r="P23" s="8">
        <f t="shared" si="1"/>
        <v>26</v>
      </c>
      <c r="Q23" s="10">
        <f t="shared" si="2"/>
        <v>16</v>
      </c>
      <c r="R23" s="11">
        <v>14.3</v>
      </c>
      <c r="S23" s="18">
        <v>67.900000000000006</v>
      </c>
      <c r="T23" s="13">
        <v>2</v>
      </c>
      <c r="U23" s="8">
        <v>2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</row>
    <row r="24" spans="1:38" ht="15.75" customHeight="1" x14ac:dyDescent="0.35">
      <c r="A24" s="42"/>
      <c r="B24" s="8">
        <v>23</v>
      </c>
      <c r="C24" s="9" t="s">
        <v>69</v>
      </c>
      <c r="D24" s="7" t="s">
        <v>45</v>
      </c>
      <c r="E24" s="7">
        <v>9</v>
      </c>
      <c r="F24" s="7">
        <f t="shared" si="0"/>
        <v>46</v>
      </c>
      <c r="G24" s="8">
        <v>36</v>
      </c>
      <c r="H24" s="8">
        <v>1</v>
      </c>
      <c r="I24" s="8">
        <v>8</v>
      </c>
      <c r="J24" s="8">
        <v>4</v>
      </c>
      <c r="K24" s="8">
        <v>0</v>
      </c>
      <c r="L24" s="8">
        <v>5</v>
      </c>
      <c r="M24" s="8">
        <v>4</v>
      </c>
      <c r="N24" s="8">
        <v>0</v>
      </c>
      <c r="O24" s="8">
        <v>0</v>
      </c>
      <c r="P24" s="8">
        <f t="shared" si="1"/>
        <v>9</v>
      </c>
      <c r="Q24" s="10">
        <f t="shared" si="2"/>
        <v>5</v>
      </c>
      <c r="R24" s="11">
        <v>9</v>
      </c>
      <c r="S24" s="15">
        <v>2.4900000000000002</v>
      </c>
      <c r="T24" s="13">
        <v>2</v>
      </c>
      <c r="U24" s="8">
        <v>1</v>
      </c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</row>
    <row r="25" spans="1:38" ht="15.75" customHeight="1" x14ac:dyDescent="0.35">
      <c r="A25" s="42"/>
      <c r="B25" s="8">
        <v>24</v>
      </c>
      <c r="C25" s="9" t="s">
        <v>70</v>
      </c>
      <c r="D25" s="7" t="s">
        <v>45</v>
      </c>
      <c r="E25" s="7">
        <v>9</v>
      </c>
      <c r="F25" s="7">
        <f t="shared" si="0"/>
        <v>56</v>
      </c>
      <c r="G25" s="8">
        <v>22</v>
      </c>
      <c r="H25" s="8">
        <v>1</v>
      </c>
      <c r="I25" s="8">
        <v>0</v>
      </c>
      <c r="J25" s="8">
        <v>4</v>
      </c>
      <c r="K25" s="8">
        <v>0</v>
      </c>
      <c r="L25" s="8">
        <v>7</v>
      </c>
      <c r="M25" s="8">
        <v>14</v>
      </c>
      <c r="N25" s="8">
        <v>0</v>
      </c>
      <c r="O25" s="8">
        <v>0</v>
      </c>
      <c r="P25" s="8">
        <f t="shared" si="1"/>
        <v>21</v>
      </c>
      <c r="Q25" s="10">
        <f t="shared" si="2"/>
        <v>7</v>
      </c>
      <c r="R25" s="11">
        <v>13.7</v>
      </c>
      <c r="S25" s="18">
        <v>66.599999999999994</v>
      </c>
      <c r="T25" s="13">
        <v>2</v>
      </c>
      <c r="U25" s="8">
        <v>2</v>
      </c>
      <c r="V25" s="14" t="s">
        <v>71</v>
      </c>
      <c r="W25" s="14"/>
      <c r="X25" s="14"/>
      <c r="Y25" s="14"/>
      <c r="Z25" s="14"/>
      <c r="AA25" s="14" t="s">
        <v>72</v>
      </c>
      <c r="AB25" s="14"/>
      <c r="AC25" s="14"/>
      <c r="AD25" s="14"/>
      <c r="AE25" s="14"/>
      <c r="AF25" s="14" t="s">
        <v>73</v>
      </c>
      <c r="AG25" s="14"/>
      <c r="AH25" s="14"/>
      <c r="AI25" s="14"/>
      <c r="AJ25" s="14"/>
      <c r="AK25" s="14"/>
      <c r="AL25" s="14"/>
    </row>
    <row r="26" spans="1:38" ht="15.75" customHeight="1" x14ac:dyDescent="0.35">
      <c r="A26" s="42"/>
      <c r="B26" s="8">
        <v>25</v>
      </c>
      <c r="C26" s="9" t="s">
        <v>74</v>
      </c>
      <c r="D26" s="7" t="s">
        <v>23</v>
      </c>
      <c r="E26" s="7">
        <v>7</v>
      </c>
      <c r="F26" s="7">
        <f t="shared" si="0"/>
        <v>63</v>
      </c>
      <c r="G26" s="8">
        <v>7</v>
      </c>
      <c r="H26" s="8">
        <v>16</v>
      </c>
      <c r="I26" s="8">
        <v>1</v>
      </c>
      <c r="J26" s="8">
        <v>4</v>
      </c>
      <c r="K26" s="8">
        <v>0</v>
      </c>
      <c r="L26" s="8">
        <v>9</v>
      </c>
      <c r="M26" s="8">
        <v>4</v>
      </c>
      <c r="N26" s="8">
        <v>1</v>
      </c>
      <c r="O26" s="8">
        <v>1</v>
      </c>
      <c r="P26" s="8">
        <f t="shared" si="1"/>
        <v>13</v>
      </c>
      <c r="Q26" s="10">
        <f t="shared" si="2"/>
        <v>9</v>
      </c>
      <c r="R26" s="11">
        <v>13.4</v>
      </c>
      <c r="S26" s="12">
        <v>1800</v>
      </c>
      <c r="T26" s="13">
        <v>1</v>
      </c>
      <c r="U26" s="8">
        <v>5</v>
      </c>
      <c r="V26" s="14" t="s">
        <v>75</v>
      </c>
      <c r="W26" s="14"/>
      <c r="X26" s="14"/>
      <c r="Y26" s="14"/>
      <c r="Z26" s="14"/>
      <c r="AA26" s="14" t="s">
        <v>76</v>
      </c>
      <c r="AB26" s="14"/>
      <c r="AC26" s="14"/>
      <c r="AD26" s="14"/>
      <c r="AE26" s="14"/>
      <c r="AF26" s="14" t="s">
        <v>77</v>
      </c>
      <c r="AG26" s="14"/>
      <c r="AH26" s="14"/>
      <c r="AI26" s="14"/>
      <c r="AJ26" s="14"/>
      <c r="AK26" s="14"/>
      <c r="AL26" s="14"/>
    </row>
    <row r="27" spans="1:38" ht="15.75" customHeight="1" x14ac:dyDescent="0.35">
      <c r="A27" s="42"/>
      <c r="B27" s="8">
        <v>26</v>
      </c>
      <c r="C27" s="9" t="s">
        <v>78</v>
      </c>
      <c r="D27" s="7" t="s">
        <v>79</v>
      </c>
      <c r="E27" s="7">
        <v>6</v>
      </c>
      <c r="F27" s="7">
        <f t="shared" si="0"/>
        <v>45</v>
      </c>
      <c r="G27" s="8">
        <v>23</v>
      </c>
      <c r="H27" s="8">
        <v>20</v>
      </c>
      <c r="I27" s="8">
        <v>3</v>
      </c>
      <c r="J27" s="8">
        <v>4</v>
      </c>
      <c r="K27" s="8">
        <v>0</v>
      </c>
      <c r="L27" s="8">
        <v>7</v>
      </c>
      <c r="M27" s="8">
        <v>2</v>
      </c>
      <c r="N27" s="8">
        <v>0</v>
      </c>
      <c r="O27" s="8">
        <v>1</v>
      </c>
      <c r="P27" s="8">
        <f t="shared" si="1"/>
        <v>9</v>
      </c>
      <c r="Q27" s="10">
        <f t="shared" si="2"/>
        <v>7</v>
      </c>
      <c r="R27" s="11">
        <v>10.3</v>
      </c>
      <c r="S27" s="16">
        <v>222</v>
      </c>
      <c r="T27" s="13">
        <v>1</v>
      </c>
      <c r="U27" s="8">
        <v>3</v>
      </c>
      <c r="V27" s="14" t="s">
        <v>80</v>
      </c>
      <c r="W27" s="14"/>
      <c r="X27" s="14"/>
      <c r="Y27" s="14"/>
      <c r="Z27" s="14"/>
      <c r="AA27" s="14" t="s">
        <v>81</v>
      </c>
      <c r="AB27" s="14"/>
      <c r="AC27" s="14"/>
      <c r="AD27" s="14"/>
      <c r="AE27" s="14"/>
      <c r="AF27" s="14" t="s">
        <v>82</v>
      </c>
      <c r="AG27" s="14"/>
      <c r="AH27" s="14"/>
      <c r="AI27" s="14"/>
      <c r="AJ27" s="14"/>
      <c r="AK27" s="14"/>
      <c r="AL27" s="14"/>
    </row>
    <row r="28" spans="1:38" ht="15.75" customHeight="1" x14ac:dyDescent="0.35">
      <c r="A28" s="42"/>
      <c r="B28" s="8">
        <v>27</v>
      </c>
      <c r="C28" s="9" t="s">
        <v>83</v>
      </c>
      <c r="D28" s="7" t="s">
        <v>45</v>
      </c>
      <c r="E28" s="7">
        <v>9</v>
      </c>
      <c r="F28" s="7">
        <f t="shared" si="0"/>
        <v>23</v>
      </c>
      <c r="G28" s="8">
        <v>27</v>
      </c>
      <c r="H28" s="8">
        <v>30</v>
      </c>
      <c r="I28" s="8">
        <v>0</v>
      </c>
      <c r="J28" s="8">
        <v>4</v>
      </c>
      <c r="K28" s="8">
        <v>0</v>
      </c>
      <c r="L28" s="8">
        <v>9</v>
      </c>
      <c r="M28" s="8">
        <v>11</v>
      </c>
      <c r="N28" s="8">
        <v>0</v>
      </c>
      <c r="O28" s="8">
        <v>0</v>
      </c>
      <c r="P28" s="8">
        <f t="shared" si="1"/>
        <v>20</v>
      </c>
      <c r="Q28" s="10">
        <f t="shared" si="2"/>
        <v>9</v>
      </c>
      <c r="R28" s="11">
        <v>9.3000000000000007</v>
      </c>
      <c r="S28" s="15">
        <v>4.8899999999999997</v>
      </c>
      <c r="T28" s="13">
        <v>2</v>
      </c>
      <c r="U28" s="8">
        <v>1</v>
      </c>
      <c r="V28" s="14" t="s">
        <v>84</v>
      </c>
      <c r="W28" s="14"/>
      <c r="X28" s="14"/>
      <c r="Y28" s="14"/>
      <c r="Z28" s="14"/>
      <c r="AA28" s="43" t="s">
        <v>85</v>
      </c>
      <c r="AB28" s="42"/>
      <c r="AC28" s="42"/>
      <c r="AD28" s="14"/>
      <c r="AE28" s="14"/>
      <c r="AF28" s="14" t="s">
        <v>86</v>
      </c>
      <c r="AG28" s="14"/>
      <c r="AH28" s="14"/>
      <c r="AI28" s="14"/>
      <c r="AJ28" s="14"/>
      <c r="AK28" s="14"/>
      <c r="AL28" s="14"/>
    </row>
    <row r="29" spans="1:38" ht="15.75" customHeight="1" x14ac:dyDescent="0.35">
      <c r="A29" s="42"/>
      <c r="B29" s="8">
        <v>28</v>
      </c>
      <c r="C29" s="9" t="s">
        <v>87</v>
      </c>
      <c r="D29" s="7" t="s">
        <v>45</v>
      </c>
      <c r="E29" s="7">
        <v>9</v>
      </c>
      <c r="F29" s="7">
        <f t="shared" si="0"/>
        <v>55</v>
      </c>
      <c r="G29" s="8">
        <v>8</v>
      </c>
      <c r="H29" s="8">
        <v>4</v>
      </c>
      <c r="I29" s="8">
        <v>0</v>
      </c>
      <c r="J29" s="8">
        <v>4</v>
      </c>
      <c r="K29" s="8">
        <v>0</v>
      </c>
      <c r="L29" s="8">
        <v>15</v>
      </c>
      <c r="M29" s="8">
        <v>18</v>
      </c>
      <c r="N29" s="8">
        <v>0</v>
      </c>
      <c r="O29" s="8">
        <v>1</v>
      </c>
      <c r="P29" s="8">
        <f t="shared" si="1"/>
        <v>33</v>
      </c>
      <c r="Q29" s="10">
        <f t="shared" si="2"/>
        <v>15</v>
      </c>
      <c r="R29" s="11">
        <v>18.2</v>
      </c>
      <c r="S29" s="19">
        <v>554</v>
      </c>
      <c r="T29" s="13">
        <v>2</v>
      </c>
      <c r="U29" s="8">
        <v>4</v>
      </c>
      <c r="V29" s="14" t="s">
        <v>88</v>
      </c>
      <c r="W29" s="14"/>
      <c r="X29" s="14"/>
      <c r="Y29" s="14"/>
      <c r="Z29" s="14"/>
      <c r="AA29" s="14" t="s">
        <v>89</v>
      </c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</row>
    <row r="30" spans="1:38" ht="15.75" customHeight="1" x14ac:dyDescent="0.35">
      <c r="A30" s="42"/>
      <c r="B30" s="8">
        <v>29</v>
      </c>
      <c r="C30" s="9" t="s">
        <v>90</v>
      </c>
      <c r="D30" s="7" t="s">
        <v>45</v>
      </c>
      <c r="E30" s="7">
        <v>9</v>
      </c>
      <c r="F30" s="7">
        <f t="shared" si="0"/>
        <v>68</v>
      </c>
      <c r="G30" s="8">
        <v>15</v>
      </c>
      <c r="H30" s="8">
        <v>6</v>
      </c>
      <c r="I30" s="8">
        <v>1</v>
      </c>
      <c r="J30" s="8">
        <v>4</v>
      </c>
      <c r="K30" s="8">
        <v>0</v>
      </c>
      <c r="L30" s="8">
        <v>5</v>
      </c>
      <c r="M30" s="8">
        <v>5</v>
      </c>
      <c r="N30" s="8">
        <v>0</v>
      </c>
      <c r="O30" s="8">
        <v>0</v>
      </c>
      <c r="P30" s="8">
        <f t="shared" si="1"/>
        <v>10</v>
      </c>
      <c r="Q30" s="10">
        <f t="shared" si="2"/>
        <v>5</v>
      </c>
      <c r="R30" s="11">
        <v>12.9</v>
      </c>
      <c r="S30" s="15">
        <v>16.899999999999999</v>
      </c>
      <c r="T30" s="13">
        <v>2</v>
      </c>
      <c r="U30" s="8">
        <v>1</v>
      </c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</row>
    <row r="31" spans="1:38" ht="15.75" customHeight="1" x14ac:dyDescent="0.35">
      <c r="A31" s="42"/>
      <c r="B31" s="8">
        <v>30</v>
      </c>
      <c r="C31" s="9" t="s">
        <v>91</v>
      </c>
      <c r="D31" s="7" t="s">
        <v>45</v>
      </c>
      <c r="E31" s="7">
        <v>9</v>
      </c>
      <c r="F31" s="7">
        <f t="shared" si="0"/>
        <v>62</v>
      </c>
      <c r="G31" s="8">
        <v>10</v>
      </c>
      <c r="H31" s="8">
        <v>12</v>
      </c>
      <c r="I31" s="8">
        <v>3</v>
      </c>
      <c r="J31" s="8">
        <v>4</v>
      </c>
      <c r="K31" s="8">
        <v>0</v>
      </c>
      <c r="L31" s="8">
        <v>11</v>
      </c>
      <c r="M31" s="8">
        <v>2</v>
      </c>
      <c r="N31" s="8">
        <v>0</v>
      </c>
      <c r="O31" s="8">
        <v>1</v>
      </c>
      <c r="P31" s="8">
        <f t="shared" si="1"/>
        <v>13</v>
      </c>
      <c r="Q31" s="10">
        <f t="shared" si="2"/>
        <v>11</v>
      </c>
      <c r="R31" s="11">
        <v>15.8</v>
      </c>
      <c r="S31" s="16">
        <v>409</v>
      </c>
      <c r="T31" s="13">
        <v>2</v>
      </c>
      <c r="U31" s="8">
        <v>3</v>
      </c>
      <c r="V31" s="14" t="s">
        <v>92</v>
      </c>
      <c r="W31" s="14"/>
      <c r="X31" s="14"/>
      <c r="Y31" s="14"/>
      <c r="Z31" s="14"/>
      <c r="AA31" s="14" t="s">
        <v>76</v>
      </c>
      <c r="AB31" s="14"/>
      <c r="AC31" s="14"/>
      <c r="AD31" s="14"/>
      <c r="AE31" s="14"/>
      <c r="AF31" s="14" t="s">
        <v>77</v>
      </c>
      <c r="AG31" s="14"/>
      <c r="AH31" s="14"/>
      <c r="AI31" s="14"/>
      <c r="AJ31" s="14"/>
      <c r="AK31" s="14"/>
      <c r="AL31" s="14"/>
    </row>
    <row r="32" spans="1:38" ht="15.75" customHeight="1" x14ac:dyDescent="0.35">
      <c r="A32" s="42"/>
      <c r="B32" s="8">
        <v>31</v>
      </c>
      <c r="C32" s="9" t="s">
        <v>93</v>
      </c>
      <c r="D32" s="7" t="s">
        <v>23</v>
      </c>
      <c r="E32" s="7">
        <v>7</v>
      </c>
      <c r="F32" s="7">
        <f t="shared" si="0"/>
        <v>70</v>
      </c>
      <c r="G32" s="8">
        <v>13</v>
      </c>
      <c r="H32" s="8">
        <v>5</v>
      </c>
      <c r="I32" s="8">
        <v>0</v>
      </c>
      <c r="J32" s="8">
        <v>4</v>
      </c>
      <c r="K32" s="8">
        <v>0</v>
      </c>
      <c r="L32" s="8">
        <v>12</v>
      </c>
      <c r="M32" s="8">
        <v>0</v>
      </c>
      <c r="N32" s="8">
        <v>1</v>
      </c>
      <c r="O32" s="8">
        <v>1</v>
      </c>
      <c r="P32" s="8">
        <f t="shared" si="1"/>
        <v>12</v>
      </c>
      <c r="Q32" s="10">
        <f t="shared" si="2"/>
        <v>12</v>
      </c>
      <c r="R32" s="11">
        <v>13.6</v>
      </c>
      <c r="S32" s="12">
        <v>1810</v>
      </c>
      <c r="T32" s="13">
        <v>1</v>
      </c>
      <c r="U32" s="8">
        <v>5</v>
      </c>
      <c r="V32" s="14" t="s">
        <v>94</v>
      </c>
      <c r="W32" s="14"/>
      <c r="X32" s="14"/>
      <c r="Y32" s="14"/>
      <c r="Z32" s="14"/>
      <c r="AA32" s="14" t="s">
        <v>81</v>
      </c>
      <c r="AB32" s="14"/>
      <c r="AC32" s="14"/>
      <c r="AD32" s="14"/>
      <c r="AE32" s="14"/>
      <c r="AF32" s="14" t="s">
        <v>82</v>
      </c>
      <c r="AG32" s="14"/>
      <c r="AH32" s="14"/>
      <c r="AI32" s="14"/>
      <c r="AJ32" s="14"/>
      <c r="AK32" s="14"/>
      <c r="AL32" s="14"/>
    </row>
    <row r="33" spans="1:38" ht="15.75" customHeight="1" x14ac:dyDescent="0.35">
      <c r="A33" s="42"/>
      <c r="B33" s="8">
        <v>32</v>
      </c>
      <c r="C33" s="9" t="s">
        <v>95</v>
      </c>
      <c r="D33" s="7" t="s">
        <v>45</v>
      </c>
      <c r="E33" s="7">
        <v>9</v>
      </c>
      <c r="F33" s="7">
        <f t="shared" si="0"/>
        <v>66</v>
      </c>
      <c r="G33" s="8">
        <v>13</v>
      </c>
      <c r="H33" s="8">
        <v>7</v>
      </c>
      <c r="I33" s="8">
        <v>1</v>
      </c>
      <c r="J33" s="8">
        <v>4</v>
      </c>
      <c r="K33" s="8">
        <v>0</v>
      </c>
      <c r="L33" s="8">
        <v>8</v>
      </c>
      <c r="M33" s="8">
        <v>5</v>
      </c>
      <c r="N33" s="8">
        <v>0</v>
      </c>
      <c r="O33" s="8">
        <v>0</v>
      </c>
      <c r="P33" s="8">
        <f t="shared" si="1"/>
        <v>13</v>
      </c>
      <c r="Q33" s="10">
        <f t="shared" si="2"/>
        <v>8</v>
      </c>
      <c r="R33" s="11">
        <v>10</v>
      </c>
      <c r="S33" s="15">
        <v>1.8</v>
      </c>
      <c r="T33" s="13">
        <v>2</v>
      </c>
      <c r="U33" s="8">
        <v>1</v>
      </c>
      <c r="V33" s="14" t="s">
        <v>96</v>
      </c>
      <c r="W33" s="14"/>
      <c r="X33" s="14"/>
      <c r="Y33" s="14"/>
      <c r="Z33" s="14"/>
      <c r="AA33" s="14" t="s">
        <v>97</v>
      </c>
      <c r="AB33" s="14"/>
      <c r="AC33" s="14"/>
      <c r="AD33" s="14"/>
      <c r="AE33" s="14"/>
      <c r="AF33" s="14" t="s">
        <v>86</v>
      </c>
      <c r="AG33" s="14"/>
      <c r="AH33" s="14"/>
      <c r="AI33" s="14"/>
      <c r="AJ33" s="14"/>
      <c r="AK33" s="14"/>
      <c r="AL33" s="14"/>
    </row>
    <row r="34" spans="1:38" ht="18.75" customHeight="1" x14ac:dyDescent="0.35">
      <c r="A34" s="42"/>
      <c r="B34" s="8">
        <v>33</v>
      </c>
      <c r="C34" s="9" t="s">
        <v>98</v>
      </c>
      <c r="D34" s="7" t="s">
        <v>38</v>
      </c>
      <c r="E34" s="7">
        <v>1</v>
      </c>
      <c r="F34" s="7">
        <f t="shared" si="0"/>
        <v>70</v>
      </c>
      <c r="G34" s="8">
        <v>3</v>
      </c>
      <c r="H34" s="8">
        <v>5</v>
      </c>
      <c r="I34" s="8">
        <v>0</v>
      </c>
      <c r="J34" s="8">
        <v>4</v>
      </c>
      <c r="K34" s="8">
        <v>1</v>
      </c>
      <c r="L34" s="8">
        <v>12</v>
      </c>
      <c r="M34" s="8">
        <v>10</v>
      </c>
      <c r="N34" s="8">
        <v>1</v>
      </c>
      <c r="O34" s="8">
        <v>0</v>
      </c>
      <c r="P34" s="8">
        <f t="shared" si="1"/>
        <v>22</v>
      </c>
      <c r="Q34" s="10">
        <f t="shared" si="2"/>
        <v>12</v>
      </c>
      <c r="R34" s="11">
        <v>9.3000000000000007</v>
      </c>
      <c r="S34" s="15">
        <v>0.71499999999999997</v>
      </c>
      <c r="T34" s="13">
        <v>1</v>
      </c>
      <c r="U34" s="8">
        <v>1</v>
      </c>
      <c r="V34" s="14" t="s">
        <v>99</v>
      </c>
      <c r="W34" s="14"/>
      <c r="X34" s="14"/>
      <c r="Y34" s="14"/>
      <c r="Z34" s="14"/>
      <c r="AA34" s="14" t="s">
        <v>100</v>
      </c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</row>
    <row r="35" spans="1:38" ht="15.75" customHeight="1" x14ac:dyDescent="0.35">
      <c r="A35" s="42"/>
      <c r="B35" s="8">
        <v>34</v>
      </c>
      <c r="C35" s="9" t="s">
        <v>101</v>
      </c>
      <c r="D35" s="7" t="s">
        <v>79</v>
      </c>
      <c r="E35" s="7">
        <v>6</v>
      </c>
      <c r="F35" s="7">
        <f t="shared" si="0"/>
        <v>20</v>
      </c>
      <c r="G35" s="8">
        <v>20</v>
      </c>
      <c r="H35" s="8">
        <v>60</v>
      </c>
      <c r="I35" s="8">
        <v>0</v>
      </c>
      <c r="J35" s="8">
        <v>5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f t="shared" si="1"/>
        <v>0</v>
      </c>
      <c r="Q35" s="10">
        <f t="shared" si="2"/>
        <v>0</v>
      </c>
      <c r="R35" s="11">
        <v>0.4</v>
      </c>
      <c r="S35" s="15">
        <v>0</v>
      </c>
      <c r="T35" s="13">
        <v>1</v>
      </c>
      <c r="U35" s="8">
        <v>1</v>
      </c>
      <c r="V35" s="14" t="s">
        <v>102</v>
      </c>
      <c r="W35" s="14"/>
      <c r="X35" s="14"/>
      <c r="Y35" s="14"/>
      <c r="Z35" s="14"/>
      <c r="AA35" s="14" t="s">
        <v>73</v>
      </c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</row>
    <row r="36" spans="1:38" ht="15.75" customHeight="1" x14ac:dyDescent="0.35">
      <c r="A36" s="42"/>
      <c r="B36" s="8">
        <v>35</v>
      </c>
      <c r="C36" s="9" t="s">
        <v>103</v>
      </c>
      <c r="D36" s="7" t="s">
        <v>79</v>
      </c>
      <c r="E36" s="7">
        <v>6</v>
      </c>
      <c r="F36" s="7">
        <f t="shared" si="0"/>
        <v>30</v>
      </c>
      <c r="G36" s="8">
        <v>70</v>
      </c>
      <c r="H36" s="8">
        <v>0</v>
      </c>
      <c r="I36" s="8">
        <v>0</v>
      </c>
      <c r="J36" s="8">
        <v>5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f t="shared" si="1"/>
        <v>0</v>
      </c>
      <c r="Q36" s="10">
        <f t="shared" si="2"/>
        <v>0</v>
      </c>
      <c r="R36" s="11">
        <v>1.6</v>
      </c>
      <c r="S36" s="15">
        <v>0</v>
      </c>
      <c r="T36" s="13">
        <v>1</v>
      </c>
      <c r="U36" s="8">
        <v>1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</row>
    <row r="37" spans="1:38" ht="15.75" customHeight="1" x14ac:dyDescent="0.35">
      <c r="A37" s="42"/>
      <c r="B37" s="8">
        <v>36</v>
      </c>
      <c r="C37" s="9" t="s">
        <v>104</v>
      </c>
      <c r="D37" s="7" t="s">
        <v>79</v>
      </c>
      <c r="E37" s="7">
        <v>6</v>
      </c>
      <c r="F37" s="7">
        <f t="shared" si="0"/>
        <v>28</v>
      </c>
      <c r="G37" s="8">
        <v>10</v>
      </c>
      <c r="H37" s="8">
        <v>1</v>
      </c>
      <c r="I37" s="8">
        <v>38</v>
      </c>
      <c r="J37" s="8">
        <v>4</v>
      </c>
      <c r="K37" s="8">
        <v>0</v>
      </c>
      <c r="L37" s="8">
        <v>8</v>
      </c>
      <c r="M37" s="8">
        <v>15</v>
      </c>
      <c r="N37" s="8">
        <v>0</v>
      </c>
      <c r="O37" s="8">
        <v>1</v>
      </c>
      <c r="P37" s="8">
        <f t="shared" si="1"/>
        <v>23</v>
      </c>
      <c r="Q37" s="10">
        <f t="shared" si="2"/>
        <v>8</v>
      </c>
      <c r="R37" s="11">
        <v>22.9</v>
      </c>
      <c r="S37" s="15">
        <v>47</v>
      </c>
      <c r="T37" s="13">
        <v>1</v>
      </c>
      <c r="U37" s="8">
        <v>1</v>
      </c>
      <c r="V37" s="14" t="s">
        <v>105</v>
      </c>
      <c r="W37" s="14"/>
      <c r="X37" s="14"/>
      <c r="Y37" s="14"/>
      <c r="Z37" s="14"/>
      <c r="AA37" s="14" t="s">
        <v>76</v>
      </c>
      <c r="AB37" s="14"/>
      <c r="AC37" s="14"/>
      <c r="AD37" s="14"/>
      <c r="AE37" s="14"/>
      <c r="AF37" s="14" t="s">
        <v>77</v>
      </c>
      <c r="AG37" s="14"/>
      <c r="AH37" s="14"/>
      <c r="AI37" s="14"/>
      <c r="AJ37" s="14"/>
      <c r="AK37" s="14"/>
      <c r="AL37" s="14"/>
    </row>
    <row r="38" spans="1:38" ht="15.75" customHeight="1" x14ac:dyDescent="0.35">
      <c r="A38" s="42"/>
      <c r="B38" s="8">
        <v>37</v>
      </c>
      <c r="C38" s="9" t="s">
        <v>106</v>
      </c>
      <c r="D38" s="20" t="s">
        <v>107</v>
      </c>
      <c r="E38" s="7">
        <v>3</v>
      </c>
      <c r="F38" s="7">
        <f t="shared" si="0"/>
        <v>52</v>
      </c>
      <c r="G38" s="8">
        <v>16</v>
      </c>
      <c r="H38" s="8">
        <v>1</v>
      </c>
      <c r="I38" s="8">
        <v>3</v>
      </c>
      <c r="J38" s="8">
        <v>4</v>
      </c>
      <c r="K38" s="8">
        <v>0</v>
      </c>
      <c r="L38" s="8">
        <v>21</v>
      </c>
      <c r="M38" s="8">
        <v>7</v>
      </c>
      <c r="N38" s="8">
        <v>0</v>
      </c>
      <c r="O38" s="8">
        <v>1</v>
      </c>
      <c r="P38" s="8">
        <f t="shared" si="1"/>
        <v>28</v>
      </c>
      <c r="Q38" s="10">
        <f t="shared" si="2"/>
        <v>21</v>
      </c>
      <c r="R38" s="11">
        <v>27.2</v>
      </c>
      <c r="S38" s="16">
        <v>491</v>
      </c>
      <c r="T38" s="13">
        <v>1</v>
      </c>
      <c r="U38" s="8">
        <v>3</v>
      </c>
      <c r="V38" s="14" t="s">
        <v>108</v>
      </c>
      <c r="W38" s="14"/>
      <c r="X38" s="14"/>
      <c r="Y38" s="14"/>
      <c r="Z38" s="14"/>
      <c r="AA38" s="14" t="s">
        <v>109</v>
      </c>
      <c r="AB38" s="14"/>
      <c r="AC38" s="14"/>
      <c r="AD38" s="14"/>
      <c r="AE38" s="14"/>
      <c r="AF38" s="14" t="s">
        <v>82</v>
      </c>
      <c r="AG38" s="14"/>
      <c r="AH38" s="14"/>
      <c r="AI38" s="14"/>
      <c r="AJ38" s="14"/>
      <c r="AK38" s="14"/>
      <c r="AL38" s="14"/>
    </row>
    <row r="39" spans="1:38" ht="15.75" customHeight="1" x14ac:dyDescent="0.35">
      <c r="A39" s="42"/>
      <c r="B39" s="8">
        <v>38</v>
      </c>
      <c r="C39" s="9" t="s">
        <v>110</v>
      </c>
      <c r="D39" s="7" t="s">
        <v>31</v>
      </c>
      <c r="E39" s="7">
        <v>4</v>
      </c>
      <c r="F39" s="7">
        <f t="shared" si="0"/>
        <v>35</v>
      </c>
      <c r="G39" s="8">
        <v>9</v>
      </c>
      <c r="H39" s="8">
        <v>0</v>
      </c>
      <c r="I39" s="8">
        <v>23</v>
      </c>
      <c r="J39" s="8">
        <v>4</v>
      </c>
      <c r="K39" s="8">
        <v>1</v>
      </c>
      <c r="L39" s="8">
        <v>10</v>
      </c>
      <c r="M39" s="8">
        <v>23</v>
      </c>
      <c r="N39" s="8">
        <v>0</v>
      </c>
      <c r="O39" s="8">
        <v>1</v>
      </c>
      <c r="P39" s="8">
        <f t="shared" si="1"/>
        <v>33</v>
      </c>
      <c r="Q39" s="10">
        <f t="shared" si="2"/>
        <v>10</v>
      </c>
      <c r="R39" s="11">
        <v>19.899999999999999</v>
      </c>
      <c r="S39" s="16">
        <v>164</v>
      </c>
      <c r="T39" s="13">
        <v>1</v>
      </c>
      <c r="U39" s="8">
        <v>2</v>
      </c>
      <c r="V39" s="14" t="s">
        <v>111</v>
      </c>
      <c r="W39" s="14"/>
      <c r="X39" s="14"/>
      <c r="Y39" s="14"/>
      <c r="Z39" s="14"/>
      <c r="AA39" s="14" t="s">
        <v>97</v>
      </c>
      <c r="AB39" s="14"/>
      <c r="AC39" s="14"/>
      <c r="AD39" s="14"/>
      <c r="AE39" s="14"/>
      <c r="AF39" s="14" t="s">
        <v>112</v>
      </c>
      <c r="AG39" s="14"/>
      <c r="AH39" s="14"/>
      <c r="AI39" s="14"/>
      <c r="AJ39" s="14"/>
      <c r="AK39" s="14"/>
      <c r="AL39" s="14"/>
    </row>
    <row r="40" spans="1:38" ht="15.75" customHeight="1" x14ac:dyDescent="0.35">
      <c r="A40" s="42"/>
      <c r="B40" s="8">
        <v>39</v>
      </c>
      <c r="C40" s="9" t="s">
        <v>113</v>
      </c>
      <c r="D40" s="7" t="s">
        <v>27</v>
      </c>
      <c r="E40" s="7">
        <v>2</v>
      </c>
      <c r="F40" s="7">
        <f t="shared" si="0"/>
        <v>42</v>
      </c>
      <c r="G40" s="8">
        <v>3</v>
      </c>
      <c r="H40" s="8">
        <v>0</v>
      </c>
      <c r="I40" s="8">
        <v>30</v>
      </c>
      <c r="J40" s="8">
        <v>3</v>
      </c>
      <c r="K40" s="8">
        <v>1</v>
      </c>
      <c r="L40" s="8">
        <v>9</v>
      </c>
      <c r="M40" s="8">
        <v>16</v>
      </c>
      <c r="N40" s="8">
        <v>0</v>
      </c>
      <c r="O40" s="8">
        <v>1</v>
      </c>
      <c r="P40" s="8">
        <f t="shared" si="1"/>
        <v>25</v>
      </c>
      <c r="Q40" s="10">
        <f t="shared" si="2"/>
        <v>9</v>
      </c>
      <c r="R40" s="11">
        <v>19</v>
      </c>
      <c r="S40" s="18">
        <v>63.1</v>
      </c>
      <c r="T40" s="13">
        <v>1</v>
      </c>
      <c r="U40" s="8">
        <v>2</v>
      </c>
      <c r="V40" s="14" t="s">
        <v>114</v>
      </c>
      <c r="W40" s="14"/>
      <c r="X40" s="14"/>
      <c r="Y40" s="14"/>
      <c r="Z40" s="14"/>
      <c r="AA40" s="14" t="s">
        <v>115</v>
      </c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</row>
    <row r="41" spans="1:38" ht="15.75" customHeight="1" x14ac:dyDescent="0.35">
      <c r="A41" s="42"/>
      <c r="B41" s="8">
        <v>40</v>
      </c>
      <c r="C41" s="9" t="s">
        <v>116</v>
      </c>
      <c r="D41" s="7" t="s">
        <v>38</v>
      </c>
      <c r="E41" s="7">
        <v>1</v>
      </c>
      <c r="F41" s="7">
        <f t="shared" si="0"/>
        <v>66</v>
      </c>
      <c r="G41" s="8">
        <v>4</v>
      </c>
      <c r="H41" s="8">
        <v>0</v>
      </c>
      <c r="I41" s="8">
        <v>13</v>
      </c>
      <c r="J41" s="8">
        <v>4</v>
      </c>
      <c r="K41" s="8">
        <v>1</v>
      </c>
      <c r="L41" s="8">
        <v>10</v>
      </c>
      <c r="M41" s="8">
        <v>7</v>
      </c>
      <c r="N41" s="8">
        <v>0</v>
      </c>
      <c r="O41" s="8">
        <v>1</v>
      </c>
      <c r="P41" s="8">
        <f t="shared" si="1"/>
        <v>17</v>
      </c>
      <c r="Q41" s="10">
        <f t="shared" si="2"/>
        <v>10</v>
      </c>
      <c r="R41" s="11">
        <v>19</v>
      </c>
      <c r="S41" s="19">
        <v>733</v>
      </c>
      <c r="T41" s="13">
        <v>1</v>
      </c>
      <c r="U41" s="8">
        <v>4</v>
      </c>
      <c r="V41" s="14" t="s">
        <v>117</v>
      </c>
      <c r="W41" s="14"/>
      <c r="X41" s="14"/>
      <c r="Y41" s="14"/>
      <c r="Z41" s="14"/>
      <c r="AA41" s="14" t="s">
        <v>118</v>
      </c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</row>
    <row r="42" spans="1:38" ht="15.75" customHeight="1" x14ac:dyDescent="0.35">
      <c r="A42" s="42"/>
      <c r="B42" s="8">
        <v>41</v>
      </c>
      <c r="C42" s="9" t="s">
        <v>119</v>
      </c>
      <c r="D42" s="7" t="s">
        <v>38</v>
      </c>
      <c r="E42" s="7">
        <v>1</v>
      </c>
      <c r="F42" s="7">
        <f t="shared" si="0"/>
        <v>60</v>
      </c>
      <c r="G42" s="8">
        <v>6</v>
      </c>
      <c r="H42" s="8">
        <v>0</v>
      </c>
      <c r="I42" s="8">
        <v>19</v>
      </c>
      <c r="J42" s="8">
        <v>4</v>
      </c>
      <c r="K42" s="8">
        <v>0</v>
      </c>
      <c r="L42" s="8">
        <v>8</v>
      </c>
      <c r="M42" s="8">
        <v>7</v>
      </c>
      <c r="N42" s="8">
        <v>1</v>
      </c>
      <c r="O42" s="8">
        <v>1</v>
      </c>
      <c r="P42" s="8">
        <f t="shared" si="1"/>
        <v>15</v>
      </c>
      <c r="Q42" s="10">
        <f t="shared" si="2"/>
        <v>8</v>
      </c>
      <c r="R42" s="11">
        <v>18.600000000000001</v>
      </c>
      <c r="S42" s="12">
        <v>2180</v>
      </c>
      <c r="T42" s="13">
        <v>1</v>
      </c>
      <c r="U42" s="8">
        <v>5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</row>
    <row r="43" spans="1:38" ht="15.75" customHeight="1" x14ac:dyDescent="0.35">
      <c r="A43" s="42"/>
      <c r="B43" s="8">
        <v>42</v>
      </c>
      <c r="C43" s="9" t="s">
        <v>120</v>
      </c>
      <c r="D43" s="7" t="s">
        <v>54</v>
      </c>
      <c r="E43" s="7">
        <v>9</v>
      </c>
      <c r="F43" s="7">
        <f t="shared" si="0"/>
        <v>51</v>
      </c>
      <c r="G43" s="8">
        <v>13</v>
      </c>
      <c r="H43" s="8">
        <v>0</v>
      </c>
      <c r="I43" s="8">
        <v>10</v>
      </c>
      <c r="J43" s="8">
        <v>4</v>
      </c>
      <c r="K43" s="8">
        <v>0</v>
      </c>
      <c r="L43" s="8">
        <v>8</v>
      </c>
      <c r="M43" s="8">
        <v>18</v>
      </c>
      <c r="N43" s="8">
        <v>0</v>
      </c>
      <c r="O43" s="8">
        <v>1</v>
      </c>
      <c r="P43" s="8">
        <f t="shared" si="1"/>
        <v>26</v>
      </c>
      <c r="Q43" s="10">
        <f t="shared" si="2"/>
        <v>8</v>
      </c>
      <c r="R43" s="11">
        <v>23.2</v>
      </c>
      <c r="S43" s="18">
        <v>82.9</v>
      </c>
      <c r="T43" s="13">
        <v>2</v>
      </c>
      <c r="U43" s="8">
        <v>2</v>
      </c>
      <c r="V43" s="14" t="s">
        <v>121</v>
      </c>
      <c r="W43" s="14"/>
      <c r="X43" s="14"/>
      <c r="Y43" s="14"/>
      <c r="Z43" s="14"/>
      <c r="AA43" s="14" t="s">
        <v>76</v>
      </c>
      <c r="AB43" s="14"/>
      <c r="AC43" s="14"/>
      <c r="AD43" s="14"/>
      <c r="AE43" s="14"/>
      <c r="AF43" s="14" t="s">
        <v>77</v>
      </c>
      <c r="AG43" s="14"/>
      <c r="AH43" s="14"/>
      <c r="AI43" s="14"/>
      <c r="AJ43" s="14"/>
      <c r="AK43" s="14"/>
      <c r="AL43" s="14"/>
    </row>
    <row r="44" spans="1:38" ht="15.75" customHeight="1" x14ac:dyDescent="0.35">
      <c r="A44" s="42"/>
      <c r="B44" s="8">
        <v>43</v>
      </c>
      <c r="C44" s="9" t="s">
        <v>122</v>
      </c>
      <c r="D44" s="7" t="s">
        <v>123</v>
      </c>
      <c r="E44" s="7">
        <v>9</v>
      </c>
      <c r="F44" s="7">
        <f t="shared" si="0"/>
        <v>74</v>
      </c>
      <c r="G44" s="8">
        <v>10</v>
      </c>
      <c r="H44" s="8">
        <v>0</v>
      </c>
      <c r="I44" s="8">
        <v>0</v>
      </c>
      <c r="J44" s="8">
        <v>4</v>
      </c>
      <c r="K44" s="8">
        <v>0</v>
      </c>
      <c r="L44" s="8">
        <v>4</v>
      </c>
      <c r="M44" s="8">
        <v>12</v>
      </c>
      <c r="N44" s="8">
        <v>0</v>
      </c>
      <c r="O44" s="8">
        <v>0</v>
      </c>
      <c r="P44" s="8">
        <f t="shared" si="1"/>
        <v>16</v>
      </c>
      <c r="Q44" s="10">
        <f t="shared" si="2"/>
        <v>4</v>
      </c>
      <c r="R44" s="11">
        <v>17.600000000000001</v>
      </c>
      <c r="S44" s="15">
        <v>40.5</v>
      </c>
      <c r="T44" s="13">
        <v>2</v>
      </c>
      <c r="U44" s="8">
        <v>1</v>
      </c>
      <c r="V44" s="14" t="s">
        <v>124</v>
      </c>
      <c r="W44" s="14"/>
      <c r="X44" s="14"/>
      <c r="Y44" s="14"/>
      <c r="Z44" s="14"/>
      <c r="AA44" s="14" t="s">
        <v>81</v>
      </c>
      <c r="AB44" s="14"/>
      <c r="AC44" s="14"/>
      <c r="AD44" s="14"/>
      <c r="AE44" s="14"/>
      <c r="AF44" s="14" t="s">
        <v>125</v>
      </c>
      <c r="AG44" s="14"/>
      <c r="AH44" s="14"/>
      <c r="AI44" s="14"/>
      <c r="AJ44" s="14"/>
      <c r="AK44" s="14"/>
      <c r="AL44" s="14"/>
    </row>
    <row r="45" spans="1:38" ht="15.75" customHeight="1" x14ac:dyDescent="0.35">
      <c r="A45" s="42"/>
      <c r="B45" s="8">
        <v>44</v>
      </c>
      <c r="C45" s="9" t="s">
        <v>126</v>
      </c>
      <c r="D45" s="7" t="s">
        <v>31</v>
      </c>
      <c r="E45" s="7">
        <v>4</v>
      </c>
      <c r="F45" s="7">
        <f t="shared" si="0"/>
        <v>56</v>
      </c>
      <c r="G45" s="8">
        <v>24</v>
      </c>
      <c r="H45" s="8">
        <v>3</v>
      </c>
      <c r="I45" s="8">
        <v>5</v>
      </c>
      <c r="J45" s="8">
        <v>4</v>
      </c>
      <c r="K45" s="8">
        <v>1</v>
      </c>
      <c r="L45" s="8">
        <v>12</v>
      </c>
      <c r="M45" s="8">
        <v>0</v>
      </c>
      <c r="N45" s="8">
        <v>1</v>
      </c>
      <c r="O45" s="8">
        <v>0</v>
      </c>
      <c r="P45" s="8">
        <f t="shared" si="1"/>
        <v>12</v>
      </c>
      <c r="Q45" s="10">
        <f t="shared" si="2"/>
        <v>12</v>
      </c>
      <c r="R45" s="11">
        <v>13.3</v>
      </c>
      <c r="S45" s="19">
        <v>883</v>
      </c>
      <c r="T45" s="13">
        <v>1</v>
      </c>
      <c r="U45" s="8">
        <v>4</v>
      </c>
      <c r="V45" s="14" t="s">
        <v>127</v>
      </c>
      <c r="W45" s="14"/>
      <c r="X45" s="14"/>
      <c r="Y45" s="14"/>
      <c r="Z45" s="14"/>
      <c r="AA45" s="14" t="s">
        <v>97</v>
      </c>
      <c r="AB45" s="14"/>
      <c r="AC45" s="14"/>
      <c r="AD45" s="14"/>
      <c r="AE45" s="14"/>
      <c r="AF45" s="14" t="s">
        <v>86</v>
      </c>
      <c r="AG45" s="14"/>
      <c r="AH45" s="14"/>
      <c r="AI45" s="14"/>
      <c r="AJ45" s="14"/>
      <c r="AK45" s="14"/>
      <c r="AL45" s="14"/>
    </row>
    <row r="46" spans="1:38" ht="15.75" customHeight="1" x14ac:dyDescent="0.35">
      <c r="A46" s="42"/>
      <c r="B46" s="8">
        <v>45</v>
      </c>
      <c r="C46" s="9" t="s">
        <v>128</v>
      </c>
      <c r="D46" s="7" t="s">
        <v>38</v>
      </c>
      <c r="E46" s="7">
        <v>1</v>
      </c>
      <c r="F46" s="7">
        <f t="shared" si="0"/>
        <v>28</v>
      </c>
      <c r="G46" s="8">
        <v>44</v>
      </c>
      <c r="H46" s="8">
        <v>7</v>
      </c>
      <c r="I46" s="8">
        <v>14</v>
      </c>
      <c r="J46" s="8">
        <v>4</v>
      </c>
      <c r="K46" s="8">
        <v>0</v>
      </c>
      <c r="L46" s="8">
        <v>1</v>
      </c>
      <c r="M46" s="8">
        <v>6</v>
      </c>
      <c r="N46" s="8">
        <v>1</v>
      </c>
      <c r="O46" s="8">
        <v>0</v>
      </c>
      <c r="P46" s="8">
        <f t="shared" si="1"/>
        <v>7</v>
      </c>
      <c r="Q46" s="10">
        <f t="shared" si="2"/>
        <v>1</v>
      </c>
      <c r="R46" s="11">
        <v>13.5</v>
      </c>
      <c r="S46" s="16">
        <v>178</v>
      </c>
      <c r="T46" s="13">
        <v>1</v>
      </c>
      <c r="U46" s="8">
        <v>2</v>
      </c>
      <c r="V46" s="14" t="s">
        <v>129</v>
      </c>
      <c r="W46" s="14"/>
      <c r="X46" s="14"/>
      <c r="Y46" s="14"/>
      <c r="Z46" s="14"/>
      <c r="AA46" s="14" t="s">
        <v>100</v>
      </c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</row>
    <row r="47" spans="1:38" ht="15.75" customHeight="1" x14ac:dyDescent="0.35">
      <c r="A47" s="42"/>
      <c r="B47" s="8">
        <v>46</v>
      </c>
      <c r="C47" s="9" t="s">
        <v>130</v>
      </c>
      <c r="D47" s="7" t="s">
        <v>79</v>
      </c>
      <c r="E47" s="7">
        <v>6</v>
      </c>
      <c r="F47" s="7">
        <f t="shared" si="0"/>
        <v>12</v>
      </c>
      <c r="G47" s="8">
        <v>54</v>
      </c>
      <c r="H47" s="8">
        <v>27</v>
      </c>
      <c r="I47" s="8">
        <v>4</v>
      </c>
      <c r="J47" s="8">
        <v>4</v>
      </c>
      <c r="K47" s="8">
        <v>0</v>
      </c>
      <c r="L47" s="8">
        <v>0</v>
      </c>
      <c r="M47" s="8">
        <v>3</v>
      </c>
      <c r="N47" s="8">
        <v>0</v>
      </c>
      <c r="O47" s="8">
        <v>0</v>
      </c>
      <c r="P47" s="8">
        <f t="shared" si="1"/>
        <v>3</v>
      </c>
      <c r="Q47" s="10">
        <f t="shared" si="2"/>
        <v>0</v>
      </c>
      <c r="R47" s="11">
        <v>4.5</v>
      </c>
      <c r="S47" s="15">
        <v>22.4</v>
      </c>
      <c r="T47" s="13">
        <v>1</v>
      </c>
      <c r="U47" s="8">
        <v>1</v>
      </c>
      <c r="V47" s="14" t="s">
        <v>131</v>
      </c>
      <c r="W47" s="14"/>
      <c r="X47" s="14"/>
      <c r="Y47" s="14"/>
      <c r="Z47" s="14"/>
      <c r="AA47" s="14" t="s">
        <v>73</v>
      </c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</row>
    <row r="48" spans="1:38" ht="15.75" customHeight="1" x14ac:dyDescent="0.35">
      <c r="A48" s="42"/>
      <c r="B48" s="8">
        <v>47</v>
      </c>
      <c r="C48" s="9" t="s">
        <v>132</v>
      </c>
      <c r="D48" s="7" t="s">
        <v>31</v>
      </c>
      <c r="E48" s="7">
        <v>4</v>
      </c>
      <c r="F48" s="7">
        <f t="shared" si="0"/>
        <v>53</v>
      </c>
      <c r="G48" s="8">
        <v>26</v>
      </c>
      <c r="H48" s="8">
        <v>0</v>
      </c>
      <c r="I48" s="8">
        <v>0</v>
      </c>
      <c r="J48" s="8">
        <v>4</v>
      </c>
      <c r="K48" s="8">
        <v>1</v>
      </c>
      <c r="L48" s="8">
        <v>14</v>
      </c>
      <c r="M48" s="8">
        <v>7</v>
      </c>
      <c r="N48" s="8">
        <v>0</v>
      </c>
      <c r="O48" s="8">
        <v>1</v>
      </c>
      <c r="P48" s="8">
        <f t="shared" si="1"/>
        <v>21</v>
      </c>
      <c r="Q48" s="10">
        <f t="shared" si="2"/>
        <v>14</v>
      </c>
      <c r="R48" s="11">
        <v>10.3</v>
      </c>
      <c r="S48" s="15">
        <v>15</v>
      </c>
      <c r="T48" s="13">
        <v>1</v>
      </c>
      <c r="U48" s="8">
        <v>1</v>
      </c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</row>
    <row r="49" spans="1:38" ht="15.75" customHeight="1" x14ac:dyDescent="0.35">
      <c r="A49" s="42"/>
      <c r="B49" s="8">
        <v>48</v>
      </c>
      <c r="C49" s="9" t="s">
        <v>133</v>
      </c>
      <c r="D49" s="7" t="s">
        <v>31</v>
      </c>
      <c r="E49" s="7">
        <v>4</v>
      </c>
      <c r="F49" s="7">
        <f t="shared" si="0"/>
        <v>70</v>
      </c>
      <c r="G49" s="8">
        <v>20</v>
      </c>
      <c r="H49" s="8">
        <v>0</v>
      </c>
      <c r="I49" s="8">
        <v>8</v>
      </c>
      <c r="J49" s="8">
        <v>4</v>
      </c>
      <c r="K49" s="8">
        <v>1</v>
      </c>
      <c r="L49" s="8">
        <v>1</v>
      </c>
      <c r="M49" s="8">
        <v>1</v>
      </c>
      <c r="N49" s="8">
        <v>0</v>
      </c>
      <c r="O49" s="8">
        <v>0</v>
      </c>
      <c r="P49" s="8">
        <f t="shared" si="1"/>
        <v>2</v>
      </c>
      <c r="Q49" s="10">
        <f t="shared" si="2"/>
        <v>1</v>
      </c>
      <c r="R49" s="11">
        <v>1.6</v>
      </c>
      <c r="S49" s="15">
        <v>1.7000000000000001E-2</v>
      </c>
      <c r="T49" s="13">
        <v>1</v>
      </c>
      <c r="U49" s="8">
        <v>1</v>
      </c>
      <c r="V49" s="14" t="s">
        <v>134</v>
      </c>
      <c r="W49" s="14"/>
      <c r="X49" s="14"/>
      <c r="Y49" s="14"/>
      <c r="Z49" s="14"/>
      <c r="AA49" s="14" t="s">
        <v>135</v>
      </c>
      <c r="AB49" s="14"/>
      <c r="AC49" s="14"/>
      <c r="AD49" s="14"/>
      <c r="AE49" s="14"/>
      <c r="AF49" s="14" t="s">
        <v>77</v>
      </c>
      <c r="AG49" s="14"/>
      <c r="AH49" s="14"/>
      <c r="AI49" s="14"/>
      <c r="AJ49" s="14"/>
      <c r="AK49" s="14"/>
      <c r="AL49" s="14"/>
    </row>
    <row r="50" spans="1:38" ht="15.75" customHeight="1" x14ac:dyDescent="0.35">
      <c r="A50" s="42"/>
      <c r="B50" s="8">
        <v>49</v>
      </c>
      <c r="C50" s="9" t="s">
        <v>136</v>
      </c>
      <c r="D50" s="7" t="s">
        <v>79</v>
      </c>
      <c r="E50" s="7">
        <v>6</v>
      </c>
      <c r="F50" s="7">
        <f t="shared" si="0"/>
        <v>50</v>
      </c>
      <c r="G50" s="8">
        <v>40</v>
      </c>
      <c r="H50" s="8">
        <v>0</v>
      </c>
      <c r="I50" s="8">
        <v>3</v>
      </c>
      <c r="J50" s="8">
        <v>4</v>
      </c>
      <c r="K50" s="8">
        <v>0</v>
      </c>
      <c r="L50" s="8">
        <v>6</v>
      </c>
      <c r="M50" s="8">
        <v>1</v>
      </c>
      <c r="N50" s="8">
        <v>0</v>
      </c>
      <c r="O50" s="8">
        <v>1</v>
      </c>
      <c r="P50" s="8">
        <f t="shared" si="1"/>
        <v>7</v>
      </c>
      <c r="Q50" s="10">
        <f t="shared" si="2"/>
        <v>6</v>
      </c>
      <c r="R50" s="11">
        <v>5.2</v>
      </c>
      <c r="S50" s="15">
        <v>22.7</v>
      </c>
      <c r="T50" s="13">
        <v>1</v>
      </c>
      <c r="U50" s="8">
        <v>1</v>
      </c>
      <c r="V50" s="14" t="s">
        <v>137</v>
      </c>
      <c r="W50" s="14"/>
      <c r="X50" s="14"/>
      <c r="Y50" s="14"/>
      <c r="Z50" s="14"/>
      <c r="AA50" s="14" t="s">
        <v>138</v>
      </c>
      <c r="AB50" s="14"/>
      <c r="AC50" s="14"/>
      <c r="AD50" s="14"/>
      <c r="AE50" s="14"/>
      <c r="AF50" s="14" t="s">
        <v>125</v>
      </c>
      <c r="AG50" s="14"/>
      <c r="AH50" s="14"/>
      <c r="AI50" s="14"/>
      <c r="AJ50" s="14"/>
      <c r="AK50" s="14"/>
      <c r="AL50" s="14"/>
    </row>
    <row r="51" spans="1:38" ht="15.75" customHeight="1" x14ac:dyDescent="0.35">
      <c r="A51" s="42"/>
      <c r="B51" s="8">
        <v>50</v>
      </c>
      <c r="C51" s="9" t="s">
        <v>139</v>
      </c>
      <c r="D51" s="7" t="s">
        <v>79</v>
      </c>
      <c r="E51" s="7">
        <v>6</v>
      </c>
      <c r="F51" s="7">
        <f t="shared" si="0"/>
        <v>24</v>
      </c>
      <c r="G51" s="8">
        <v>38</v>
      </c>
      <c r="H51" s="8">
        <v>19</v>
      </c>
      <c r="I51" s="8">
        <v>9</v>
      </c>
      <c r="J51" s="8">
        <v>4</v>
      </c>
      <c r="K51" s="8">
        <v>0</v>
      </c>
      <c r="L51" s="8">
        <v>8</v>
      </c>
      <c r="M51" s="8">
        <v>2</v>
      </c>
      <c r="N51" s="8">
        <v>0</v>
      </c>
      <c r="O51" s="8">
        <v>1</v>
      </c>
      <c r="P51" s="8">
        <f t="shared" si="1"/>
        <v>10</v>
      </c>
      <c r="Q51" s="10">
        <f t="shared" si="2"/>
        <v>8</v>
      </c>
      <c r="R51" s="11">
        <v>12</v>
      </c>
      <c r="S51" s="15">
        <v>37.799999999999997</v>
      </c>
      <c r="T51" s="13">
        <v>1</v>
      </c>
      <c r="U51" s="8">
        <v>1</v>
      </c>
      <c r="V51" s="14" t="s">
        <v>140</v>
      </c>
      <c r="W51" s="14"/>
      <c r="X51" s="14"/>
      <c r="Y51" s="14"/>
      <c r="Z51" s="14"/>
      <c r="AA51" s="14" t="s">
        <v>141</v>
      </c>
      <c r="AB51" s="14"/>
      <c r="AC51" s="14"/>
      <c r="AD51" s="14"/>
      <c r="AE51" s="14"/>
      <c r="AF51" s="14" t="s">
        <v>86</v>
      </c>
      <c r="AG51" s="14"/>
      <c r="AH51" s="14"/>
      <c r="AI51" s="14"/>
      <c r="AJ51" s="14"/>
      <c r="AK51" s="14"/>
      <c r="AL51" s="14"/>
    </row>
    <row r="52" spans="1:38" ht="15.75" customHeight="1" x14ac:dyDescent="0.35">
      <c r="A52" s="42"/>
      <c r="B52" s="8">
        <v>51</v>
      </c>
      <c r="C52" s="9" t="s">
        <v>142</v>
      </c>
      <c r="D52" s="7" t="s">
        <v>23</v>
      </c>
      <c r="E52" s="7">
        <v>7</v>
      </c>
      <c r="F52" s="7">
        <f t="shared" si="0"/>
        <v>56</v>
      </c>
      <c r="G52" s="8">
        <v>20</v>
      </c>
      <c r="H52" s="8">
        <v>9</v>
      </c>
      <c r="I52" s="8">
        <v>0</v>
      </c>
      <c r="J52" s="8">
        <v>3</v>
      </c>
      <c r="K52" s="8">
        <v>1</v>
      </c>
      <c r="L52" s="8">
        <v>10</v>
      </c>
      <c r="M52" s="8">
        <v>5</v>
      </c>
      <c r="N52" s="8">
        <v>0</v>
      </c>
      <c r="O52" s="8">
        <v>1</v>
      </c>
      <c r="P52" s="8">
        <f t="shared" si="1"/>
        <v>15</v>
      </c>
      <c r="Q52" s="10">
        <f t="shared" si="2"/>
        <v>10</v>
      </c>
      <c r="R52" s="11">
        <v>16</v>
      </c>
      <c r="S52" s="18">
        <v>85.6</v>
      </c>
      <c r="T52" s="13">
        <v>1</v>
      </c>
      <c r="U52" s="8">
        <v>2</v>
      </c>
      <c r="V52" s="14" t="s">
        <v>143</v>
      </c>
      <c r="W52" s="14"/>
      <c r="X52" s="14"/>
      <c r="Y52" s="14"/>
      <c r="Z52" s="14"/>
      <c r="AA52" s="14" t="s">
        <v>115</v>
      </c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</row>
    <row r="53" spans="1:38" ht="15.75" customHeight="1" x14ac:dyDescent="0.35">
      <c r="A53" s="42"/>
      <c r="B53" s="8">
        <v>52</v>
      </c>
      <c r="C53" s="9" t="s">
        <v>144</v>
      </c>
      <c r="D53" s="7" t="s">
        <v>54</v>
      </c>
      <c r="E53" s="7">
        <v>9</v>
      </c>
      <c r="F53" s="7">
        <f t="shared" si="0"/>
        <v>67</v>
      </c>
      <c r="G53" s="8">
        <v>17</v>
      </c>
      <c r="H53" s="8">
        <v>0</v>
      </c>
      <c r="I53" s="8">
        <v>0</v>
      </c>
      <c r="J53" s="8">
        <v>4</v>
      </c>
      <c r="K53" s="8">
        <v>0</v>
      </c>
      <c r="L53" s="8">
        <v>3</v>
      </c>
      <c r="M53" s="8">
        <v>13</v>
      </c>
      <c r="N53" s="8">
        <v>0</v>
      </c>
      <c r="O53" s="8">
        <v>0</v>
      </c>
      <c r="P53" s="8">
        <f t="shared" si="1"/>
        <v>16</v>
      </c>
      <c r="Q53" s="10">
        <f t="shared" si="2"/>
        <v>3</v>
      </c>
      <c r="R53" s="11">
        <v>9.1</v>
      </c>
      <c r="S53" s="15">
        <v>4.5999999999999996</v>
      </c>
      <c r="T53" s="13">
        <v>2</v>
      </c>
      <c r="U53" s="8">
        <v>1</v>
      </c>
      <c r="V53" s="14" t="s">
        <v>145</v>
      </c>
      <c r="W53" s="14"/>
      <c r="X53" s="14"/>
      <c r="Y53" s="14"/>
      <c r="Z53" s="14"/>
      <c r="AA53" s="14" t="s">
        <v>146</v>
      </c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</row>
    <row r="54" spans="1:38" ht="15.75" customHeight="1" x14ac:dyDescent="0.35">
      <c r="A54" s="42"/>
      <c r="B54" s="8">
        <v>53</v>
      </c>
      <c r="C54" s="9" t="s">
        <v>147</v>
      </c>
      <c r="D54" s="7" t="s">
        <v>31</v>
      </c>
      <c r="E54" s="7">
        <v>4</v>
      </c>
      <c r="F54" s="7">
        <f t="shared" si="0"/>
        <v>45</v>
      </c>
      <c r="G54" s="8">
        <v>38</v>
      </c>
      <c r="H54" s="8">
        <v>4</v>
      </c>
      <c r="I54" s="8">
        <v>7</v>
      </c>
      <c r="J54" s="8">
        <v>4</v>
      </c>
      <c r="K54" s="8">
        <v>0</v>
      </c>
      <c r="L54" s="8">
        <v>4</v>
      </c>
      <c r="M54" s="8">
        <v>2</v>
      </c>
      <c r="N54" s="8">
        <v>0</v>
      </c>
      <c r="O54" s="8">
        <v>1</v>
      </c>
      <c r="P54" s="8">
        <f t="shared" si="1"/>
        <v>6</v>
      </c>
      <c r="Q54" s="10">
        <f t="shared" si="2"/>
        <v>4</v>
      </c>
      <c r="R54" s="11">
        <v>5.5</v>
      </c>
      <c r="S54" s="15">
        <v>4.46</v>
      </c>
      <c r="T54" s="13">
        <v>1</v>
      </c>
      <c r="U54" s="8">
        <v>1</v>
      </c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</row>
    <row r="55" spans="1:38" ht="15.75" customHeight="1" x14ac:dyDescent="0.35">
      <c r="A55" s="42"/>
      <c r="B55" s="8">
        <v>54</v>
      </c>
      <c r="C55" s="9" t="s">
        <v>148</v>
      </c>
      <c r="D55" s="7" t="s">
        <v>27</v>
      </c>
      <c r="E55" s="7">
        <v>2</v>
      </c>
      <c r="F55" s="7">
        <f t="shared" si="0"/>
        <v>75</v>
      </c>
      <c r="G55" s="8">
        <v>22</v>
      </c>
      <c r="H55" s="8">
        <v>0</v>
      </c>
      <c r="I55" s="8">
        <v>0</v>
      </c>
      <c r="J55" s="8">
        <v>4</v>
      </c>
      <c r="K55" s="8">
        <v>0</v>
      </c>
      <c r="L55" s="8">
        <v>3</v>
      </c>
      <c r="M55" s="8">
        <v>0</v>
      </c>
      <c r="N55" s="8">
        <v>0</v>
      </c>
      <c r="O55" s="8">
        <v>1</v>
      </c>
      <c r="P55" s="8">
        <f t="shared" si="1"/>
        <v>3</v>
      </c>
      <c r="Q55" s="10">
        <f t="shared" si="2"/>
        <v>3</v>
      </c>
      <c r="R55" s="11">
        <v>5.8</v>
      </c>
      <c r="S55" s="15">
        <v>28.6</v>
      </c>
      <c r="T55" s="13">
        <v>1</v>
      </c>
      <c r="U55" s="8">
        <v>1</v>
      </c>
      <c r="V55" s="21"/>
      <c r="W55" s="14" t="s">
        <v>149</v>
      </c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</row>
    <row r="56" spans="1:38" ht="15.75" customHeight="1" x14ac:dyDescent="0.35">
      <c r="A56" s="42"/>
      <c r="B56" s="8">
        <v>55</v>
      </c>
      <c r="C56" s="9" t="s">
        <v>150</v>
      </c>
      <c r="D56" s="7" t="s">
        <v>38</v>
      </c>
      <c r="E56" s="7">
        <v>1</v>
      </c>
      <c r="F56" s="7">
        <f t="shared" si="0"/>
        <v>86</v>
      </c>
      <c r="G56" s="8">
        <v>5</v>
      </c>
      <c r="H56" s="8">
        <v>0</v>
      </c>
      <c r="I56" s="8">
        <v>0</v>
      </c>
      <c r="J56" s="8">
        <v>0</v>
      </c>
      <c r="K56" s="8">
        <v>1</v>
      </c>
      <c r="L56" s="8">
        <v>7</v>
      </c>
      <c r="M56" s="8">
        <v>2</v>
      </c>
      <c r="N56" s="8">
        <v>0</v>
      </c>
      <c r="O56" s="8">
        <v>0</v>
      </c>
      <c r="P56" s="8">
        <f t="shared" si="1"/>
        <v>9</v>
      </c>
      <c r="Q56" s="10">
        <f t="shared" si="2"/>
        <v>7</v>
      </c>
      <c r="R56" s="11">
        <v>13.3</v>
      </c>
      <c r="S56" s="19">
        <v>580</v>
      </c>
      <c r="T56" s="13">
        <v>1</v>
      </c>
      <c r="U56" s="8">
        <v>4</v>
      </c>
      <c r="V56" s="22"/>
      <c r="W56" s="14" t="s">
        <v>151</v>
      </c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</row>
    <row r="57" spans="1:38" ht="15.75" customHeight="1" x14ac:dyDescent="0.35">
      <c r="A57" s="42"/>
      <c r="B57" s="8">
        <v>56</v>
      </c>
      <c r="C57" s="9" t="s">
        <v>152</v>
      </c>
      <c r="D57" s="7" t="s">
        <v>54</v>
      </c>
      <c r="E57" s="7">
        <v>9</v>
      </c>
      <c r="F57" s="7">
        <f t="shared" si="0"/>
        <v>75</v>
      </c>
      <c r="G57" s="8">
        <v>4</v>
      </c>
      <c r="H57" s="8">
        <v>0</v>
      </c>
      <c r="I57" s="8">
        <v>1</v>
      </c>
      <c r="J57" s="8">
        <v>4</v>
      </c>
      <c r="K57" s="8">
        <v>0</v>
      </c>
      <c r="L57" s="8">
        <v>6</v>
      </c>
      <c r="M57" s="8">
        <v>14</v>
      </c>
      <c r="N57" s="8">
        <v>0</v>
      </c>
      <c r="O57" s="8">
        <v>1</v>
      </c>
      <c r="P57" s="8">
        <f t="shared" si="1"/>
        <v>20</v>
      </c>
      <c r="Q57" s="10">
        <f t="shared" si="2"/>
        <v>6</v>
      </c>
      <c r="R57" s="11">
        <v>16.399999999999999</v>
      </c>
      <c r="S57" s="19">
        <v>600</v>
      </c>
      <c r="T57" s="13">
        <v>2</v>
      </c>
      <c r="U57" s="8">
        <v>4</v>
      </c>
      <c r="V57" s="23"/>
      <c r="W57" s="14" t="s">
        <v>153</v>
      </c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</row>
    <row r="58" spans="1:38" ht="15.75" customHeight="1" x14ac:dyDescent="0.35">
      <c r="A58" s="42"/>
      <c r="B58" s="8">
        <v>57</v>
      </c>
      <c r="C58" s="9" t="s">
        <v>154</v>
      </c>
      <c r="D58" s="20" t="s">
        <v>107</v>
      </c>
      <c r="E58" s="7">
        <v>3</v>
      </c>
      <c r="F58" s="7">
        <f t="shared" si="0"/>
        <v>6</v>
      </c>
      <c r="G58" s="8">
        <v>15</v>
      </c>
      <c r="H58" s="8">
        <v>75</v>
      </c>
      <c r="I58" s="8">
        <v>4</v>
      </c>
      <c r="J58" s="8">
        <v>4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f t="shared" si="1"/>
        <v>0</v>
      </c>
      <c r="Q58" s="10">
        <f t="shared" si="2"/>
        <v>0</v>
      </c>
      <c r="R58" s="11">
        <v>3.4</v>
      </c>
      <c r="S58" s="15">
        <v>2E-3</v>
      </c>
      <c r="T58" s="13">
        <v>1</v>
      </c>
      <c r="U58" s="8">
        <v>1</v>
      </c>
      <c r="V58" s="24"/>
      <c r="W58" s="14" t="s">
        <v>155</v>
      </c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</row>
    <row r="59" spans="1:38" ht="15.75" customHeight="1" x14ac:dyDescent="0.35">
      <c r="A59" s="42"/>
      <c r="B59" s="8">
        <v>58</v>
      </c>
      <c r="C59" s="9" t="s">
        <v>156</v>
      </c>
      <c r="D59" s="7" t="s">
        <v>45</v>
      </c>
      <c r="E59" s="7">
        <v>9</v>
      </c>
      <c r="F59" s="7">
        <f t="shared" si="0"/>
        <v>60</v>
      </c>
      <c r="G59" s="8">
        <v>35</v>
      </c>
      <c r="H59" s="8">
        <v>0</v>
      </c>
      <c r="I59" s="8">
        <v>5</v>
      </c>
      <c r="J59" s="8">
        <v>4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f t="shared" si="1"/>
        <v>0</v>
      </c>
      <c r="Q59" s="10">
        <f t="shared" si="2"/>
        <v>0</v>
      </c>
      <c r="R59" s="11">
        <v>1</v>
      </c>
      <c r="S59" s="15">
        <v>0</v>
      </c>
      <c r="T59" s="13">
        <v>2</v>
      </c>
      <c r="U59" s="8">
        <v>1</v>
      </c>
      <c r="V59" s="25"/>
      <c r="W59" s="14" t="s">
        <v>157</v>
      </c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</row>
    <row r="60" spans="1:38" ht="15.75" customHeight="1" x14ac:dyDescent="0.35">
      <c r="A60" s="42"/>
      <c r="B60" s="8">
        <v>59</v>
      </c>
      <c r="C60" s="9" t="s">
        <v>158</v>
      </c>
      <c r="D60" s="20" t="s">
        <v>107</v>
      </c>
      <c r="E60" s="7">
        <v>3</v>
      </c>
      <c r="F60" s="7">
        <f t="shared" si="0"/>
        <v>0</v>
      </c>
      <c r="G60" s="8">
        <v>0</v>
      </c>
      <c r="H60" s="8">
        <v>90</v>
      </c>
      <c r="I60" s="8">
        <v>10</v>
      </c>
      <c r="J60" s="8">
        <v>4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f t="shared" si="1"/>
        <v>0</v>
      </c>
      <c r="Q60" s="10">
        <f t="shared" si="2"/>
        <v>0</v>
      </c>
      <c r="R60" s="11">
        <v>3.4</v>
      </c>
      <c r="S60" s="15">
        <v>5.2999999999999999E-2</v>
      </c>
      <c r="T60" s="13">
        <v>1</v>
      </c>
      <c r="U60" s="8">
        <v>1</v>
      </c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</row>
    <row r="61" spans="1:38" ht="15.75" customHeight="1" x14ac:dyDescent="0.35">
      <c r="A61" s="42"/>
      <c r="B61" s="8">
        <v>60</v>
      </c>
      <c r="C61" s="9" t="s">
        <v>159</v>
      </c>
      <c r="D61" s="20" t="s">
        <v>107</v>
      </c>
      <c r="E61" s="7">
        <v>3</v>
      </c>
      <c r="F61" s="7">
        <f t="shared" si="0"/>
        <v>0</v>
      </c>
      <c r="G61" s="8">
        <v>13</v>
      </c>
      <c r="H61" s="8">
        <v>40</v>
      </c>
      <c r="I61" s="8">
        <v>47</v>
      </c>
      <c r="J61" s="8">
        <v>5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f t="shared" si="1"/>
        <v>0</v>
      </c>
      <c r="Q61" s="10">
        <f t="shared" si="2"/>
        <v>0</v>
      </c>
      <c r="R61" s="11">
        <v>1.2</v>
      </c>
      <c r="S61" s="15">
        <v>0</v>
      </c>
      <c r="T61" s="13">
        <v>1</v>
      </c>
      <c r="U61" s="8">
        <v>1</v>
      </c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</row>
    <row r="62" spans="1:38" ht="15.75" customHeight="1" x14ac:dyDescent="0.35">
      <c r="A62" s="42"/>
      <c r="B62" s="8">
        <v>61</v>
      </c>
      <c r="C62" s="9" t="s">
        <v>160</v>
      </c>
      <c r="D62" s="7" t="s">
        <v>45</v>
      </c>
      <c r="E62" s="7">
        <v>9</v>
      </c>
      <c r="F62" s="7">
        <f t="shared" si="0"/>
        <v>52</v>
      </c>
      <c r="G62" s="8">
        <v>10</v>
      </c>
      <c r="H62" s="8">
        <v>25</v>
      </c>
      <c r="I62" s="8">
        <v>5</v>
      </c>
      <c r="J62" s="8">
        <v>4</v>
      </c>
      <c r="K62" s="8">
        <v>0</v>
      </c>
      <c r="L62" s="8">
        <v>8</v>
      </c>
      <c r="M62" s="8">
        <v>0</v>
      </c>
      <c r="N62" s="8">
        <v>0</v>
      </c>
      <c r="O62" s="8">
        <v>0</v>
      </c>
      <c r="P62" s="8">
        <f t="shared" si="1"/>
        <v>8</v>
      </c>
      <c r="Q62" s="10">
        <f t="shared" si="2"/>
        <v>8</v>
      </c>
      <c r="R62" s="11">
        <v>10.6</v>
      </c>
      <c r="S62" s="15">
        <v>33.9</v>
      </c>
      <c r="T62" s="13">
        <v>2</v>
      </c>
      <c r="U62" s="8">
        <v>1</v>
      </c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</row>
    <row r="63" spans="1:38" ht="15.75" customHeight="1" x14ac:dyDescent="0.35">
      <c r="A63" s="42"/>
      <c r="B63" s="8">
        <v>62</v>
      </c>
      <c r="C63" s="9" t="s">
        <v>161</v>
      </c>
      <c r="D63" s="20" t="s">
        <v>107</v>
      </c>
      <c r="E63" s="7">
        <v>3</v>
      </c>
      <c r="F63" s="7">
        <f t="shared" si="0"/>
        <v>0</v>
      </c>
      <c r="G63" s="8">
        <v>57</v>
      </c>
      <c r="H63" s="8">
        <v>25</v>
      </c>
      <c r="I63" s="8">
        <v>15</v>
      </c>
      <c r="J63" s="8">
        <v>0</v>
      </c>
      <c r="K63" s="8">
        <v>0</v>
      </c>
      <c r="L63" s="8">
        <v>2</v>
      </c>
      <c r="M63" s="8">
        <v>1</v>
      </c>
      <c r="N63" s="8">
        <v>0</v>
      </c>
      <c r="O63" s="8">
        <v>0</v>
      </c>
      <c r="P63" s="8">
        <f t="shared" si="1"/>
        <v>3</v>
      </c>
      <c r="Q63" s="10">
        <f t="shared" si="2"/>
        <v>2</v>
      </c>
      <c r="R63" s="11">
        <v>9.6</v>
      </c>
      <c r="S63" s="15">
        <v>0.875</v>
      </c>
      <c r="T63" s="13">
        <v>1</v>
      </c>
      <c r="U63" s="8">
        <v>1</v>
      </c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</row>
    <row r="64" spans="1:38" ht="15.75" customHeight="1" x14ac:dyDescent="0.35">
      <c r="A64" s="42"/>
      <c r="B64" s="8">
        <v>63</v>
      </c>
      <c r="C64" s="9" t="s">
        <v>162</v>
      </c>
      <c r="D64" s="7" t="s">
        <v>45</v>
      </c>
      <c r="E64" s="7">
        <v>9</v>
      </c>
      <c r="F64" s="7">
        <f t="shared" si="0"/>
        <v>56</v>
      </c>
      <c r="G64" s="8">
        <v>8</v>
      </c>
      <c r="H64" s="8">
        <v>18</v>
      </c>
      <c r="I64" s="8">
        <v>6</v>
      </c>
      <c r="J64" s="8">
        <v>4</v>
      </c>
      <c r="K64" s="8">
        <v>0</v>
      </c>
      <c r="L64" s="8">
        <v>8</v>
      </c>
      <c r="M64" s="8">
        <v>4</v>
      </c>
      <c r="N64" s="8">
        <v>0</v>
      </c>
      <c r="O64" s="8">
        <v>1</v>
      </c>
      <c r="P64" s="8">
        <f t="shared" si="1"/>
        <v>12</v>
      </c>
      <c r="Q64" s="10">
        <f t="shared" si="2"/>
        <v>8</v>
      </c>
      <c r="R64" s="11">
        <v>10.6</v>
      </c>
      <c r="S64" s="18">
        <v>81</v>
      </c>
      <c r="T64" s="13">
        <v>2</v>
      </c>
      <c r="U64" s="8">
        <v>2</v>
      </c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</row>
    <row r="65" spans="1:38" ht="15.75" customHeight="1" x14ac:dyDescent="0.35">
      <c r="A65" s="42"/>
      <c r="B65" s="8">
        <v>64</v>
      </c>
      <c r="C65" s="9" t="s">
        <v>163</v>
      </c>
      <c r="D65" s="20" t="s">
        <v>107</v>
      </c>
      <c r="E65" s="7">
        <v>3</v>
      </c>
      <c r="F65" s="7">
        <f t="shared" si="0"/>
        <v>0</v>
      </c>
      <c r="G65" s="8">
        <v>0</v>
      </c>
      <c r="H65" s="8">
        <v>30</v>
      </c>
      <c r="I65" s="8">
        <v>48</v>
      </c>
      <c r="J65" s="8">
        <v>0</v>
      </c>
      <c r="K65" s="8">
        <v>0</v>
      </c>
      <c r="L65" s="8">
        <v>2</v>
      </c>
      <c r="M65" s="8">
        <v>20</v>
      </c>
      <c r="N65" s="8">
        <v>1</v>
      </c>
      <c r="O65" s="8">
        <v>0</v>
      </c>
      <c r="P65" s="8">
        <f t="shared" si="1"/>
        <v>22</v>
      </c>
      <c r="Q65" s="10">
        <f t="shared" si="2"/>
        <v>2</v>
      </c>
      <c r="R65" s="11">
        <v>18.5</v>
      </c>
      <c r="S65" s="18">
        <v>94.5</v>
      </c>
      <c r="T65" s="13">
        <v>1</v>
      </c>
      <c r="U65" s="8">
        <v>2</v>
      </c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</row>
    <row r="66" spans="1:38" ht="15.75" customHeight="1" x14ac:dyDescent="0.35">
      <c r="A66" s="42"/>
      <c r="B66" s="8">
        <v>65</v>
      </c>
      <c r="C66" s="9" t="s">
        <v>164</v>
      </c>
      <c r="D66" s="7" t="s">
        <v>45</v>
      </c>
      <c r="E66" s="7">
        <v>9</v>
      </c>
      <c r="F66" s="7">
        <f t="shared" si="0"/>
        <v>65</v>
      </c>
      <c r="G66" s="8">
        <v>13</v>
      </c>
      <c r="H66" s="8">
        <v>0</v>
      </c>
      <c r="I66" s="8">
        <v>10</v>
      </c>
      <c r="J66" s="8">
        <v>4</v>
      </c>
      <c r="K66" s="8">
        <v>0</v>
      </c>
      <c r="L66" s="8">
        <v>3</v>
      </c>
      <c r="M66" s="8">
        <v>9</v>
      </c>
      <c r="N66" s="8">
        <v>0</v>
      </c>
      <c r="O66" s="8">
        <v>0</v>
      </c>
      <c r="P66" s="8">
        <f t="shared" si="1"/>
        <v>12</v>
      </c>
      <c r="Q66" s="10">
        <f t="shared" si="2"/>
        <v>3</v>
      </c>
      <c r="R66" s="11">
        <v>8</v>
      </c>
      <c r="S66" s="15">
        <v>1.04</v>
      </c>
      <c r="T66" s="13">
        <v>2</v>
      </c>
      <c r="U66" s="8">
        <v>1</v>
      </c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</row>
    <row r="67" spans="1:38" ht="15.75" customHeight="1" x14ac:dyDescent="0.35">
      <c r="A67" s="42"/>
      <c r="B67" s="8">
        <v>66</v>
      </c>
      <c r="C67" s="9" t="s">
        <v>165</v>
      </c>
      <c r="D67" s="7" t="s">
        <v>54</v>
      </c>
      <c r="E67" s="7">
        <v>9</v>
      </c>
      <c r="F67" s="7">
        <f t="shared" si="0"/>
        <v>80</v>
      </c>
      <c r="G67" s="8">
        <v>8</v>
      </c>
      <c r="H67" s="8">
        <v>0</v>
      </c>
      <c r="I67" s="8">
        <v>0</v>
      </c>
      <c r="J67" s="8">
        <v>4</v>
      </c>
      <c r="K67" s="8">
        <v>0</v>
      </c>
      <c r="L67" s="8">
        <v>3</v>
      </c>
      <c r="M67" s="8">
        <v>9</v>
      </c>
      <c r="N67" s="8">
        <v>0</v>
      </c>
      <c r="O67" s="8">
        <v>0</v>
      </c>
      <c r="P67" s="8">
        <f t="shared" si="1"/>
        <v>12</v>
      </c>
      <c r="Q67" s="10">
        <f t="shared" si="2"/>
        <v>3</v>
      </c>
      <c r="R67" s="11">
        <v>6.6</v>
      </c>
      <c r="S67" s="15">
        <v>1.67</v>
      </c>
      <c r="T67" s="13">
        <v>2</v>
      </c>
      <c r="U67" s="8">
        <v>1</v>
      </c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</row>
    <row r="68" spans="1:38" ht="15.75" customHeight="1" x14ac:dyDescent="0.35">
      <c r="A68" s="42"/>
      <c r="B68" s="8">
        <v>67</v>
      </c>
      <c r="C68" s="9" t="s">
        <v>166</v>
      </c>
      <c r="D68" s="7" t="s">
        <v>23</v>
      </c>
      <c r="E68" s="7">
        <v>7</v>
      </c>
      <c r="F68" s="7">
        <f t="shared" si="0"/>
        <v>41</v>
      </c>
      <c r="G68" s="8">
        <v>5</v>
      </c>
      <c r="H68" s="8">
        <v>36</v>
      </c>
      <c r="I68" s="8">
        <v>7</v>
      </c>
      <c r="J68" s="8">
        <v>4</v>
      </c>
      <c r="K68" s="8">
        <v>1</v>
      </c>
      <c r="L68" s="8">
        <v>7</v>
      </c>
      <c r="M68" s="8">
        <v>4</v>
      </c>
      <c r="N68" s="8">
        <v>0</v>
      </c>
      <c r="O68" s="8">
        <v>1</v>
      </c>
      <c r="P68" s="8">
        <f t="shared" si="1"/>
        <v>11</v>
      </c>
      <c r="Q68" s="10">
        <f t="shared" si="2"/>
        <v>7</v>
      </c>
      <c r="R68" s="11">
        <v>9</v>
      </c>
      <c r="S68" s="15">
        <v>29.6</v>
      </c>
      <c r="T68" s="13">
        <v>1</v>
      </c>
      <c r="U68" s="8">
        <v>1</v>
      </c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</row>
    <row r="69" spans="1:38" ht="15.75" customHeight="1" x14ac:dyDescent="0.35">
      <c r="A69" s="42"/>
      <c r="B69" s="8">
        <v>68</v>
      </c>
      <c r="C69" s="9" t="s">
        <v>167</v>
      </c>
      <c r="D69" s="7" t="s">
        <v>45</v>
      </c>
      <c r="E69" s="7">
        <v>9</v>
      </c>
      <c r="F69" s="7">
        <f t="shared" si="0"/>
        <v>70</v>
      </c>
      <c r="G69" s="8">
        <v>9</v>
      </c>
      <c r="H69" s="8">
        <v>4</v>
      </c>
      <c r="I69" s="8">
        <v>5</v>
      </c>
      <c r="J69" s="8">
        <v>4</v>
      </c>
      <c r="K69" s="8">
        <v>0</v>
      </c>
      <c r="L69" s="8">
        <v>0</v>
      </c>
      <c r="M69" s="8">
        <v>12</v>
      </c>
      <c r="N69" s="8">
        <v>0</v>
      </c>
      <c r="O69" s="8">
        <v>0</v>
      </c>
      <c r="P69" s="8">
        <f t="shared" si="1"/>
        <v>12</v>
      </c>
      <c r="Q69" s="10">
        <f t="shared" si="2"/>
        <v>0</v>
      </c>
      <c r="R69" s="11">
        <v>8.1999999999999993</v>
      </c>
      <c r="S69" s="15">
        <v>0.24199999999999999</v>
      </c>
      <c r="T69" s="13">
        <v>2</v>
      </c>
      <c r="U69" s="8">
        <v>1</v>
      </c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</row>
    <row r="70" spans="1:38" ht="15.75" customHeight="1" x14ac:dyDescent="0.35">
      <c r="A70" s="42"/>
      <c r="B70" s="8">
        <v>69</v>
      </c>
      <c r="C70" s="9" t="s">
        <v>168</v>
      </c>
      <c r="D70" s="7" t="s">
        <v>45</v>
      </c>
      <c r="E70" s="7">
        <v>9</v>
      </c>
      <c r="F70" s="7">
        <f t="shared" si="0"/>
        <v>0</v>
      </c>
      <c r="G70" s="8">
        <v>63</v>
      </c>
      <c r="H70" s="8">
        <v>14</v>
      </c>
      <c r="I70" s="8">
        <v>7</v>
      </c>
      <c r="J70" s="8">
        <v>4</v>
      </c>
      <c r="K70" s="8">
        <v>0</v>
      </c>
      <c r="L70" s="8">
        <v>8</v>
      </c>
      <c r="M70" s="8">
        <v>8</v>
      </c>
      <c r="N70" s="8">
        <v>0</v>
      </c>
      <c r="O70" s="8">
        <v>0</v>
      </c>
      <c r="P70" s="8">
        <f t="shared" si="1"/>
        <v>16</v>
      </c>
      <c r="Q70" s="10">
        <f t="shared" si="2"/>
        <v>8</v>
      </c>
      <c r="R70" s="11">
        <v>9.6999999999999993</v>
      </c>
      <c r="S70" s="15">
        <v>6.68</v>
      </c>
      <c r="T70" s="13">
        <v>2</v>
      </c>
      <c r="U70" s="8">
        <v>1</v>
      </c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</row>
    <row r="71" spans="1:38" ht="15.75" customHeight="1" x14ac:dyDescent="0.35">
      <c r="A71" s="42"/>
      <c r="B71" s="8">
        <v>70</v>
      </c>
      <c r="C71" s="9" t="s">
        <v>169</v>
      </c>
      <c r="D71" s="7" t="s">
        <v>45</v>
      </c>
      <c r="E71" s="7">
        <v>9</v>
      </c>
      <c r="F71" s="7">
        <f t="shared" si="0"/>
        <v>41</v>
      </c>
      <c r="G71" s="8">
        <v>17</v>
      </c>
      <c r="H71" s="8">
        <v>3</v>
      </c>
      <c r="I71" s="8">
        <v>7</v>
      </c>
      <c r="J71" s="8">
        <v>4</v>
      </c>
      <c r="K71" s="8">
        <v>0</v>
      </c>
      <c r="L71" s="8">
        <v>11</v>
      </c>
      <c r="M71" s="8">
        <v>21</v>
      </c>
      <c r="N71" s="8">
        <v>0</v>
      </c>
      <c r="O71" s="8">
        <v>1</v>
      </c>
      <c r="P71" s="8">
        <f t="shared" si="1"/>
        <v>32</v>
      </c>
      <c r="Q71" s="10">
        <f t="shared" si="2"/>
        <v>11</v>
      </c>
      <c r="R71" s="11">
        <v>18.899999999999999</v>
      </c>
      <c r="S71" s="18">
        <v>98.3</v>
      </c>
      <c r="T71" s="13">
        <v>2</v>
      </c>
      <c r="U71" s="8">
        <v>2</v>
      </c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</row>
    <row r="72" spans="1:38" ht="15.75" customHeight="1" x14ac:dyDescent="0.35">
      <c r="A72" s="42"/>
      <c r="B72" s="8">
        <v>71</v>
      </c>
      <c r="C72" s="9" t="s">
        <v>170</v>
      </c>
      <c r="D72" s="7" t="s">
        <v>54</v>
      </c>
      <c r="E72" s="7">
        <v>9</v>
      </c>
      <c r="F72" s="7">
        <f t="shared" si="0"/>
        <v>69</v>
      </c>
      <c r="G72" s="8">
        <v>7</v>
      </c>
      <c r="H72" s="8">
        <v>0</v>
      </c>
      <c r="I72" s="8">
        <v>4</v>
      </c>
      <c r="J72" s="8">
        <v>4</v>
      </c>
      <c r="K72" s="8">
        <v>0</v>
      </c>
      <c r="L72" s="8">
        <v>6</v>
      </c>
      <c r="M72" s="8">
        <v>14</v>
      </c>
      <c r="N72" s="8">
        <v>0</v>
      </c>
      <c r="O72" s="8">
        <v>0</v>
      </c>
      <c r="P72" s="8">
        <f t="shared" si="1"/>
        <v>20</v>
      </c>
      <c r="Q72" s="10">
        <f t="shared" si="2"/>
        <v>6</v>
      </c>
      <c r="R72" s="11">
        <v>15.6</v>
      </c>
      <c r="S72" s="15">
        <v>23.1</v>
      </c>
      <c r="T72" s="13">
        <v>2</v>
      </c>
      <c r="U72" s="8">
        <v>1</v>
      </c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</row>
    <row r="73" spans="1:38" ht="15.75" customHeight="1" x14ac:dyDescent="0.35">
      <c r="A73" s="42"/>
      <c r="B73" s="8">
        <v>72</v>
      </c>
      <c r="C73" s="9" t="s">
        <v>171</v>
      </c>
      <c r="D73" s="20" t="s">
        <v>107</v>
      </c>
      <c r="E73" s="7">
        <v>3</v>
      </c>
      <c r="F73" s="7">
        <f t="shared" si="0"/>
        <v>0</v>
      </c>
      <c r="G73" s="8">
        <v>62</v>
      </c>
      <c r="H73" s="8">
        <v>30</v>
      </c>
      <c r="I73" s="8">
        <v>0</v>
      </c>
      <c r="J73" s="8">
        <v>4</v>
      </c>
      <c r="K73" s="8">
        <v>0</v>
      </c>
      <c r="L73" s="8">
        <v>3</v>
      </c>
      <c r="M73" s="8">
        <v>5</v>
      </c>
      <c r="N73" s="8">
        <v>0</v>
      </c>
      <c r="O73" s="8">
        <v>1</v>
      </c>
      <c r="P73" s="8">
        <f t="shared" si="1"/>
        <v>8</v>
      </c>
      <c r="Q73" s="10">
        <f t="shared" si="2"/>
        <v>3</v>
      </c>
      <c r="R73" s="11">
        <v>8.9</v>
      </c>
      <c r="S73" s="15">
        <v>1.1000000000000001</v>
      </c>
      <c r="T73" s="13">
        <v>1</v>
      </c>
      <c r="U73" s="8">
        <v>1</v>
      </c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</row>
    <row r="74" spans="1:38" ht="15.75" customHeight="1" x14ac:dyDescent="0.35">
      <c r="A74" s="42"/>
      <c r="B74" s="8">
        <v>73</v>
      </c>
      <c r="C74" s="9" t="s">
        <v>172</v>
      </c>
      <c r="D74" s="7" t="s">
        <v>54</v>
      </c>
      <c r="E74" s="7">
        <v>9</v>
      </c>
      <c r="F74" s="7">
        <f t="shared" si="0"/>
        <v>61</v>
      </c>
      <c r="G74" s="8">
        <v>15</v>
      </c>
      <c r="H74" s="8">
        <v>1</v>
      </c>
      <c r="I74" s="8">
        <v>1</v>
      </c>
      <c r="J74" s="8">
        <v>4</v>
      </c>
      <c r="K74" s="8">
        <v>0</v>
      </c>
      <c r="L74" s="8">
        <v>5</v>
      </c>
      <c r="M74" s="8">
        <v>17</v>
      </c>
      <c r="N74" s="8">
        <v>0</v>
      </c>
      <c r="O74" s="8">
        <v>0</v>
      </c>
      <c r="P74" s="8">
        <f t="shared" si="1"/>
        <v>22</v>
      </c>
      <c r="Q74" s="10">
        <f t="shared" si="2"/>
        <v>5</v>
      </c>
      <c r="R74" s="11">
        <v>16.3</v>
      </c>
      <c r="S74" s="15">
        <v>16.2</v>
      </c>
      <c r="T74" s="13">
        <v>2</v>
      </c>
      <c r="U74" s="8">
        <v>1</v>
      </c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</row>
    <row r="75" spans="1:38" ht="15.75" customHeight="1" x14ac:dyDescent="0.35">
      <c r="A75" s="42"/>
      <c r="B75" s="8">
        <v>74</v>
      </c>
      <c r="C75" s="9" t="s">
        <v>173</v>
      </c>
      <c r="D75" s="20" t="s">
        <v>107</v>
      </c>
      <c r="E75" s="7">
        <v>3</v>
      </c>
      <c r="F75" s="7">
        <f t="shared" si="0"/>
        <v>0</v>
      </c>
      <c r="G75" s="8">
        <v>39</v>
      </c>
      <c r="H75" s="8">
        <v>0</v>
      </c>
      <c r="I75" s="8">
        <v>40</v>
      </c>
      <c r="J75" s="8">
        <v>5</v>
      </c>
      <c r="K75" s="8">
        <v>0</v>
      </c>
      <c r="L75" s="8">
        <v>14</v>
      </c>
      <c r="M75" s="8">
        <v>7</v>
      </c>
      <c r="N75" s="8">
        <v>1</v>
      </c>
      <c r="O75" s="8">
        <v>0</v>
      </c>
      <c r="P75" s="8">
        <f t="shared" si="1"/>
        <v>21</v>
      </c>
      <c r="Q75" s="10">
        <f t="shared" si="2"/>
        <v>14</v>
      </c>
      <c r="R75" s="11">
        <v>18.8</v>
      </c>
      <c r="S75" s="16">
        <v>391</v>
      </c>
      <c r="T75" s="13">
        <v>1</v>
      </c>
      <c r="U75" s="8">
        <v>3</v>
      </c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</row>
    <row r="76" spans="1:38" ht="15.75" customHeight="1" x14ac:dyDescent="0.35">
      <c r="A76" s="42"/>
      <c r="B76" s="8">
        <v>75</v>
      </c>
      <c r="C76" s="9" t="s">
        <v>174</v>
      </c>
      <c r="D76" s="20" t="s">
        <v>107</v>
      </c>
      <c r="E76" s="7">
        <v>3</v>
      </c>
      <c r="F76" s="7">
        <f t="shared" si="0"/>
        <v>0</v>
      </c>
      <c r="G76" s="8">
        <v>45</v>
      </c>
      <c r="H76" s="8">
        <v>0</v>
      </c>
      <c r="I76" s="8">
        <v>40</v>
      </c>
      <c r="J76" s="8">
        <v>5</v>
      </c>
      <c r="K76" s="8">
        <v>0</v>
      </c>
      <c r="L76" s="8">
        <v>5</v>
      </c>
      <c r="M76" s="8">
        <v>10</v>
      </c>
      <c r="N76" s="8">
        <v>1</v>
      </c>
      <c r="O76" s="8">
        <v>0</v>
      </c>
      <c r="P76" s="8">
        <f t="shared" si="1"/>
        <v>15</v>
      </c>
      <c r="Q76" s="10">
        <f t="shared" si="2"/>
        <v>5</v>
      </c>
      <c r="R76" s="11">
        <v>20.5</v>
      </c>
      <c r="S76" s="18">
        <v>95.8</v>
      </c>
      <c r="T76" s="13">
        <v>1</v>
      </c>
      <c r="U76" s="8">
        <v>2</v>
      </c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</row>
    <row r="77" spans="1:38" ht="15.75" customHeight="1" x14ac:dyDescent="0.35">
      <c r="A77" s="42"/>
      <c r="B77" s="8">
        <v>76</v>
      </c>
      <c r="C77" s="9" t="s">
        <v>175</v>
      </c>
      <c r="D77" s="7" t="s">
        <v>54</v>
      </c>
      <c r="E77" s="7">
        <v>9</v>
      </c>
      <c r="F77" s="7">
        <f t="shared" si="0"/>
        <v>54</v>
      </c>
      <c r="G77" s="8">
        <v>30</v>
      </c>
      <c r="H77" s="8">
        <v>0</v>
      </c>
      <c r="I77" s="8">
        <v>5</v>
      </c>
      <c r="J77" s="8">
        <v>4</v>
      </c>
      <c r="K77" s="8">
        <v>0</v>
      </c>
      <c r="L77" s="8">
        <v>5</v>
      </c>
      <c r="M77" s="8">
        <v>6</v>
      </c>
      <c r="N77" s="8">
        <v>0</v>
      </c>
      <c r="O77" s="8">
        <v>0</v>
      </c>
      <c r="P77" s="8">
        <f t="shared" si="1"/>
        <v>11</v>
      </c>
      <c r="Q77" s="10">
        <f t="shared" si="2"/>
        <v>5</v>
      </c>
      <c r="R77" s="11">
        <v>12.3</v>
      </c>
      <c r="S77" s="15">
        <v>2.2000000000000002</v>
      </c>
      <c r="T77" s="13">
        <v>2</v>
      </c>
      <c r="U77" s="8">
        <v>1</v>
      </c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</row>
    <row r="78" spans="1:38" ht="15.75" customHeight="1" x14ac:dyDescent="0.35">
      <c r="A78" s="42"/>
      <c r="B78" s="8">
        <v>77</v>
      </c>
      <c r="C78" s="9" t="s">
        <v>176</v>
      </c>
      <c r="D78" s="7" t="s">
        <v>54</v>
      </c>
      <c r="E78" s="7">
        <v>9</v>
      </c>
      <c r="F78" s="7">
        <f t="shared" si="0"/>
        <v>81</v>
      </c>
      <c r="G78" s="8">
        <v>9</v>
      </c>
      <c r="H78" s="8">
        <v>0</v>
      </c>
      <c r="I78" s="8">
        <v>0</v>
      </c>
      <c r="J78" s="8">
        <v>4</v>
      </c>
      <c r="K78" s="8">
        <v>0</v>
      </c>
      <c r="L78" s="8">
        <v>5</v>
      </c>
      <c r="M78" s="8">
        <v>5</v>
      </c>
      <c r="N78" s="8">
        <v>0</v>
      </c>
      <c r="O78" s="8">
        <v>1</v>
      </c>
      <c r="P78" s="8">
        <f t="shared" si="1"/>
        <v>10</v>
      </c>
      <c r="Q78" s="10">
        <f t="shared" si="2"/>
        <v>5</v>
      </c>
      <c r="R78" s="11">
        <v>10.8</v>
      </c>
      <c r="S78" s="15">
        <v>1.38</v>
      </c>
      <c r="T78" s="13">
        <v>2</v>
      </c>
      <c r="U78" s="8">
        <v>1</v>
      </c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</row>
    <row r="79" spans="1:38" ht="15.75" customHeight="1" x14ac:dyDescent="0.35">
      <c r="A79" s="42"/>
      <c r="B79" s="8">
        <v>78</v>
      </c>
      <c r="C79" s="9" t="s">
        <v>177</v>
      </c>
      <c r="D79" s="7" t="s">
        <v>45</v>
      </c>
      <c r="E79" s="7">
        <v>9</v>
      </c>
      <c r="F79" s="7">
        <f t="shared" si="0"/>
        <v>59</v>
      </c>
      <c r="G79" s="8">
        <v>30</v>
      </c>
      <c r="H79" s="8">
        <v>3</v>
      </c>
      <c r="I79" s="8">
        <v>3</v>
      </c>
      <c r="J79" s="8">
        <v>4</v>
      </c>
      <c r="K79" s="8">
        <v>0</v>
      </c>
      <c r="L79" s="8">
        <v>1</v>
      </c>
      <c r="M79" s="8">
        <v>4</v>
      </c>
      <c r="N79" s="8">
        <v>0</v>
      </c>
      <c r="O79" s="8">
        <v>0</v>
      </c>
      <c r="P79" s="8">
        <f t="shared" si="1"/>
        <v>5</v>
      </c>
      <c r="Q79" s="10">
        <f t="shared" si="2"/>
        <v>1</v>
      </c>
      <c r="R79" s="11">
        <v>16.3</v>
      </c>
      <c r="S79" s="15">
        <v>21.26</v>
      </c>
      <c r="T79" s="13">
        <v>2</v>
      </c>
      <c r="U79" s="8">
        <v>1</v>
      </c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</row>
    <row r="80" spans="1:38" ht="15.75" customHeight="1" x14ac:dyDescent="0.35">
      <c r="A80" s="42"/>
      <c r="B80" s="8">
        <v>79</v>
      </c>
      <c r="C80" s="9" t="s">
        <v>178</v>
      </c>
      <c r="D80" s="7" t="s">
        <v>38</v>
      </c>
      <c r="E80" s="7">
        <v>1</v>
      </c>
      <c r="F80" s="7">
        <f t="shared" si="0"/>
        <v>26</v>
      </c>
      <c r="G80" s="8">
        <v>24</v>
      </c>
      <c r="H80" s="8">
        <v>2</v>
      </c>
      <c r="I80" s="8">
        <v>19</v>
      </c>
      <c r="J80" s="8">
        <v>4</v>
      </c>
      <c r="K80" s="8">
        <v>0</v>
      </c>
      <c r="L80" s="8">
        <v>8</v>
      </c>
      <c r="M80" s="8">
        <v>21</v>
      </c>
      <c r="N80" s="8">
        <v>1</v>
      </c>
      <c r="O80" s="8">
        <v>1</v>
      </c>
      <c r="P80" s="8">
        <f t="shared" si="1"/>
        <v>29</v>
      </c>
      <c r="Q80" s="10">
        <f t="shared" si="2"/>
        <v>8</v>
      </c>
      <c r="R80" s="11">
        <v>18</v>
      </c>
      <c r="S80" s="12">
        <v>1170</v>
      </c>
      <c r="T80" s="13">
        <v>1</v>
      </c>
      <c r="U80" s="8">
        <v>5</v>
      </c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</row>
    <row r="81" spans="1:38" ht="15.75" customHeight="1" x14ac:dyDescent="0.35">
      <c r="A81" s="42"/>
      <c r="B81" s="8">
        <v>80</v>
      </c>
      <c r="C81" s="9" t="s">
        <v>179</v>
      </c>
      <c r="D81" s="7" t="s">
        <v>79</v>
      </c>
      <c r="E81" s="7">
        <v>6</v>
      </c>
      <c r="F81" s="7">
        <f t="shared" si="0"/>
        <v>47</v>
      </c>
      <c r="G81" s="8">
        <v>42</v>
      </c>
      <c r="H81" s="8">
        <v>0</v>
      </c>
      <c r="I81" s="8">
        <v>2</v>
      </c>
      <c r="J81" s="8">
        <v>4</v>
      </c>
      <c r="K81" s="8">
        <v>0</v>
      </c>
      <c r="L81" s="8">
        <v>3</v>
      </c>
      <c r="M81" s="8">
        <v>6</v>
      </c>
      <c r="N81" s="8">
        <v>0</v>
      </c>
      <c r="O81" s="8">
        <v>0</v>
      </c>
      <c r="P81" s="8">
        <f t="shared" si="1"/>
        <v>9</v>
      </c>
      <c r="Q81" s="10">
        <f t="shared" si="2"/>
        <v>3</v>
      </c>
      <c r="R81" s="11">
        <v>12.1</v>
      </c>
      <c r="S81" s="15">
        <v>1.03</v>
      </c>
      <c r="T81" s="13">
        <v>1</v>
      </c>
      <c r="U81" s="8">
        <v>1</v>
      </c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</row>
    <row r="82" spans="1:38" ht="15.75" customHeight="1" x14ac:dyDescent="0.35">
      <c r="A82" s="42"/>
      <c r="B82" s="8">
        <v>81</v>
      </c>
      <c r="C82" s="9" t="s">
        <v>180</v>
      </c>
      <c r="D82" s="7" t="s">
        <v>79</v>
      </c>
      <c r="E82" s="7">
        <v>6</v>
      </c>
      <c r="F82" s="7">
        <f t="shared" si="0"/>
        <v>22</v>
      </c>
      <c r="G82" s="8">
        <v>52</v>
      </c>
      <c r="H82" s="8">
        <v>1</v>
      </c>
      <c r="I82" s="8">
        <v>12</v>
      </c>
      <c r="J82" s="8">
        <v>4</v>
      </c>
      <c r="K82" s="8">
        <v>0</v>
      </c>
      <c r="L82" s="8">
        <v>4</v>
      </c>
      <c r="M82" s="8">
        <v>9</v>
      </c>
      <c r="N82" s="8">
        <v>0</v>
      </c>
      <c r="O82" s="8">
        <v>1</v>
      </c>
      <c r="P82" s="8">
        <f t="shared" si="1"/>
        <v>13</v>
      </c>
      <c r="Q82" s="10">
        <f t="shared" si="2"/>
        <v>4</v>
      </c>
      <c r="R82" s="11">
        <v>12.8</v>
      </c>
      <c r="S82" s="15">
        <v>5.72</v>
      </c>
      <c r="T82" s="13">
        <v>1</v>
      </c>
      <c r="U82" s="8">
        <v>1</v>
      </c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</row>
    <row r="83" spans="1:38" ht="15.75" customHeight="1" x14ac:dyDescent="0.35">
      <c r="A83" s="42"/>
      <c r="B83" s="8">
        <v>82</v>
      </c>
      <c r="C83" s="9" t="s">
        <v>181</v>
      </c>
      <c r="D83" s="7" t="s">
        <v>54</v>
      </c>
      <c r="E83" s="7">
        <v>9</v>
      </c>
      <c r="F83" s="7">
        <f t="shared" si="0"/>
        <v>67</v>
      </c>
      <c r="G83" s="8">
        <v>8</v>
      </c>
      <c r="H83" s="8">
        <v>0</v>
      </c>
      <c r="I83" s="8">
        <v>1</v>
      </c>
      <c r="J83" s="8">
        <v>4</v>
      </c>
      <c r="K83" s="8">
        <v>0</v>
      </c>
      <c r="L83" s="8">
        <v>7</v>
      </c>
      <c r="M83" s="8">
        <v>17</v>
      </c>
      <c r="N83" s="8">
        <v>1</v>
      </c>
      <c r="O83" s="8">
        <v>1</v>
      </c>
      <c r="P83" s="8">
        <f t="shared" si="1"/>
        <v>24</v>
      </c>
      <c r="Q83" s="10">
        <f t="shared" si="2"/>
        <v>7</v>
      </c>
      <c r="R83" s="11">
        <v>20</v>
      </c>
      <c r="S83" s="16">
        <v>488</v>
      </c>
      <c r="T83" s="13">
        <v>1</v>
      </c>
      <c r="U83" s="8">
        <v>3</v>
      </c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</row>
    <row r="84" spans="1:38" ht="15.75" customHeight="1" x14ac:dyDescent="0.35">
      <c r="A84" s="42"/>
      <c r="B84" s="8">
        <v>83</v>
      </c>
      <c r="C84" s="9" t="s">
        <v>182</v>
      </c>
      <c r="D84" s="7" t="s">
        <v>45</v>
      </c>
      <c r="E84" s="7">
        <v>9</v>
      </c>
      <c r="F84" s="7">
        <f t="shared" si="0"/>
        <v>61</v>
      </c>
      <c r="G84" s="8">
        <v>17</v>
      </c>
      <c r="H84" s="8">
        <v>2</v>
      </c>
      <c r="I84" s="8">
        <v>2</v>
      </c>
      <c r="J84" s="8">
        <v>4</v>
      </c>
      <c r="K84" s="8">
        <v>0</v>
      </c>
      <c r="L84" s="8">
        <v>5</v>
      </c>
      <c r="M84" s="8">
        <v>13</v>
      </c>
      <c r="N84" s="8">
        <v>0</v>
      </c>
      <c r="O84" s="8">
        <v>1</v>
      </c>
      <c r="P84" s="8">
        <f t="shared" si="1"/>
        <v>18</v>
      </c>
      <c r="Q84" s="10">
        <f t="shared" si="2"/>
        <v>5</v>
      </c>
      <c r="R84" s="11">
        <v>18.2</v>
      </c>
      <c r="S84" s="18">
        <v>81.2</v>
      </c>
      <c r="T84" s="13">
        <v>2</v>
      </c>
      <c r="U84" s="8">
        <v>2</v>
      </c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</row>
    <row r="85" spans="1:38" ht="15.75" customHeight="1" x14ac:dyDescent="0.35">
      <c r="A85" s="42"/>
      <c r="B85" s="8">
        <v>84</v>
      </c>
      <c r="C85" s="9" t="s">
        <v>183</v>
      </c>
      <c r="D85" s="7" t="s">
        <v>54</v>
      </c>
      <c r="E85" s="7">
        <v>8</v>
      </c>
      <c r="F85" s="7">
        <f t="shared" si="0"/>
        <v>64</v>
      </c>
      <c r="G85" s="8">
        <v>5</v>
      </c>
      <c r="H85" s="8">
        <v>0</v>
      </c>
      <c r="I85" s="8">
        <v>1</v>
      </c>
      <c r="J85" s="8">
        <v>4</v>
      </c>
      <c r="K85" s="8">
        <v>0</v>
      </c>
      <c r="L85" s="8">
        <v>9</v>
      </c>
      <c r="M85" s="8">
        <v>21</v>
      </c>
      <c r="N85" s="8">
        <v>0</v>
      </c>
      <c r="O85" s="8">
        <v>1</v>
      </c>
      <c r="P85" s="8">
        <f t="shared" si="1"/>
        <v>30</v>
      </c>
      <c r="Q85" s="10">
        <f t="shared" si="2"/>
        <v>9</v>
      </c>
      <c r="R85" s="11">
        <v>20.5</v>
      </c>
      <c r="S85" s="16">
        <v>463</v>
      </c>
      <c r="T85" s="13">
        <v>2</v>
      </c>
      <c r="U85" s="8">
        <v>3</v>
      </c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</row>
    <row r="86" spans="1:38" ht="15.75" customHeight="1" x14ac:dyDescent="0.35">
      <c r="A86" s="42"/>
      <c r="B86" s="8">
        <v>85</v>
      </c>
      <c r="C86" s="9" t="s">
        <v>184</v>
      </c>
      <c r="D86" s="7" t="s">
        <v>54</v>
      </c>
      <c r="E86" s="7">
        <v>9</v>
      </c>
      <c r="F86" s="7">
        <f t="shared" si="0"/>
        <v>54</v>
      </c>
      <c r="G86" s="8">
        <v>8</v>
      </c>
      <c r="H86" s="8">
        <v>0</v>
      </c>
      <c r="I86" s="8">
        <v>2</v>
      </c>
      <c r="J86" s="8">
        <v>4</v>
      </c>
      <c r="K86" s="8">
        <v>0</v>
      </c>
      <c r="L86" s="8">
        <v>10</v>
      </c>
      <c r="M86" s="8">
        <v>26</v>
      </c>
      <c r="N86" s="8">
        <v>0</v>
      </c>
      <c r="O86" s="8">
        <v>1</v>
      </c>
      <c r="P86" s="8">
        <f t="shared" si="1"/>
        <v>36</v>
      </c>
      <c r="Q86" s="10">
        <f t="shared" si="2"/>
        <v>10</v>
      </c>
      <c r="R86" s="11">
        <v>19.8</v>
      </c>
      <c r="S86" s="16">
        <v>361</v>
      </c>
      <c r="T86" s="13">
        <v>2</v>
      </c>
      <c r="U86" s="8">
        <v>3</v>
      </c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</row>
    <row r="87" spans="1:38" ht="15.75" customHeight="1" x14ac:dyDescent="0.35">
      <c r="A87" s="42"/>
      <c r="B87" s="8">
        <v>86</v>
      </c>
      <c r="C87" s="9" t="s">
        <v>185</v>
      </c>
      <c r="D87" s="7" t="s">
        <v>27</v>
      </c>
      <c r="E87" s="7">
        <v>2</v>
      </c>
      <c r="F87" s="7">
        <f t="shared" si="0"/>
        <v>37</v>
      </c>
      <c r="G87" s="8">
        <v>53</v>
      </c>
      <c r="H87" s="8">
        <v>3</v>
      </c>
      <c r="I87" s="8">
        <v>1</v>
      </c>
      <c r="J87" s="8">
        <v>4</v>
      </c>
      <c r="K87" s="8">
        <v>0</v>
      </c>
      <c r="L87" s="8">
        <v>6</v>
      </c>
      <c r="M87" s="8">
        <v>0</v>
      </c>
      <c r="N87" s="8">
        <v>0</v>
      </c>
      <c r="O87" s="8">
        <v>0</v>
      </c>
      <c r="P87" s="8">
        <f t="shared" si="1"/>
        <v>6</v>
      </c>
      <c r="Q87" s="10">
        <f t="shared" si="2"/>
        <v>6</v>
      </c>
      <c r="R87" s="11">
        <v>13.2</v>
      </c>
      <c r="S87" s="15">
        <v>0.27300000000000002</v>
      </c>
      <c r="T87" s="13">
        <v>1</v>
      </c>
      <c r="U87" s="8">
        <v>1</v>
      </c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</row>
    <row r="88" spans="1:38" ht="15.75" customHeight="1" x14ac:dyDescent="0.35">
      <c r="A88" s="42"/>
      <c r="B88" s="8">
        <v>87</v>
      </c>
      <c r="C88" s="9" t="s">
        <v>186</v>
      </c>
      <c r="D88" s="7" t="s">
        <v>54</v>
      </c>
      <c r="E88" s="7">
        <v>9</v>
      </c>
      <c r="F88" s="7">
        <f t="shared" si="0"/>
        <v>50</v>
      </c>
      <c r="G88" s="8">
        <v>29</v>
      </c>
      <c r="H88" s="8">
        <v>0</v>
      </c>
      <c r="I88" s="8">
        <v>10</v>
      </c>
      <c r="J88" s="8">
        <v>4</v>
      </c>
      <c r="K88" s="8">
        <v>1</v>
      </c>
      <c r="L88" s="8">
        <v>3</v>
      </c>
      <c r="M88" s="8">
        <v>8</v>
      </c>
      <c r="N88" s="8">
        <v>0</v>
      </c>
      <c r="O88" s="8">
        <v>0</v>
      </c>
      <c r="P88" s="8">
        <f t="shared" si="1"/>
        <v>11</v>
      </c>
      <c r="Q88" s="10">
        <f t="shared" si="2"/>
        <v>3</v>
      </c>
      <c r="R88" s="11">
        <v>9.1999999999999993</v>
      </c>
      <c r="S88" s="15">
        <v>0.39400000000000002</v>
      </c>
      <c r="T88" s="13">
        <v>2</v>
      </c>
      <c r="U88" s="8">
        <v>1</v>
      </c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</row>
    <row r="89" spans="1:38" ht="15.75" customHeight="1" x14ac:dyDescent="0.35">
      <c r="A89" s="42"/>
      <c r="B89" s="8">
        <v>88</v>
      </c>
      <c r="C89" s="9" t="s">
        <v>187</v>
      </c>
      <c r="D89" s="7" t="s">
        <v>38</v>
      </c>
      <c r="E89" s="7">
        <v>1</v>
      </c>
      <c r="F89" s="7">
        <f t="shared" si="0"/>
        <v>77</v>
      </c>
      <c r="G89" s="8">
        <v>10</v>
      </c>
      <c r="H89" s="8">
        <v>0</v>
      </c>
      <c r="I89" s="8">
        <v>8</v>
      </c>
      <c r="J89" s="8">
        <v>4</v>
      </c>
      <c r="K89" s="8">
        <v>0</v>
      </c>
      <c r="L89" s="8">
        <v>3</v>
      </c>
      <c r="M89" s="8">
        <v>2</v>
      </c>
      <c r="N89" s="8">
        <v>0</v>
      </c>
      <c r="O89" s="8">
        <v>0</v>
      </c>
      <c r="P89" s="8">
        <f t="shared" si="1"/>
        <v>5</v>
      </c>
      <c r="Q89" s="10">
        <f t="shared" si="2"/>
        <v>3</v>
      </c>
      <c r="R89" s="11">
        <v>2.8</v>
      </c>
      <c r="S89" s="15">
        <v>1E-3</v>
      </c>
      <c r="T89" s="13">
        <v>1</v>
      </c>
      <c r="U89" s="8">
        <v>1</v>
      </c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</row>
    <row r="90" spans="1:38" ht="15.75" customHeight="1" x14ac:dyDescent="0.35">
      <c r="A90" s="42"/>
      <c r="B90" s="8">
        <v>89</v>
      </c>
      <c r="C90" s="9" t="s">
        <v>188</v>
      </c>
      <c r="D90" s="7" t="s">
        <v>45</v>
      </c>
      <c r="E90" s="7">
        <v>9</v>
      </c>
      <c r="F90" s="7">
        <f t="shared" si="0"/>
        <v>34</v>
      </c>
      <c r="G90" s="8">
        <v>39</v>
      </c>
      <c r="H90" s="8">
        <v>6</v>
      </c>
      <c r="I90" s="8">
        <v>0</v>
      </c>
      <c r="J90" s="8">
        <v>4</v>
      </c>
      <c r="K90" s="8">
        <v>0</v>
      </c>
      <c r="L90" s="8">
        <v>2</v>
      </c>
      <c r="M90" s="8">
        <v>19</v>
      </c>
      <c r="N90" s="8">
        <v>0</v>
      </c>
      <c r="O90" s="8">
        <v>0</v>
      </c>
      <c r="P90" s="8">
        <f t="shared" si="1"/>
        <v>21</v>
      </c>
      <c r="Q90" s="10">
        <f t="shared" si="2"/>
        <v>2</v>
      </c>
      <c r="R90" s="11">
        <v>18</v>
      </c>
      <c r="S90" s="15">
        <v>41</v>
      </c>
      <c r="T90" s="8">
        <v>2</v>
      </c>
      <c r="U90" s="8">
        <v>1</v>
      </c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</row>
    <row r="91" spans="1:38" ht="15.75" customHeight="1" x14ac:dyDescent="0.35">
      <c r="A91" s="42"/>
      <c r="B91" s="8">
        <v>90</v>
      </c>
      <c r="C91" s="9" t="s">
        <v>189</v>
      </c>
      <c r="D91" s="7" t="s">
        <v>45</v>
      </c>
      <c r="E91" s="7">
        <v>9</v>
      </c>
      <c r="F91" s="7">
        <f t="shared" si="0"/>
        <v>38</v>
      </c>
      <c r="G91" s="8">
        <v>35</v>
      </c>
      <c r="H91" s="8">
        <v>1</v>
      </c>
      <c r="I91" s="8">
        <v>7</v>
      </c>
      <c r="J91" s="8">
        <v>4</v>
      </c>
      <c r="K91" s="8">
        <v>0</v>
      </c>
      <c r="L91" s="8">
        <v>4</v>
      </c>
      <c r="M91" s="8">
        <v>15</v>
      </c>
      <c r="N91" s="8">
        <v>0</v>
      </c>
      <c r="O91" s="8">
        <v>1</v>
      </c>
      <c r="P91" s="8">
        <f t="shared" si="1"/>
        <v>19</v>
      </c>
      <c r="Q91" s="10">
        <f t="shared" si="2"/>
        <v>4</v>
      </c>
      <c r="R91" s="11">
        <v>16</v>
      </c>
      <c r="S91" s="15">
        <v>27.1</v>
      </c>
      <c r="T91" s="8">
        <v>2</v>
      </c>
      <c r="U91" s="8">
        <v>1</v>
      </c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</row>
    <row r="92" spans="1:38" ht="15.75" customHeight="1" x14ac:dyDescent="0.35">
      <c r="A92" s="42"/>
      <c r="B92" s="8">
        <v>91</v>
      </c>
      <c r="C92" s="9" t="s">
        <v>190</v>
      </c>
      <c r="D92" s="7" t="s">
        <v>54</v>
      </c>
      <c r="E92" s="8">
        <v>9</v>
      </c>
      <c r="F92" s="7">
        <f t="shared" si="0"/>
        <v>49</v>
      </c>
      <c r="G92" s="8">
        <v>29</v>
      </c>
      <c r="H92" s="8">
        <v>0</v>
      </c>
      <c r="I92" s="8">
        <v>6</v>
      </c>
      <c r="J92" s="8">
        <v>4</v>
      </c>
      <c r="K92" s="8">
        <v>1</v>
      </c>
      <c r="L92" s="8">
        <v>6</v>
      </c>
      <c r="M92" s="8">
        <v>10</v>
      </c>
      <c r="N92" s="8">
        <v>0</v>
      </c>
      <c r="O92" s="8">
        <v>0</v>
      </c>
      <c r="P92" s="8">
        <f t="shared" si="1"/>
        <v>16</v>
      </c>
      <c r="Q92" s="10">
        <f t="shared" si="2"/>
        <v>6</v>
      </c>
      <c r="R92" s="11">
        <v>8.6999999999999993</v>
      </c>
      <c r="S92" s="15">
        <v>0.17399999999999999</v>
      </c>
      <c r="T92" s="8">
        <v>2</v>
      </c>
      <c r="U92" s="8">
        <v>1</v>
      </c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</row>
    <row r="93" spans="1:38" ht="15.75" customHeight="1" x14ac:dyDescent="0.35">
      <c r="A93" s="42"/>
      <c r="B93" s="8">
        <v>92</v>
      </c>
      <c r="C93" s="9" t="s">
        <v>191</v>
      </c>
      <c r="D93" s="7" t="s">
        <v>54</v>
      </c>
      <c r="E93" s="8">
        <v>9</v>
      </c>
      <c r="F93" s="7">
        <f t="shared" si="0"/>
        <v>53</v>
      </c>
      <c r="G93" s="8">
        <v>34</v>
      </c>
      <c r="H93" s="8">
        <v>0</v>
      </c>
      <c r="I93" s="8">
        <v>0</v>
      </c>
      <c r="J93" s="8">
        <v>4</v>
      </c>
      <c r="K93" s="8">
        <v>0</v>
      </c>
      <c r="L93" s="8">
        <v>10</v>
      </c>
      <c r="M93" s="8">
        <v>3</v>
      </c>
      <c r="N93" s="8">
        <v>0</v>
      </c>
      <c r="O93" s="8">
        <v>0</v>
      </c>
      <c r="P93" s="8">
        <f t="shared" si="1"/>
        <v>13</v>
      </c>
      <c r="Q93" s="10">
        <f t="shared" si="2"/>
        <v>10</v>
      </c>
      <c r="R93" s="11">
        <v>10</v>
      </c>
      <c r="S93" s="15">
        <v>0.53700000000000003</v>
      </c>
      <c r="T93" s="8">
        <v>2</v>
      </c>
      <c r="U93" s="8">
        <v>1</v>
      </c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</row>
    <row r="94" spans="1:38" ht="15.75" customHeight="1" x14ac:dyDescent="0.35">
      <c r="A94" s="42"/>
      <c r="B94" s="8">
        <v>93</v>
      </c>
      <c r="C94" s="9" t="s">
        <v>192</v>
      </c>
      <c r="D94" s="7" t="s">
        <v>38</v>
      </c>
      <c r="E94" s="8">
        <v>1</v>
      </c>
      <c r="F94" s="7">
        <f t="shared" si="0"/>
        <v>71</v>
      </c>
      <c r="G94" s="8">
        <v>16</v>
      </c>
      <c r="H94" s="8">
        <v>1</v>
      </c>
      <c r="I94" s="8">
        <v>1</v>
      </c>
      <c r="J94" s="8">
        <v>4</v>
      </c>
      <c r="K94" s="8">
        <v>0</v>
      </c>
      <c r="L94" s="8">
        <v>7</v>
      </c>
      <c r="M94" s="8">
        <v>4</v>
      </c>
      <c r="N94" s="8">
        <v>0</v>
      </c>
      <c r="O94" s="8">
        <v>0</v>
      </c>
      <c r="P94" s="8">
        <f t="shared" si="1"/>
        <v>11</v>
      </c>
      <c r="Q94" s="10">
        <f t="shared" si="2"/>
        <v>7</v>
      </c>
      <c r="R94" s="11">
        <v>19</v>
      </c>
      <c r="S94" s="18">
        <v>74.8</v>
      </c>
      <c r="T94" s="8">
        <v>1</v>
      </c>
      <c r="U94" s="8">
        <v>2</v>
      </c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</row>
    <row r="95" spans="1:38" ht="15.75" customHeight="1" x14ac:dyDescent="0.35">
      <c r="A95" s="42"/>
      <c r="B95" s="8">
        <v>94</v>
      </c>
      <c r="C95" s="9" t="s">
        <v>193</v>
      </c>
      <c r="D95" s="7" t="s">
        <v>38</v>
      </c>
      <c r="E95" s="8">
        <v>1</v>
      </c>
      <c r="F95" s="7">
        <f t="shared" si="0"/>
        <v>52</v>
      </c>
      <c r="G95" s="8">
        <v>0</v>
      </c>
      <c r="H95" s="8">
        <v>0</v>
      </c>
      <c r="I95" s="8">
        <v>42</v>
      </c>
      <c r="J95" s="8">
        <v>4</v>
      </c>
      <c r="K95" s="8">
        <v>1</v>
      </c>
      <c r="L95" s="8">
        <v>3</v>
      </c>
      <c r="M95" s="8">
        <v>3</v>
      </c>
      <c r="N95" s="8">
        <v>0</v>
      </c>
      <c r="O95" s="8">
        <v>0</v>
      </c>
      <c r="P95" s="8">
        <f t="shared" si="1"/>
        <v>6</v>
      </c>
      <c r="Q95" s="10">
        <f t="shared" si="2"/>
        <v>3</v>
      </c>
      <c r="R95" s="11">
        <v>5.9</v>
      </c>
      <c r="S95" s="15">
        <v>0.66400000000000003</v>
      </c>
      <c r="T95" s="8">
        <v>1</v>
      </c>
      <c r="U95" s="8">
        <v>1</v>
      </c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</row>
    <row r="96" spans="1:38" ht="15.75" customHeight="1" x14ac:dyDescent="0.35">
      <c r="A96" s="42"/>
      <c r="B96" s="8">
        <v>95</v>
      </c>
      <c r="C96" s="9" t="s">
        <v>194</v>
      </c>
      <c r="D96" s="7" t="s">
        <v>45</v>
      </c>
      <c r="E96" s="8">
        <v>9</v>
      </c>
      <c r="F96" s="7">
        <f t="shared" si="0"/>
        <v>53</v>
      </c>
      <c r="G96" s="8">
        <v>26</v>
      </c>
      <c r="H96" s="8">
        <v>1</v>
      </c>
      <c r="I96" s="8">
        <v>3</v>
      </c>
      <c r="J96" s="8">
        <v>4</v>
      </c>
      <c r="K96" s="8">
        <v>0</v>
      </c>
      <c r="L96" s="8">
        <v>8</v>
      </c>
      <c r="M96" s="8">
        <v>9</v>
      </c>
      <c r="N96" s="8">
        <v>0</v>
      </c>
      <c r="O96" s="8">
        <v>1</v>
      </c>
      <c r="P96" s="8">
        <f t="shared" si="1"/>
        <v>17</v>
      </c>
      <c r="Q96" s="10">
        <f t="shared" si="2"/>
        <v>8</v>
      </c>
      <c r="R96" s="11">
        <v>19</v>
      </c>
      <c r="S96" s="18">
        <v>56</v>
      </c>
      <c r="T96" s="8">
        <v>2</v>
      </c>
      <c r="U96" s="8">
        <v>2</v>
      </c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</row>
    <row r="97" spans="1:38" ht="15.75" customHeight="1" x14ac:dyDescent="0.35">
      <c r="A97" s="42"/>
      <c r="B97" s="8">
        <v>96</v>
      </c>
      <c r="C97" s="9" t="s">
        <v>195</v>
      </c>
      <c r="D97" s="7" t="s">
        <v>45</v>
      </c>
      <c r="E97" s="8">
        <v>9</v>
      </c>
      <c r="F97" s="7">
        <f t="shared" si="0"/>
        <v>64</v>
      </c>
      <c r="G97" s="8">
        <v>24</v>
      </c>
      <c r="H97" s="8">
        <v>1</v>
      </c>
      <c r="I97" s="8">
        <v>0</v>
      </c>
      <c r="J97" s="8">
        <v>4</v>
      </c>
      <c r="K97" s="8">
        <v>0</v>
      </c>
      <c r="L97" s="8">
        <v>6</v>
      </c>
      <c r="M97" s="8">
        <v>5</v>
      </c>
      <c r="N97" s="8">
        <v>1</v>
      </c>
      <c r="O97" s="8">
        <v>0</v>
      </c>
      <c r="P97" s="8">
        <f t="shared" si="1"/>
        <v>11</v>
      </c>
      <c r="Q97" s="10">
        <f t="shared" si="2"/>
        <v>6</v>
      </c>
      <c r="R97" s="11">
        <v>14.9</v>
      </c>
      <c r="S97" s="15">
        <v>21.6</v>
      </c>
      <c r="T97" s="8">
        <v>2</v>
      </c>
      <c r="U97" s="8">
        <v>1</v>
      </c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</row>
    <row r="98" spans="1:38" ht="15.75" customHeight="1" x14ac:dyDescent="0.35">
      <c r="A98" s="42"/>
      <c r="B98" s="8">
        <v>97</v>
      </c>
      <c r="C98" s="9" t="s">
        <v>196</v>
      </c>
      <c r="D98" s="7" t="s">
        <v>38</v>
      </c>
      <c r="E98" s="8">
        <v>1</v>
      </c>
      <c r="F98" s="7">
        <f t="shared" si="0"/>
        <v>30</v>
      </c>
      <c r="G98" s="8">
        <v>20</v>
      </c>
      <c r="H98" s="8">
        <v>0</v>
      </c>
      <c r="I98" s="8">
        <v>42</v>
      </c>
      <c r="J98" s="8">
        <v>4</v>
      </c>
      <c r="K98" s="8">
        <v>0</v>
      </c>
      <c r="L98" s="8">
        <v>7</v>
      </c>
      <c r="M98" s="8">
        <v>1</v>
      </c>
      <c r="N98" s="8">
        <v>0</v>
      </c>
      <c r="O98" s="8">
        <v>0</v>
      </c>
      <c r="P98" s="8">
        <f t="shared" si="1"/>
        <v>8</v>
      </c>
      <c r="Q98" s="10">
        <f t="shared" si="2"/>
        <v>7</v>
      </c>
      <c r="R98" s="11">
        <v>4.4000000000000004</v>
      </c>
      <c r="S98" s="15">
        <v>3.4000000000000002E-2</v>
      </c>
      <c r="T98" s="8">
        <v>1</v>
      </c>
      <c r="U98" s="8">
        <v>1</v>
      </c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</row>
    <row r="99" spans="1:38" ht="15.75" customHeight="1" x14ac:dyDescent="0.35">
      <c r="A99" s="42"/>
      <c r="B99" s="8">
        <v>98</v>
      </c>
      <c r="C99" s="9" t="s">
        <v>197</v>
      </c>
      <c r="D99" s="7" t="s">
        <v>54</v>
      </c>
      <c r="E99" s="8">
        <v>9</v>
      </c>
      <c r="F99" s="7">
        <f t="shared" si="0"/>
        <v>52</v>
      </c>
      <c r="G99" s="8">
        <v>0</v>
      </c>
      <c r="H99" s="8">
        <v>0</v>
      </c>
      <c r="I99" s="8">
        <v>48</v>
      </c>
      <c r="J99" s="8">
        <v>4</v>
      </c>
      <c r="K99" s="8">
        <v>1</v>
      </c>
      <c r="L99" s="8">
        <v>0</v>
      </c>
      <c r="M99" s="8">
        <v>0</v>
      </c>
      <c r="N99" s="8">
        <v>0</v>
      </c>
      <c r="O99" s="8">
        <v>0</v>
      </c>
      <c r="P99" s="8">
        <f t="shared" si="1"/>
        <v>0</v>
      </c>
      <c r="Q99" s="10">
        <f t="shared" si="2"/>
        <v>0</v>
      </c>
      <c r="R99" s="11">
        <v>4.8</v>
      </c>
      <c r="S99" s="15">
        <v>0.78400000000000003</v>
      </c>
      <c r="T99" s="8">
        <v>2</v>
      </c>
      <c r="U99" s="8">
        <v>1</v>
      </c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</row>
    <row r="100" spans="1:38" ht="15.75" customHeight="1" x14ac:dyDescent="0.35">
      <c r="A100" s="42"/>
      <c r="B100" s="8">
        <v>99</v>
      </c>
      <c r="C100" s="9" t="s">
        <v>198</v>
      </c>
      <c r="D100" s="7" t="s">
        <v>123</v>
      </c>
      <c r="E100" s="8">
        <v>9</v>
      </c>
      <c r="F100" s="7">
        <f t="shared" si="0"/>
        <v>51</v>
      </c>
      <c r="G100" s="8">
        <v>18</v>
      </c>
      <c r="H100" s="8">
        <v>0</v>
      </c>
      <c r="I100" s="8">
        <v>13</v>
      </c>
      <c r="J100" s="8">
        <v>4</v>
      </c>
      <c r="K100" s="8">
        <v>0</v>
      </c>
      <c r="L100" s="8">
        <v>10</v>
      </c>
      <c r="M100" s="8">
        <v>8</v>
      </c>
      <c r="N100" s="8">
        <v>1</v>
      </c>
      <c r="O100" s="8">
        <v>0</v>
      </c>
      <c r="P100" s="8">
        <f t="shared" si="1"/>
        <v>18</v>
      </c>
      <c r="Q100" s="10">
        <f t="shared" si="2"/>
        <v>10</v>
      </c>
      <c r="R100" s="11">
        <v>15.2</v>
      </c>
      <c r="S100" s="16">
        <v>119</v>
      </c>
      <c r="T100" s="8">
        <v>2</v>
      </c>
      <c r="U100" s="8">
        <v>3</v>
      </c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</row>
    <row r="101" spans="1:38" ht="15.75" customHeight="1" x14ac:dyDescent="0.35">
      <c r="A101" s="42"/>
      <c r="B101" s="8">
        <v>100</v>
      </c>
      <c r="C101" s="9" t="s">
        <v>199</v>
      </c>
      <c r="D101" s="7" t="s">
        <v>45</v>
      </c>
      <c r="E101" s="8">
        <v>9</v>
      </c>
      <c r="F101" s="7">
        <f t="shared" si="0"/>
        <v>42</v>
      </c>
      <c r="G101" s="8">
        <v>20</v>
      </c>
      <c r="H101" s="8">
        <v>2</v>
      </c>
      <c r="I101" s="8">
        <v>35</v>
      </c>
      <c r="J101" s="8">
        <v>4</v>
      </c>
      <c r="K101" s="8">
        <v>0</v>
      </c>
      <c r="L101" s="8">
        <v>0</v>
      </c>
      <c r="M101" s="8">
        <v>1</v>
      </c>
      <c r="N101" s="8">
        <v>0</v>
      </c>
      <c r="O101" s="8">
        <v>0</v>
      </c>
      <c r="P101" s="8">
        <f t="shared" si="1"/>
        <v>1</v>
      </c>
      <c r="Q101" s="10">
        <f t="shared" si="2"/>
        <v>0</v>
      </c>
      <c r="R101" s="11">
        <v>7.6</v>
      </c>
      <c r="S101" s="15">
        <v>1.21</v>
      </c>
      <c r="T101" s="8">
        <v>2</v>
      </c>
      <c r="U101" s="8">
        <v>1</v>
      </c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</row>
    <row r="102" spans="1:38" ht="15.75" customHeight="1" x14ac:dyDescent="0.35">
      <c r="A102" s="42"/>
      <c r="B102" s="8">
        <v>101</v>
      </c>
      <c r="C102" s="9" t="s">
        <v>200</v>
      </c>
      <c r="D102" s="7" t="s">
        <v>45</v>
      </c>
      <c r="E102" s="8">
        <v>9</v>
      </c>
      <c r="F102" s="7">
        <f t="shared" si="0"/>
        <v>48</v>
      </c>
      <c r="G102" s="8">
        <v>28</v>
      </c>
      <c r="H102" s="8">
        <v>13</v>
      </c>
      <c r="I102" s="8">
        <v>7</v>
      </c>
      <c r="J102" s="8">
        <v>4</v>
      </c>
      <c r="K102" s="8">
        <v>0</v>
      </c>
      <c r="L102" s="8">
        <v>2</v>
      </c>
      <c r="M102" s="8">
        <v>2</v>
      </c>
      <c r="N102" s="8">
        <v>0</v>
      </c>
      <c r="O102" s="8">
        <v>0</v>
      </c>
      <c r="P102" s="8">
        <f t="shared" si="1"/>
        <v>4</v>
      </c>
      <c r="Q102" s="10">
        <f t="shared" si="2"/>
        <v>2</v>
      </c>
      <c r="R102" s="11">
        <v>12</v>
      </c>
      <c r="S102" s="15">
        <v>12.7</v>
      </c>
      <c r="T102" s="8">
        <v>2</v>
      </c>
      <c r="U102" s="8">
        <v>1</v>
      </c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</row>
    <row r="103" spans="1:38" ht="15.75" customHeight="1" x14ac:dyDescent="0.35">
      <c r="A103" s="42"/>
      <c r="B103" s="8">
        <v>102</v>
      </c>
      <c r="C103" s="9" t="s">
        <v>201</v>
      </c>
      <c r="D103" s="7" t="s">
        <v>45</v>
      </c>
      <c r="E103" s="8">
        <v>9</v>
      </c>
      <c r="F103" s="7">
        <f t="shared" si="0"/>
        <v>53</v>
      </c>
      <c r="G103" s="8">
        <v>34</v>
      </c>
      <c r="H103" s="8">
        <v>1</v>
      </c>
      <c r="I103" s="8">
        <v>2</v>
      </c>
      <c r="J103" s="8">
        <v>4</v>
      </c>
      <c r="K103" s="8">
        <v>0</v>
      </c>
      <c r="L103" s="8">
        <v>4</v>
      </c>
      <c r="M103" s="8">
        <v>6</v>
      </c>
      <c r="N103" s="8">
        <v>0</v>
      </c>
      <c r="O103" s="8">
        <v>1</v>
      </c>
      <c r="P103" s="8">
        <f t="shared" si="1"/>
        <v>10</v>
      </c>
      <c r="Q103" s="10">
        <f t="shared" si="2"/>
        <v>4</v>
      </c>
      <c r="R103" s="11">
        <v>14.1</v>
      </c>
      <c r="S103" s="15">
        <v>36.5</v>
      </c>
      <c r="T103" s="8">
        <v>2</v>
      </c>
      <c r="U103" s="8">
        <v>1</v>
      </c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</row>
    <row r="104" spans="1:38" ht="15.75" customHeight="1" x14ac:dyDescent="0.35">
      <c r="A104" s="42"/>
      <c r="B104" s="8">
        <v>103</v>
      </c>
      <c r="C104" s="9" t="s">
        <v>202</v>
      </c>
      <c r="D104" s="7" t="s">
        <v>54</v>
      </c>
      <c r="E104" s="8">
        <v>9</v>
      </c>
      <c r="F104" s="7">
        <f t="shared" si="0"/>
        <v>26</v>
      </c>
      <c r="G104" s="8">
        <v>41</v>
      </c>
      <c r="H104" s="8">
        <v>0</v>
      </c>
      <c r="I104" s="8">
        <v>12</v>
      </c>
      <c r="J104" s="8">
        <v>5</v>
      </c>
      <c r="K104" s="8">
        <v>1</v>
      </c>
      <c r="L104" s="8">
        <v>7</v>
      </c>
      <c r="M104" s="8">
        <v>14</v>
      </c>
      <c r="N104" s="8">
        <v>0</v>
      </c>
      <c r="O104" s="8">
        <v>0</v>
      </c>
      <c r="P104" s="8">
        <f t="shared" si="1"/>
        <v>21</v>
      </c>
      <c r="Q104" s="10">
        <f t="shared" si="2"/>
        <v>7</v>
      </c>
      <c r="R104" s="11">
        <v>7.2</v>
      </c>
      <c r="S104" s="15">
        <v>0.35399999999999998</v>
      </c>
      <c r="T104" s="8">
        <v>2</v>
      </c>
      <c r="U104" s="8">
        <v>1</v>
      </c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</row>
    <row r="105" spans="1:38" ht="15.75" customHeight="1" x14ac:dyDescent="0.35">
      <c r="A105" s="42"/>
      <c r="B105" s="8">
        <v>104</v>
      </c>
      <c r="C105" s="9" t="s">
        <v>203</v>
      </c>
      <c r="D105" s="20" t="s">
        <v>107</v>
      </c>
      <c r="E105" s="8">
        <v>3</v>
      </c>
      <c r="F105" s="7">
        <f t="shared" si="0"/>
        <v>0</v>
      </c>
      <c r="G105" s="8">
        <v>57</v>
      </c>
      <c r="H105" s="8">
        <v>0</v>
      </c>
      <c r="I105" s="8">
        <v>22</v>
      </c>
      <c r="J105" s="8">
        <v>0</v>
      </c>
      <c r="K105" s="8">
        <v>1</v>
      </c>
      <c r="L105" s="8">
        <v>7</v>
      </c>
      <c r="M105" s="8">
        <v>14</v>
      </c>
      <c r="N105" s="8">
        <v>0</v>
      </c>
      <c r="O105" s="8">
        <v>0</v>
      </c>
      <c r="P105" s="8">
        <f t="shared" si="1"/>
        <v>21</v>
      </c>
      <c r="Q105" s="10">
        <f t="shared" si="2"/>
        <v>7</v>
      </c>
      <c r="R105" s="11">
        <v>14.6</v>
      </c>
      <c r="S105" s="15">
        <v>20</v>
      </c>
      <c r="T105" s="8">
        <v>1</v>
      </c>
      <c r="U105" s="8">
        <v>1</v>
      </c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</row>
    <row r="106" spans="1:38" ht="15.75" customHeight="1" x14ac:dyDescent="0.35">
      <c r="A106" s="41" t="s">
        <v>204</v>
      </c>
      <c r="B106" s="8">
        <v>105</v>
      </c>
      <c r="C106" s="9" t="s">
        <v>205</v>
      </c>
      <c r="D106" s="7" t="s">
        <v>45</v>
      </c>
      <c r="E106" s="8">
        <v>9</v>
      </c>
      <c r="F106" s="7">
        <f t="shared" si="0"/>
        <v>56</v>
      </c>
      <c r="G106" s="8">
        <v>10</v>
      </c>
      <c r="H106" s="8">
        <v>16</v>
      </c>
      <c r="I106" s="8">
        <v>3</v>
      </c>
      <c r="J106" s="8">
        <v>3</v>
      </c>
      <c r="K106" s="8">
        <v>0</v>
      </c>
      <c r="L106" s="8">
        <v>12</v>
      </c>
      <c r="M106" s="8">
        <v>3</v>
      </c>
      <c r="N106" s="8">
        <v>1</v>
      </c>
      <c r="O106" s="8">
        <v>1</v>
      </c>
      <c r="P106" s="8">
        <f t="shared" si="1"/>
        <v>15</v>
      </c>
      <c r="Q106" s="10">
        <f t="shared" si="2"/>
        <v>12</v>
      </c>
      <c r="R106" s="26">
        <v>8.2200000000000006</v>
      </c>
      <c r="S106" s="27">
        <v>55.89</v>
      </c>
      <c r="T106" s="8">
        <v>2</v>
      </c>
      <c r="U106" s="8">
        <v>2</v>
      </c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</row>
    <row r="107" spans="1:38" ht="15.75" customHeight="1" x14ac:dyDescent="0.35">
      <c r="A107" s="42"/>
      <c r="B107" s="8">
        <v>106</v>
      </c>
      <c r="C107" s="9" t="s">
        <v>206</v>
      </c>
      <c r="D107" s="20" t="s">
        <v>107</v>
      </c>
      <c r="E107" s="8">
        <v>3</v>
      </c>
      <c r="F107" s="7">
        <f t="shared" si="0"/>
        <v>0</v>
      </c>
      <c r="G107" s="8">
        <v>42</v>
      </c>
      <c r="H107" s="8">
        <v>34</v>
      </c>
      <c r="I107" s="8">
        <v>8</v>
      </c>
      <c r="J107" s="8">
        <v>0</v>
      </c>
      <c r="K107" s="8">
        <v>0</v>
      </c>
      <c r="L107" s="8">
        <v>16</v>
      </c>
      <c r="M107" s="8">
        <v>0</v>
      </c>
      <c r="N107" s="8">
        <v>1</v>
      </c>
      <c r="O107" s="8">
        <v>1</v>
      </c>
      <c r="P107" s="8">
        <f t="shared" si="1"/>
        <v>16</v>
      </c>
      <c r="Q107" s="10">
        <f t="shared" si="2"/>
        <v>16</v>
      </c>
      <c r="R107" s="26">
        <v>17.43</v>
      </c>
      <c r="S107" s="28">
        <v>40.08</v>
      </c>
      <c r="T107" s="8">
        <v>1</v>
      </c>
      <c r="U107" s="8">
        <v>1</v>
      </c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</row>
    <row r="108" spans="1:38" ht="15.75" customHeight="1" x14ac:dyDescent="0.35">
      <c r="A108" s="42"/>
      <c r="B108" s="8">
        <v>107</v>
      </c>
      <c r="C108" s="9" t="s">
        <v>103</v>
      </c>
      <c r="D108" s="7" t="s">
        <v>27</v>
      </c>
      <c r="E108" s="8">
        <v>2</v>
      </c>
      <c r="F108" s="7">
        <f t="shared" si="0"/>
        <v>58</v>
      </c>
      <c r="G108" s="8">
        <v>6</v>
      </c>
      <c r="H108" s="8">
        <v>6</v>
      </c>
      <c r="I108" s="8">
        <v>2</v>
      </c>
      <c r="J108" s="8">
        <v>3</v>
      </c>
      <c r="K108" s="8">
        <v>0</v>
      </c>
      <c r="L108" s="8">
        <v>22</v>
      </c>
      <c r="M108" s="8">
        <v>6</v>
      </c>
      <c r="N108" s="8">
        <v>1</v>
      </c>
      <c r="O108" s="8">
        <v>1</v>
      </c>
      <c r="P108" s="8">
        <f t="shared" si="1"/>
        <v>28</v>
      </c>
      <c r="Q108" s="10">
        <f t="shared" si="2"/>
        <v>22</v>
      </c>
      <c r="R108" s="26">
        <v>24.86</v>
      </c>
      <c r="S108" s="29">
        <v>967</v>
      </c>
      <c r="T108" s="8">
        <v>1</v>
      </c>
      <c r="U108" s="8">
        <v>4</v>
      </c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</row>
    <row r="109" spans="1:38" ht="15.75" customHeight="1" x14ac:dyDescent="0.35">
      <c r="A109" s="42"/>
      <c r="B109" s="8">
        <v>108</v>
      </c>
      <c r="C109" s="9" t="s">
        <v>207</v>
      </c>
      <c r="D109" s="7" t="s">
        <v>45</v>
      </c>
      <c r="E109" s="8">
        <v>9</v>
      </c>
      <c r="F109" s="7">
        <f t="shared" si="0"/>
        <v>52</v>
      </c>
      <c r="G109" s="8">
        <v>15</v>
      </c>
      <c r="H109" s="8">
        <v>10</v>
      </c>
      <c r="I109" s="8">
        <v>5</v>
      </c>
      <c r="J109" s="8">
        <v>3</v>
      </c>
      <c r="K109" s="8">
        <v>0</v>
      </c>
      <c r="L109" s="8">
        <v>15</v>
      </c>
      <c r="M109" s="8">
        <v>3</v>
      </c>
      <c r="N109" s="8">
        <v>0</v>
      </c>
      <c r="O109" s="8">
        <v>1</v>
      </c>
      <c r="P109" s="8">
        <f t="shared" si="1"/>
        <v>18</v>
      </c>
      <c r="Q109" s="10">
        <f t="shared" si="2"/>
        <v>15</v>
      </c>
      <c r="R109" s="26">
        <v>16.559999999999999</v>
      </c>
      <c r="S109" s="30">
        <v>359.9</v>
      </c>
      <c r="T109" s="8">
        <v>2</v>
      </c>
      <c r="U109" s="8">
        <v>3</v>
      </c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</row>
    <row r="110" spans="1:38" ht="15.75" customHeight="1" x14ac:dyDescent="0.35">
      <c r="A110" s="42"/>
      <c r="B110" s="8">
        <v>109</v>
      </c>
      <c r="C110" s="9" t="s">
        <v>208</v>
      </c>
      <c r="D110" s="7" t="s">
        <v>38</v>
      </c>
      <c r="E110" s="8">
        <v>1</v>
      </c>
      <c r="F110" s="7">
        <f t="shared" si="0"/>
        <v>77</v>
      </c>
      <c r="G110" s="8">
        <v>5</v>
      </c>
      <c r="H110" s="8">
        <v>0</v>
      </c>
      <c r="I110" s="8">
        <v>10</v>
      </c>
      <c r="J110" s="8">
        <v>0</v>
      </c>
      <c r="K110" s="8">
        <v>1</v>
      </c>
      <c r="L110" s="8">
        <v>8</v>
      </c>
      <c r="M110" s="8">
        <v>0</v>
      </c>
      <c r="N110" s="8">
        <v>1</v>
      </c>
      <c r="O110" s="8">
        <v>0</v>
      </c>
      <c r="P110" s="8">
        <f t="shared" si="1"/>
        <v>8</v>
      </c>
      <c r="Q110" s="10">
        <f t="shared" si="2"/>
        <v>8</v>
      </c>
      <c r="R110" s="26">
        <v>7.67</v>
      </c>
      <c r="S110" s="15">
        <v>2.82</v>
      </c>
      <c r="T110" s="8">
        <v>1</v>
      </c>
      <c r="U110" s="8">
        <v>1</v>
      </c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</row>
    <row r="111" spans="1:38" ht="15.75" customHeight="1" x14ac:dyDescent="0.35">
      <c r="A111" s="42"/>
      <c r="B111" s="8">
        <v>110</v>
      </c>
      <c r="C111" s="9" t="s">
        <v>209</v>
      </c>
      <c r="D111" s="7" t="s">
        <v>45</v>
      </c>
      <c r="E111" s="8">
        <v>9</v>
      </c>
      <c r="F111" s="7">
        <f t="shared" si="0"/>
        <v>62</v>
      </c>
      <c r="G111" s="8">
        <v>10</v>
      </c>
      <c r="H111" s="8">
        <v>8</v>
      </c>
      <c r="I111" s="8">
        <v>2</v>
      </c>
      <c r="J111" s="8">
        <v>0</v>
      </c>
      <c r="K111" s="8">
        <v>1</v>
      </c>
      <c r="L111" s="8">
        <v>15</v>
      </c>
      <c r="M111" s="8">
        <v>3</v>
      </c>
      <c r="N111" s="8">
        <v>1</v>
      </c>
      <c r="O111" s="8">
        <v>0</v>
      </c>
      <c r="P111" s="8">
        <f t="shared" si="1"/>
        <v>18</v>
      </c>
      <c r="Q111" s="10">
        <f t="shared" si="2"/>
        <v>15</v>
      </c>
      <c r="R111" s="26">
        <v>5.86</v>
      </c>
      <c r="S111" s="15">
        <v>0.19</v>
      </c>
      <c r="T111" s="8">
        <v>2</v>
      </c>
      <c r="U111" s="8">
        <v>1</v>
      </c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</row>
    <row r="112" spans="1:38" ht="15.75" customHeight="1" x14ac:dyDescent="0.35">
      <c r="A112" s="42"/>
      <c r="B112" s="8">
        <v>111</v>
      </c>
      <c r="C112" s="9" t="s">
        <v>210</v>
      </c>
      <c r="D112" s="7" t="s">
        <v>27</v>
      </c>
      <c r="E112" s="8">
        <v>2</v>
      </c>
      <c r="F112" s="7">
        <f t="shared" si="0"/>
        <v>60</v>
      </c>
      <c r="G112" s="8">
        <v>8</v>
      </c>
      <c r="H112" s="8">
        <v>2</v>
      </c>
      <c r="I112" s="8">
        <v>6</v>
      </c>
      <c r="J112" s="8">
        <v>4</v>
      </c>
      <c r="K112" s="8">
        <v>1</v>
      </c>
      <c r="L112" s="8">
        <v>16</v>
      </c>
      <c r="M112" s="8">
        <v>8</v>
      </c>
      <c r="N112" s="8">
        <v>1</v>
      </c>
      <c r="O112" s="8">
        <v>1</v>
      </c>
      <c r="P112" s="8">
        <f t="shared" si="1"/>
        <v>24</v>
      </c>
      <c r="Q112" s="10">
        <f t="shared" si="2"/>
        <v>16</v>
      </c>
      <c r="R112" s="26">
        <v>19.16</v>
      </c>
      <c r="S112" s="29">
        <v>619.70000000000005</v>
      </c>
      <c r="T112" s="8">
        <v>1</v>
      </c>
      <c r="U112" s="8">
        <v>4</v>
      </c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</row>
    <row r="113" spans="1:38" ht="15.75" customHeight="1" x14ac:dyDescent="0.35">
      <c r="A113" s="42"/>
      <c r="B113" s="8">
        <v>112</v>
      </c>
      <c r="C113" s="9" t="s">
        <v>211</v>
      </c>
      <c r="D113" s="7" t="s">
        <v>45</v>
      </c>
      <c r="E113" s="8">
        <v>9</v>
      </c>
      <c r="F113" s="7">
        <f t="shared" si="0"/>
        <v>60</v>
      </c>
      <c r="G113" s="8">
        <v>12</v>
      </c>
      <c r="H113" s="8">
        <v>5</v>
      </c>
      <c r="I113" s="8">
        <v>5</v>
      </c>
      <c r="J113" s="8">
        <v>2</v>
      </c>
      <c r="K113" s="8">
        <v>0</v>
      </c>
      <c r="L113" s="8">
        <v>15</v>
      </c>
      <c r="M113" s="8">
        <v>3</v>
      </c>
      <c r="N113" s="8">
        <v>0</v>
      </c>
      <c r="O113" s="8">
        <v>1</v>
      </c>
      <c r="P113" s="8">
        <f t="shared" si="1"/>
        <v>18</v>
      </c>
      <c r="Q113" s="10">
        <f t="shared" si="2"/>
        <v>15</v>
      </c>
      <c r="R113" s="26">
        <v>15.47</v>
      </c>
      <c r="S113" s="30">
        <v>271.8</v>
      </c>
      <c r="T113" s="8">
        <v>2</v>
      </c>
      <c r="U113" s="8">
        <v>3</v>
      </c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</row>
    <row r="114" spans="1:38" ht="15.75" customHeight="1" x14ac:dyDescent="0.35">
      <c r="A114" s="42"/>
      <c r="B114" s="8">
        <v>113</v>
      </c>
      <c r="C114" s="9" t="s">
        <v>212</v>
      </c>
      <c r="D114" s="7" t="s">
        <v>45</v>
      </c>
      <c r="E114" s="8">
        <v>9</v>
      </c>
      <c r="F114" s="7">
        <f t="shared" si="0"/>
        <v>55</v>
      </c>
      <c r="G114" s="8">
        <v>10</v>
      </c>
      <c r="H114" s="8">
        <v>2</v>
      </c>
      <c r="I114" s="8">
        <v>8</v>
      </c>
      <c r="J114" s="8">
        <v>3</v>
      </c>
      <c r="K114" s="8">
        <v>0</v>
      </c>
      <c r="L114" s="8">
        <v>18</v>
      </c>
      <c r="M114" s="8">
        <v>7</v>
      </c>
      <c r="N114" s="8">
        <v>1</v>
      </c>
      <c r="O114" s="8">
        <v>1</v>
      </c>
      <c r="P114" s="8">
        <f t="shared" si="1"/>
        <v>25</v>
      </c>
      <c r="Q114" s="10">
        <f t="shared" si="2"/>
        <v>18</v>
      </c>
      <c r="R114" s="26">
        <v>18.73</v>
      </c>
      <c r="S114" s="29">
        <v>560.6</v>
      </c>
      <c r="T114" s="8">
        <v>2</v>
      </c>
      <c r="U114" s="8">
        <v>4</v>
      </c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</row>
    <row r="115" spans="1:38" ht="15.75" customHeight="1" x14ac:dyDescent="0.35">
      <c r="A115" s="42"/>
      <c r="B115" s="8">
        <v>114</v>
      </c>
      <c r="C115" s="9" t="s">
        <v>213</v>
      </c>
      <c r="D115" s="7" t="s">
        <v>38</v>
      </c>
      <c r="E115" s="8">
        <v>1</v>
      </c>
      <c r="F115" s="7">
        <f t="shared" si="0"/>
        <v>63</v>
      </c>
      <c r="G115" s="8">
        <v>20</v>
      </c>
      <c r="H115" s="8">
        <v>0</v>
      </c>
      <c r="I115" s="8">
        <v>0</v>
      </c>
      <c r="J115" s="8">
        <v>3</v>
      </c>
      <c r="K115" s="8">
        <v>0</v>
      </c>
      <c r="L115" s="8">
        <v>12</v>
      </c>
      <c r="M115" s="8">
        <v>5</v>
      </c>
      <c r="N115" s="8">
        <v>1</v>
      </c>
      <c r="O115" s="8">
        <v>1</v>
      </c>
      <c r="P115" s="8">
        <f t="shared" si="1"/>
        <v>17</v>
      </c>
      <c r="Q115" s="10">
        <f t="shared" si="2"/>
        <v>12</v>
      </c>
      <c r="R115" s="26">
        <v>18.02</v>
      </c>
      <c r="S115" s="27">
        <v>60.3</v>
      </c>
      <c r="T115" s="8">
        <v>1</v>
      </c>
      <c r="U115" s="8">
        <v>2</v>
      </c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</row>
    <row r="116" spans="1:38" ht="15.75" customHeight="1" x14ac:dyDescent="0.35">
      <c r="A116" s="42"/>
      <c r="B116" s="8">
        <v>115</v>
      </c>
      <c r="C116" s="9" t="s">
        <v>214</v>
      </c>
      <c r="D116" s="7" t="s">
        <v>45</v>
      </c>
      <c r="E116" s="8">
        <v>9</v>
      </c>
      <c r="F116" s="7">
        <f t="shared" si="0"/>
        <v>53</v>
      </c>
      <c r="G116" s="8">
        <v>30</v>
      </c>
      <c r="H116" s="8">
        <v>4</v>
      </c>
      <c r="I116" s="8">
        <v>1</v>
      </c>
      <c r="J116" s="8">
        <v>4</v>
      </c>
      <c r="K116" s="8">
        <v>0</v>
      </c>
      <c r="L116" s="8">
        <v>8</v>
      </c>
      <c r="M116" s="8">
        <v>4</v>
      </c>
      <c r="N116" s="8">
        <v>0</v>
      </c>
      <c r="O116" s="8">
        <v>1</v>
      </c>
      <c r="P116" s="8">
        <f t="shared" si="1"/>
        <v>12</v>
      </c>
      <c r="Q116" s="10">
        <f t="shared" si="2"/>
        <v>8</v>
      </c>
      <c r="R116" s="26">
        <v>8.48</v>
      </c>
      <c r="S116" s="27">
        <v>94.84</v>
      </c>
      <c r="T116" s="8">
        <v>2</v>
      </c>
      <c r="U116" s="8">
        <v>2</v>
      </c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</row>
    <row r="117" spans="1:38" ht="15.75" customHeight="1" x14ac:dyDescent="0.35">
      <c r="A117" s="42"/>
      <c r="B117" s="8">
        <v>116</v>
      </c>
      <c r="C117" s="9" t="s">
        <v>215</v>
      </c>
      <c r="D117" s="7" t="s">
        <v>45</v>
      </c>
      <c r="E117" s="8">
        <v>9</v>
      </c>
      <c r="F117" s="7">
        <f t="shared" si="0"/>
        <v>29</v>
      </c>
      <c r="G117" s="8">
        <v>35</v>
      </c>
      <c r="H117" s="8">
        <v>6</v>
      </c>
      <c r="I117" s="8">
        <v>10</v>
      </c>
      <c r="J117" s="8">
        <v>4</v>
      </c>
      <c r="K117" s="8">
        <v>0</v>
      </c>
      <c r="L117" s="8">
        <v>18</v>
      </c>
      <c r="M117" s="8">
        <v>2</v>
      </c>
      <c r="N117" s="8">
        <v>1</v>
      </c>
      <c r="O117" s="8">
        <v>1</v>
      </c>
      <c r="P117" s="8">
        <f t="shared" si="1"/>
        <v>20</v>
      </c>
      <c r="Q117" s="10">
        <f t="shared" si="2"/>
        <v>18</v>
      </c>
      <c r="R117" s="26">
        <v>16.61</v>
      </c>
      <c r="S117" s="28">
        <v>43.88</v>
      </c>
      <c r="T117" s="8">
        <v>2</v>
      </c>
      <c r="U117" s="8">
        <v>1</v>
      </c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</row>
    <row r="118" spans="1:38" ht="15.75" customHeight="1" x14ac:dyDescent="0.35">
      <c r="A118" s="42"/>
      <c r="B118" s="8">
        <v>117</v>
      </c>
      <c r="C118" s="9" t="s">
        <v>171</v>
      </c>
      <c r="D118" s="7" t="s">
        <v>45</v>
      </c>
      <c r="E118" s="8">
        <v>9</v>
      </c>
      <c r="F118" s="7">
        <f t="shared" si="0"/>
        <v>38</v>
      </c>
      <c r="G118" s="8">
        <v>30</v>
      </c>
      <c r="H118" s="8">
        <v>15</v>
      </c>
      <c r="I118" s="8">
        <v>5</v>
      </c>
      <c r="J118" s="8">
        <v>4</v>
      </c>
      <c r="K118" s="8">
        <v>0</v>
      </c>
      <c r="L118" s="8">
        <v>10</v>
      </c>
      <c r="M118" s="8">
        <v>2</v>
      </c>
      <c r="N118" s="8">
        <v>0</v>
      </c>
      <c r="O118" s="8">
        <v>0</v>
      </c>
      <c r="P118" s="8">
        <f t="shared" si="1"/>
        <v>12</v>
      </c>
      <c r="Q118" s="10">
        <f t="shared" si="2"/>
        <v>10</v>
      </c>
      <c r="R118" s="26">
        <v>11.65</v>
      </c>
      <c r="S118" s="28">
        <v>29.72</v>
      </c>
      <c r="T118" s="8">
        <v>2</v>
      </c>
      <c r="U118" s="8">
        <v>1</v>
      </c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</row>
    <row r="119" spans="1:38" ht="15.75" customHeight="1" x14ac:dyDescent="0.35">
      <c r="A119" s="42"/>
      <c r="B119" s="8">
        <v>118</v>
      </c>
      <c r="C119" s="9" t="s">
        <v>216</v>
      </c>
      <c r="D119" s="7" t="s">
        <v>45</v>
      </c>
      <c r="E119" s="8">
        <v>9</v>
      </c>
      <c r="F119" s="7">
        <f t="shared" si="0"/>
        <v>59</v>
      </c>
      <c r="G119" s="8">
        <v>11</v>
      </c>
      <c r="H119" s="8">
        <v>12</v>
      </c>
      <c r="I119" s="8">
        <v>0</v>
      </c>
      <c r="J119" s="8">
        <v>2</v>
      </c>
      <c r="K119" s="8">
        <v>0</v>
      </c>
      <c r="L119" s="8">
        <v>12</v>
      </c>
      <c r="M119" s="8">
        <v>6</v>
      </c>
      <c r="N119" s="8">
        <v>0</v>
      </c>
      <c r="O119" s="8">
        <v>0</v>
      </c>
      <c r="P119" s="8">
        <f t="shared" si="1"/>
        <v>18</v>
      </c>
      <c r="Q119" s="10">
        <f t="shared" si="2"/>
        <v>12</v>
      </c>
      <c r="R119" s="26">
        <v>17.02</v>
      </c>
      <c r="S119" s="27">
        <v>99.2</v>
      </c>
      <c r="T119" s="8">
        <v>2</v>
      </c>
      <c r="U119" s="8">
        <v>2</v>
      </c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</row>
    <row r="120" spans="1:38" ht="15.75" customHeight="1" x14ac:dyDescent="0.35">
      <c r="A120" s="42"/>
      <c r="B120" s="8">
        <v>119</v>
      </c>
      <c r="C120" s="9" t="s">
        <v>217</v>
      </c>
      <c r="D120" s="7" t="s">
        <v>45</v>
      </c>
      <c r="E120" s="8">
        <v>9</v>
      </c>
      <c r="F120" s="7">
        <f t="shared" si="0"/>
        <v>67</v>
      </c>
      <c r="G120" s="8">
        <v>4</v>
      </c>
      <c r="H120" s="8">
        <v>6</v>
      </c>
      <c r="I120" s="8">
        <v>0</v>
      </c>
      <c r="J120" s="8">
        <v>3</v>
      </c>
      <c r="K120" s="8">
        <v>0</v>
      </c>
      <c r="L120" s="8">
        <v>20</v>
      </c>
      <c r="M120" s="8">
        <v>3</v>
      </c>
      <c r="N120" s="8">
        <v>1</v>
      </c>
      <c r="O120" s="8">
        <v>1</v>
      </c>
      <c r="P120" s="8">
        <f t="shared" si="1"/>
        <v>23</v>
      </c>
      <c r="Q120" s="10">
        <f t="shared" si="2"/>
        <v>20</v>
      </c>
      <c r="R120" s="26">
        <v>21.5</v>
      </c>
      <c r="S120" s="30">
        <v>456.3</v>
      </c>
      <c r="T120" s="8">
        <v>2</v>
      </c>
      <c r="U120" s="8">
        <v>3</v>
      </c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</row>
    <row r="121" spans="1:38" ht="15.75" customHeight="1" x14ac:dyDescent="0.35">
      <c r="A121" s="42"/>
      <c r="B121" s="8">
        <v>120</v>
      </c>
      <c r="C121" s="9" t="s">
        <v>218</v>
      </c>
      <c r="D121" s="7" t="s">
        <v>45</v>
      </c>
      <c r="E121" s="8">
        <v>9</v>
      </c>
      <c r="F121" s="7">
        <f t="shared" si="0"/>
        <v>51</v>
      </c>
      <c r="G121" s="8">
        <v>5</v>
      </c>
      <c r="H121" s="8">
        <v>24</v>
      </c>
      <c r="I121" s="8">
        <v>5</v>
      </c>
      <c r="J121" s="8">
        <v>3</v>
      </c>
      <c r="K121" s="8">
        <v>0</v>
      </c>
      <c r="L121" s="8">
        <v>10</v>
      </c>
      <c r="M121" s="8">
        <v>5</v>
      </c>
      <c r="N121" s="8">
        <v>0</v>
      </c>
      <c r="O121" s="8">
        <v>0</v>
      </c>
      <c r="P121" s="8">
        <f t="shared" si="1"/>
        <v>15</v>
      </c>
      <c r="Q121" s="10">
        <f t="shared" si="2"/>
        <v>10</v>
      </c>
      <c r="R121" s="26">
        <v>18.239999999999998</v>
      </c>
      <c r="S121" s="28">
        <v>20.34</v>
      </c>
      <c r="T121" s="8">
        <v>2</v>
      </c>
      <c r="U121" s="8">
        <v>1</v>
      </c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</row>
    <row r="122" spans="1:38" ht="15.75" customHeight="1" x14ac:dyDescent="0.35">
      <c r="A122" s="42"/>
      <c r="B122" s="8">
        <v>121</v>
      </c>
      <c r="C122" s="9" t="s">
        <v>219</v>
      </c>
      <c r="D122" s="20" t="s">
        <v>220</v>
      </c>
      <c r="E122" s="8">
        <v>10</v>
      </c>
      <c r="F122" s="7">
        <f t="shared" si="0"/>
        <v>58</v>
      </c>
      <c r="G122" s="8">
        <v>23</v>
      </c>
      <c r="H122" s="8">
        <v>10</v>
      </c>
      <c r="I122" s="8">
        <v>0</v>
      </c>
      <c r="J122" s="8">
        <v>0</v>
      </c>
      <c r="K122" s="8">
        <v>1</v>
      </c>
      <c r="L122" s="8">
        <v>8</v>
      </c>
      <c r="M122" s="8">
        <v>1</v>
      </c>
      <c r="N122" s="8">
        <v>1</v>
      </c>
      <c r="O122" s="8">
        <v>0</v>
      </c>
      <c r="P122" s="8">
        <f t="shared" si="1"/>
        <v>9</v>
      </c>
      <c r="Q122" s="10">
        <f t="shared" si="2"/>
        <v>8</v>
      </c>
      <c r="R122" s="26">
        <v>21.14</v>
      </c>
      <c r="S122" s="28">
        <v>23.4</v>
      </c>
      <c r="T122" s="8">
        <v>2</v>
      </c>
      <c r="U122" s="8">
        <v>1</v>
      </c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</row>
    <row r="123" spans="1:38" ht="15.75" customHeight="1" x14ac:dyDescent="0.35">
      <c r="A123" s="42"/>
      <c r="B123" s="8">
        <v>122</v>
      </c>
      <c r="C123" s="9" t="s">
        <v>221</v>
      </c>
      <c r="D123" s="20" t="s">
        <v>220</v>
      </c>
      <c r="E123" s="8">
        <v>10</v>
      </c>
      <c r="F123" s="7">
        <f t="shared" si="0"/>
        <v>52</v>
      </c>
      <c r="G123" s="8">
        <v>8</v>
      </c>
      <c r="H123" s="8">
        <v>15</v>
      </c>
      <c r="I123" s="8">
        <v>5</v>
      </c>
      <c r="J123" s="8">
        <v>0</v>
      </c>
      <c r="K123" s="8">
        <v>1</v>
      </c>
      <c r="L123" s="8">
        <v>10</v>
      </c>
      <c r="M123" s="8">
        <v>10</v>
      </c>
      <c r="N123" s="8">
        <v>0</v>
      </c>
      <c r="O123" s="8">
        <v>0</v>
      </c>
      <c r="P123" s="8">
        <f t="shared" si="1"/>
        <v>20</v>
      </c>
      <c r="Q123" s="10">
        <f t="shared" si="2"/>
        <v>10</v>
      </c>
      <c r="R123" s="26">
        <v>22.23</v>
      </c>
      <c r="S123" s="28">
        <v>31.34</v>
      </c>
      <c r="T123" s="8">
        <v>2</v>
      </c>
      <c r="U123" s="8">
        <v>1</v>
      </c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</row>
    <row r="124" spans="1:38" ht="15.75" customHeight="1" x14ac:dyDescent="0.35">
      <c r="A124" s="42"/>
      <c r="B124" s="8">
        <v>123</v>
      </c>
      <c r="C124" s="9" t="s">
        <v>222</v>
      </c>
      <c r="D124" s="20" t="s">
        <v>220</v>
      </c>
      <c r="E124" s="8">
        <v>10</v>
      </c>
      <c r="F124" s="7">
        <f t="shared" si="0"/>
        <v>52</v>
      </c>
      <c r="G124" s="8">
        <v>20</v>
      </c>
      <c r="H124" s="8">
        <v>15</v>
      </c>
      <c r="I124" s="8">
        <v>0</v>
      </c>
      <c r="J124" s="8">
        <v>0</v>
      </c>
      <c r="K124" s="8">
        <v>1</v>
      </c>
      <c r="L124" s="8">
        <v>8</v>
      </c>
      <c r="M124" s="8">
        <v>5</v>
      </c>
      <c r="N124" s="8">
        <v>1</v>
      </c>
      <c r="O124" s="8">
        <v>0</v>
      </c>
      <c r="P124" s="8">
        <f t="shared" si="1"/>
        <v>13</v>
      </c>
      <c r="Q124" s="10">
        <f t="shared" si="2"/>
        <v>8</v>
      </c>
      <c r="R124" s="26">
        <v>16.57</v>
      </c>
      <c r="S124" s="27">
        <v>70.92</v>
      </c>
      <c r="T124" s="8">
        <v>2</v>
      </c>
      <c r="U124" s="8">
        <v>2</v>
      </c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</row>
    <row r="125" spans="1:38" ht="15.75" customHeight="1" x14ac:dyDescent="0.35">
      <c r="A125" s="42"/>
      <c r="B125" s="8">
        <v>124</v>
      </c>
      <c r="C125" s="9" t="s">
        <v>223</v>
      </c>
      <c r="D125" s="7" t="s">
        <v>45</v>
      </c>
      <c r="E125" s="8">
        <v>9</v>
      </c>
      <c r="F125" s="7">
        <f t="shared" si="0"/>
        <v>49</v>
      </c>
      <c r="G125" s="8">
        <v>5</v>
      </c>
      <c r="H125" s="8">
        <v>16</v>
      </c>
      <c r="I125" s="8">
        <v>8</v>
      </c>
      <c r="J125" s="8">
        <v>3</v>
      </c>
      <c r="K125" s="8">
        <v>0</v>
      </c>
      <c r="L125" s="8">
        <v>18</v>
      </c>
      <c r="M125" s="8">
        <v>4</v>
      </c>
      <c r="N125" s="8">
        <v>0</v>
      </c>
      <c r="O125" s="8">
        <v>1</v>
      </c>
      <c r="P125" s="8">
        <f t="shared" si="1"/>
        <v>22</v>
      </c>
      <c r="Q125" s="10">
        <f t="shared" si="2"/>
        <v>18</v>
      </c>
      <c r="R125" s="26">
        <v>20.84</v>
      </c>
      <c r="S125" s="29">
        <v>788.4</v>
      </c>
      <c r="T125" s="8">
        <v>2</v>
      </c>
      <c r="U125" s="8">
        <v>4</v>
      </c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</row>
    <row r="126" spans="1:38" ht="15.75" customHeight="1" x14ac:dyDescent="0.35">
      <c r="A126" s="42"/>
      <c r="B126" s="8">
        <v>125</v>
      </c>
      <c r="C126" s="9" t="s">
        <v>193</v>
      </c>
      <c r="D126" s="7" t="s">
        <v>45</v>
      </c>
      <c r="E126" s="8">
        <v>9</v>
      </c>
      <c r="F126" s="7">
        <f t="shared" si="0"/>
        <v>47</v>
      </c>
      <c r="G126" s="8">
        <v>17</v>
      </c>
      <c r="H126" s="8">
        <v>15</v>
      </c>
      <c r="I126" s="8">
        <v>2</v>
      </c>
      <c r="J126" s="8">
        <v>3</v>
      </c>
      <c r="K126" s="8">
        <v>0</v>
      </c>
      <c r="L126" s="8">
        <v>16</v>
      </c>
      <c r="M126" s="8">
        <v>3</v>
      </c>
      <c r="N126" s="8">
        <v>0</v>
      </c>
      <c r="O126" s="8">
        <v>0</v>
      </c>
      <c r="P126" s="8">
        <f t="shared" si="1"/>
        <v>19</v>
      </c>
      <c r="Q126" s="10">
        <f t="shared" si="2"/>
        <v>16</v>
      </c>
      <c r="R126" s="26">
        <v>16.77</v>
      </c>
      <c r="S126" s="28">
        <v>19.3</v>
      </c>
      <c r="T126" s="8">
        <v>2</v>
      </c>
      <c r="U126" s="8">
        <v>1</v>
      </c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</row>
    <row r="127" spans="1:38" ht="15.75" customHeight="1" x14ac:dyDescent="0.35">
      <c r="A127" s="42"/>
      <c r="B127" s="8">
        <v>126</v>
      </c>
      <c r="C127" s="9" t="s">
        <v>224</v>
      </c>
      <c r="D127" s="7" t="s">
        <v>45</v>
      </c>
      <c r="E127" s="8">
        <v>9</v>
      </c>
      <c r="F127" s="7">
        <f t="shared" si="0"/>
        <v>60</v>
      </c>
      <c r="G127" s="8">
        <v>18</v>
      </c>
      <c r="H127" s="8">
        <v>2</v>
      </c>
      <c r="I127" s="8">
        <v>0</v>
      </c>
      <c r="J127" s="8">
        <v>3</v>
      </c>
      <c r="K127" s="8">
        <v>0</v>
      </c>
      <c r="L127" s="8">
        <v>10</v>
      </c>
      <c r="M127" s="8">
        <v>10</v>
      </c>
      <c r="N127" s="8">
        <v>1</v>
      </c>
      <c r="O127" s="8">
        <v>1</v>
      </c>
      <c r="P127" s="8">
        <f t="shared" si="1"/>
        <v>20</v>
      </c>
      <c r="Q127" s="10">
        <f t="shared" si="2"/>
        <v>10</v>
      </c>
      <c r="R127" s="26">
        <v>22.8</v>
      </c>
      <c r="S127" s="29">
        <v>528</v>
      </c>
      <c r="T127" s="8">
        <v>2</v>
      </c>
      <c r="U127" s="8">
        <v>4</v>
      </c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</row>
    <row r="128" spans="1:38" ht="15.75" customHeight="1" x14ac:dyDescent="0.35">
      <c r="A128" s="42"/>
      <c r="B128" s="8">
        <v>127</v>
      </c>
      <c r="C128" s="9" t="s">
        <v>225</v>
      </c>
      <c r="D128" s="7" t="s">
        <v>45</v>
      </c>
      <c r="E128" s="8">
        <v>9</v>
      </c>
      <c r="F128" s="7">
        <f t="shared" si="0"/>
        <v>57</v>
      </c>
      <c r="G128" s="8">
        <v>20</v>
      </c>
      <c r="H128" s="8">
        <v>10</v>
      </c>
      <c r="I128" s="8">
        <v>0</v>
      </c>
      <c r="J128" s="8">
        <v>3</v>
      </c>
      <c r="K128" s="8">
        <v>0</v>
      </c>
      <c r="L128" s="8">
        <v>12</v>
      </c>
      <c r="M128" s="8">
        <v>1</v>
      </c>
      <c r="N128" s="8">
        <v>0</v>
      </c>
      <c r="O128" s="8">
        <v>0</v>
      </c>
      <c r="P128" s="8">
        <f t="shared" si="1"/>
        <v>13</v>
      </c>
      <c r="Q128" s="10">
        <f t="shared" si="2"/>
        <v>12</v>
      </c>
      <c r="R128" s="26">
        <v>19.600000000000001</v>
      </c>
      <c r="S128" s="28">
        <v>38.6</v>
      </c>
      <c r="T128" s="8">
        <v>2</v>
      </c>
      <c r="U128" s="8">
        <v>1</v>
      </c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</row>
    <row r="129" spans="1:38" ht="15.75" customHeight="1" x14ac:dyDescent="0.35">
      <c r="A129" s="42"/>
      <c r="B129" s="8">
        <v>128</v>
      </c>
      <c r="C129" s="9" t="s">
        <v>226</v>
      </c>
      <c r="D129" s="7" t="s">
        <v>54</v>
      </c>
      <c r="E129" s="8">
        <v>8</v>
      </c>
      <c r="F129" s="7">
        <f t="shared" si="0"/>
        <v>58</v>
      </c>
      <c r="G129" s="8">
        <v>8</v>
      </c>
      <c r="H129" s="8">
        <v>0</v>
      </c>
      <c r="I129" s="8">
        <v>2</v>
      </c>
      <c r="J129" s="8">
        <v>3</v>
      </c>
      <c r="K129" s="8">
        <v>0</v>
      </c>
      <c r="L129" s="8">
        <v>25</v>
      </c>
      <c r="M129" s="8">
        <v>7</v>
      </c>
      <c r="N129" s="8">
        <v>0</v>
      </c>
      <c r="O129" s="8">
        <v>1</v>
      </c>
      <c r="P129" s="8">
        <f t="shared" si="1"/>
        <v>32</v>
      </c>
      <c r="Q129" s="10">
        <f t="shared" si="2"/>
        <v>25</v>
      </c>
      <c r="R129" s="26">
        <v>19.899999999999999</v>
      </c>
      <c r="S129" s="31">
        <v>1700</v>
      </c>
      <c r="T129" s="8">
        <v>2</v>
      </c>
      <c r="U129" s="8">
        <v>5</v>
      </c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</row>
    <row r="130" spans="1:38" ht="15.75" customHeight="1" x14ac:dyDescent="0.35">
      <c r="A130" s="42"/>
      <c r="B130" s="8">
        <v>129</v>
      </c>
      <c r="C130" s="9" t="s">
        <v>227</v>
      </c>
      <c r="D130" s="7" t="s">
        <v>54</v>
      </c>
      <c r="E130" s="8">
        <v>8</v>
      </c>
      <c r="F130" s="7">
        <f t="shared" si="0"/>
        <v>66</v>
      </c>
      <c r="G130" s="8">
        <v>0</v>
      </c>
      <c r="H130" s="8">
        <v>1</v>
      </c>
      <c r="I130" s="8">
        <v>0</v>
      </c>
      <c r="J130" s="8">
        <v>4</v>
      </c>
      <c r="K130" s="8">
        <v>0</v>
      </c>
      <c r="L130" s="8">
        <v>30</v>
      </c>
      <c r="M130" s="8">
        <v>3</v>
      </c>
      <c r="N130" s="8">
        <v>1</v>
      </c>
      <c r="O130" s="8">
        <v>1</v>
      </c>
      <c r="P130" s="8">
        <f t="shared" si="1"/>
        <v>33</v>
      </c>
      <c r="Q130" s="10">
        <f t="shared" si="2"/>
        <v>30</v>
      </c>
      <c r="R130" s="26">
        <v>24.6</v>
      </c>
      <c r="S130" s="31">
        <v>9500</v>
      </c>
      <c r="T130" s="8">
        <v>2</v>
      </c>
      <c r="U130" s="8">
        <v>5</v>
      </c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</row>
    <row r="131" spans="1:38" ht="15.75" customHeight="1" x14ac:dyDescent="0.35">
      <c r="A131" s="42"/>
      <c r="B131" s="8">
        <v>130</v>
      </c>
      <c r="C131" s="9" t="s">
        <v>228</v>
      </c>
      <c r="D131" s="20" t="s">
        <v>220</v>
      </c>
      <c r="E131" s="8">
        <v>10</v>
      </c>
      <c r="F131" s="7">
        <f t="shared" si="0"/>
        <v>63</v>
      </c>
      <c r="G131" s="8">
        <v>12</v>
      </c>
      <c r="H131" s="8">
        <v>5</v>
      </c>
      <c r="I131" s="8">
        <v>0</v>
      </c>
      <c r="J131" s="8">
        <v>3</v>
      </c>
      <c r="K131" s="8">
        <v>0</v>
      </c>
      <c r="L131" s="8">
        <v>15</v>
      </c>
      <c r="M131" s="8">
        <v>5</v>
      </c>
      <c r="N131" s="8">
        <v>1</v>
      </c>
      <c r="O131" s="8">
        <v>1</v>
      </c>
      <c r="P131" s="8">
        <f t="shared" si="1"/>
        <v>20</v>
      </c>
      <c r="Q131" s="10">
        <f t="shared" si="2"/>
        <v>15</v>
      </c>
      <c r="R131" s="26">
        <v>20.6</v>
      </c>
      <c r="S131" s="30">
        <v>482</v>
      </c>
      <c r="T131" s="8">
        <v>2</v>
      </c>
      <c r="U131" s="8">
        <v>3</v>
      </c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</row>
    <row r="132" spans="1:38" ht="15.75" customHeight="1" x14ac:dyDescent="0.35">
      <c r="A132" s="42"/>
      <c r="B132" s="8">
        <v>131</v>
      </c>
      <c r="C132" s="9" t="s">
        <v>229</v>
      </c>
      <c r="D132" s="7" t="s">
        <v>38</v>
      </c>
      <c r="E132" s="8">
        <v>1</v>
      </c>
      <c r="F132" s="7">
        <f t="shared" si="0"/>
        <v>72</v>
      </c>
      <c r="G132" s="8">
        <v>10</v>
      </c>
      <c r="H132" s="8">
        <v>2</v>
      </c>
      <c r="I132" s="8">
        <v>0</v>
      </c>
      <c r="J132" s="8">
        <v>3</v>
      </c>
      <c r="K132" s="8">
        <v>1</v>
      </c>
      <c r="L132" s="8">
        <v>16</v>
      </c>
      <c r="M132" s="8">
        <v>0</v>
      </c>
      <c r="N132" s="8">
        <v>0</v>
      </c>
      <c r="O132" s="8">
        <v>1</v>
      </c>
      <c r="P132" s="8">
        <f t="shared" si="1"/>
        <v>16</v>
      </c>
      <c r="Q132" s="10">
        <f t="shared" si="2"/>
        <v>16</v>
      </c>
      <c r="R132" s="26">
        <v>24.9</v>
      </c>
      <c r="S132" s="30">
        <v>412</v>
      </c>
      <c r="T132" s="8">
        <v>1</v>
      </c>
      <c r="U132" s="8">
        <v>3</v>
      </c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</row>
    <row r="133" spans="1:38" ht="15.75" customHeight="1" x14ac:dyDescent="0.35">
      <c r="A133" s="42"/>
      <c r="B133" s="8">
        <v>132</v>
      </c>
      <c r="C133" s="9" t="s">
        <v>230</v>
      </c>
      <c r="D133" s="7" t="s">
        <v>45</v>
      </c>
      <c r="E133" s="8">
        <v>9</v>
      </c>
      <c r="F133" s="7">
        <f t="shared" si="0"/>
        <v>59</v>
      </c>
      <c r="G133" s="8">
        <v>15</v>
      </c>
      <c r="H133" s="8">
        <v>9</v>
      </c>
      <c r="I133" s="8">
        <v>0</v>
      </c>
      <c r="J133" s="8">
        <v>3</v>
      </c>
      <c r="K133" s="8">
        <v>0</v>
      </c>
      <c r="L133" s="8">
        <v>15</v>
      </c>
      <c r="M133" s="8">
        <v>2</v>
      </c>
      <c r="N133" s="8">
        <v>0</v>
      </c>
      <c r="O133" s="8">
        <v>0</v>
      </c>
      <c r="P133" s="8">
        <f t="shared" si="1"/>
        <v>17</v>
      </c>
      <c r="Q133" s="10">
        <f t="shared" si="2"/>
        <v>15</v>
      </c>
      <c r="R133" s="26">
        <v>13.44</v>
      </c>
      <c r="S133" s="28">
        <v>10.97</v>
      </c>
      <c r="T133" s="8">
        <v>2</v>
      </c>
      <c r="U133" s="8">
        <v>1</v>
      </c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</row>
    <row r="134" spans="1:38" ht="15.75" customHeight="1" x14ac:dyDescent="0.35">
      <c r="A134" s="42"/>
      <c r="B134" s="8">
        <v>133</v>
      </c>
      <c r="C134" s="9" t="s">
        <v>231</v>
      </c>
      <c r="D134" s="7" t="s">
        <v>38</v>
      </c>
      <c r="E134" s="8">
        <v>1</v>
      </c>
      <c r="F134" s="7">
        <f t="shared" si="0"/>
        <v>88</v>
      </c>
      <c r="G134" s="8">
        <v>0</v>
      </c>
      <c r="H134" s="8">
        <v>0</v>
      </c>
      <c r="I134" s="8">
        <v>0</v>
      </c>
      <c r="J134" s="8">
        <v>3</v>
      </c>
      <c r="K134" s="8">
        <v>1</v>
      </c>
      <c r="L134" s="8">
        <v>12</v>
      </c>
      <c r="M134" s="8">
        <v>0</v>
      </c>
      <c r="N134" s="8">
        <v>1</v>
      </c>
      <c r="O134" s="8">
        <v>1</v>
      </c>
      <c r="P134" s="8">
        <f t="shared" si="1"/>
        <v>12</v>
      </c>
      <c r="Q134" s="10">
        <f t="shared" si="2"/>
        <v>12</v>
      </c>
      <c r="R134" s="26">
        <v>18.600000000000001</v>
      </c>
      <c r="S134" s="31">
        <v>9020</v>
      </c>
      <c r="T134" s="8">
        <v>1</v>
      </c>
      <c r="U134" s="8">
        <v>5</v>
      </c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</row>
    <row r="135" spans="1:38" ht="15.75" customHeight="1" x14ac:dyDescent="0.35">
      <c r="A135" s="42"/>
      <c r="B135" s="8">
        <v>134</v>
      </c>
      <c r="C135" s="9" t="s">
        <v>232</v>
      </c>
      <c r="D135" s="7" t="s">
        <v>27</v>
      </c>
      <c r="E135" s="8">
        <v>2</v>
      </c>
      <c r="F135" s="7">
        <f t="shared" si="0"/>
        <v>55</v>
      </c>
      <c r="G135" s="8">
        <v>20</v>
      </c>
      <c r="H135" s="8">
        <v>10</v>
      </c>
      <c r="I135" s="8">
        <v>0</v>
      </c>
      <c r="J135" s="8">
        <v>4</v>
      </c>
      <c r="K135" s="8">
        <v>0</v>
      </c>
      <c r="L135" s="8">
        <v>10</v>
      </c>
      <c r="M135" s="8">
        <v>5</v>
      </c>
      <c r="N135" s="8">
        <v>0</v>
      </c>
      <c r="O135" s="8">
        <v>0</v>
      </c>
      <c r="P135" s="8">
        <f t="shared" si="1"/>
        <v>15</v>
      </c>
      <c r="Q135" s="10">
        <f t="shared" si="2"/>
        <v>10</v>
      </c>
      <c r="R135" s="26">
        <v>0.01</v>
      </c>
      <c r="S135" s="28">
        <v>0</v>
      </c>
      <c r="T135" s="8">
        <v>1</v>
      </c>
      <c r="U135" s="8">
        <v>1</v>
      </c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</row>
    <row r="136" spans="1:38" ht="15.75" customHeight="1" x14ac:dyDescent="0.35">
      <c r="A136" s="42"/>
      <c r="B136" s="8">
        <v>135</v>
      </c>
      <c r="C136" s="9" t="s">
        <v>233</v>
      </c>
      <c r="D136" s="20" t="s">
        <v>107</v>
      </c>
      <c r="E136" s="8">
        <v>3</v>
      </c>
      <c r="F136" s="7">
        <f t="shared" si="0"/>
        <v>0</v>
      </c>
      <c r="G136" s="8">
        <v>55</v>
      </c>
      <c r="H136" s="8">
        <v>35</v>
      </c>
      <c r="I136" s="8">
        <v>0</v>
      </c>
      <c r="J136" s="8">
        <v>0</v>
      </c>
      <c r="K136" s="8">
        <v>0</v>
      </c>
      <c r="L136" s="8">
        <v>10</v>
      </c>
      <c r="M136" s="8">
        <v>0</v>
      </c>
      <c r="N136" s="8">
        <v>0</v>
      </c>
      <c r="O136" s="8">
        <v>0</v>
      </c>
      <c r="P136" s="8">
        <f t="shared" si="1"/>
        <v>10</v>
      </c>
      <c r="Q136" s="10">
        <f t="shared" si="2"/>
        <v>10</v>
      </c>
      <c r="R136" s="26">
        <v>13.5</v>
      </c>
      <c r="S136" s="28">
        <v>41.3</v>
      </c>
      <c r="T136" s="8">
        <v>1</v>
      </c>
      <c r="U136" s="8">
        <v>1</v>
      </c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</row>
    <row r="137" spans="1:38" ht="15.75" customHeight="1" x14ac:dyDescent="0.35">
      <c r="A137" s="42"/>
      <c r="B137" s="8">
        <v>136</v>
      </c>
      <c r="C137" s="9" t="s">
        <v>234</v>
      </c>
      <c r="D137" s="7" t="s">
        <v>27</v>
      </c>
      <c r="E137" s="8">
        <v>2</v>
      </c>
      <c r="F137" s="7">
        <f t="shared" si="0"/>
        <v>52</v>
      </c>
      <c r="G137" s="8">
        <v>30</v>
      </c>
      <c r="H137" s="8">
        <v>0</v>
      </c>
      <c r="I137" s="8">
        <v>0</v>
      </c>
      <c r="J137" s="8">
        <v>3</v>
      </c>
      <c r="K137" s="8">
        <v>0</v>
      </c>
      <c r="L137" s="8">
        <v>14</v>
      </c>
      <c r="M137" s="8">
        <v>4</v>
      </c>
      <c r="N137" s="8">
        <v>0</v>
      </c>
      <c r="O137" s="8">
        <v>1</v>
      </c>
      <c r="P137" s="8">
        <f t="shared" si="1"/>
        <v>18</v>
      </c>
      <c r="Q137" s="10">
        <f t="shared" si="2"/>
        <v>14</v>
      </c>
      <c r="R137" s="26">
        <v>16.2</v>
      </c>
      <c r="S137" s="27">
        <v>82.7</v>
      </c>
      <c r="T137" s="8">
        <v>1</v>
      </c>
      <c r="U137" s="8">
        <v>2</v>
      </c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</row>
    <row r="138" spans="1:38" ht="15.75" customHeight="1" x14ac:dyDescent="0.35">
      <c r="A138" s="42"/>
      <c r="B138" s="8">
        <v>137</v>
      </c>
      <c r="C138" s="9" t="s">
        <v>235</v>
      </c>
      <c r="D138" s="7" t="s">
        <v>27</v>
      </c>
      <c r="E138" s="8">
        <v>2</v>
      </c>
      <c r="F138" s="7">
        <f t="shared" si="0"/>
        <v>35</v>
      </c>
      <c r="G138" s="8">
        <v>40</v>
      </c>
      <c r="H138" s="8">
        <v>4</v>
      </c>
      <c r="I138" s="8">
        <v>1</v>
      </c>
      <c r="J138" s="8">
        <v>3</v>
      </c>
      <c r="K138" s="8">
        <v>0</v>
      </c>
      <c r="L138" s="8">
        <v>15</v>
      </c>
      <c r="M138" s="8">
        <v>5</v>
      </c>
      <c r="N138" s="8">
        <v>0</v>
      </c>
      <c r="O138" s="8">
        <v>1</v>
      </c>
      <c r="P138" s="8">
        <f t="shared" si="1"/>
        <v>20</v>
      </c>
      <c r="Q138" s="10">
        <f t="shared" si="2"/>
        <v>15</v>
      </c>
      <c r="R138" s="26">
        <v>19.2</v>
      </c>
      <c r="S138" s="27">
        <v>96.2</v>
      </c>
      <c r="T138" s="8">
        <v>1</v>
      </c>
      <c r="U138" s="8">
        <v>2</v>
      </c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</row>
    <row r="139" spans="1:38" ht="15.75" customHeight="1" x14ac:dyDescent="0.35">
      <c r="A139" s="42"/>
      <c r="B139" s="8">
        <v>138</v>
      </c>
      <c r="C139" s="9" t="s">
        <v>236</v>
      </c>
      <c r="D139" s="7" t="s">
        <v>27</v>
      </c>
      <c r="E139" s="8">
        <v>2</v>
      </c>
      <c r="F139" s="7">
        <f t="shared" si="0"/>
        <v>38</v>
      </c>
      <c r="G139" s="8">
        <v>36</v>
      </c>
      <c r="H139" s="8">
        <v>0</v>
      </c>
      <c r="I139" s="8">
        <v>1</v>
      </c>
      <c r="J139" s="8">
        <v>2</v>
      </c>
      <c r="K139" s="8">
        <v>0</v>
      </c>
      <c r="L139" s="8">
        <v>18</v>
      </c>
      <c r="M139" s="8">
        <v>7</v>
      </c>
      <c r="N139" s="8">
        <v>0</v>
      </c>
      <c r="O139" s="8">
        <v>1</v>
      </c>
      <c r="P139" s="8">
        <f t="shared" si="1"/>
        <v>25</v>
      </c>
      <c r="Q139" s="10">
        <f t="shared" si="2"/>
        <v>18</v>
      </c>
      <c r="R139" s="26">
        <v>19.3</v>
      </c>
      <c r="S139" s="27">
        <v>73.599999999999994</v>
      </c>
      <c r="T139" s="8">
        <v>1</v>
      </c>
      <c r="U139" s="8">
        <v>2</v>
      </c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</row>
    <row r="140" spans="1:38" ht="15.75" customHeight="1" x14ac:dyDescent="0.35">
      <c r="A140" s="42"/>
      <c r="B140" s="8">
        <v>139</v>
      </c>
      <c r="C140" s="9" t="s">
        <v>237</v>
      </c>
      <c r="D140" s="7" t="s">
        <v>45</v>
      </c>
      <c r="E140" s="8">
        <v>9</v>
      </c>
      <c r="F140" s="7">
        <f t="shared" si="0"/>
        <v>67</v>
      </c>
      <c r="G140" s="8">
        <v>5</v>
      </c>
      <c r="H140" s="8">
        <v>10</v>
      </c>
      <c r="I140" s="8">
        <v>0</v>
      </c>
      <c r="J140" s="8">
        <v>2</v>
      </c>
      <c r="K140" s="8">
        <v>0</v>
      </c>
      <c r="L140" s="8">
        <v>10</v>
      </c>
      <c r="M140" s="8">
        <v>8</v>
      </c>
      <c r="N140" s="8">
        <v>0</v>
      </c>
      <c r="O140" s="8">
        <v>1</v>
      </c>
      <c r="P140" s="8">
        <f t="shared" si="1"/>
        <v>18</v>
      </c>
      <c r="Q140" s="10">
        <f t="shared" si="2"/>
        <v>10</v>
      </c>
      <c r="R140" s="26">
        <v>19.2</v>
      </c>
      <c r="S140" s="30">
        <v>179</v>
      </c>
      <c r="T140" s="8">
        <v>2</v>
      </c>
      <c r="U140" s="8">
        <v>3</v>
      </c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</row>
    <row r="141" spans="1:38" ht="15.75" customHeight="1" x14ac:dyDescent="0.35">
      <c r="A141" s="42"/>
      <c r="B141" s="8">
        <v>140</v>
      </c>
      <c r="C141" s="9" t="s">
        <v>196</v>
      </c>
      <c r="D141" s="7" t="s">
        <v>27</v>
      </c>
      <c r="E141" s="8">
        <v>2</v>
      </c>
      <c r="F141" s="7">
        <f t="shared" si="0"/>
        <v>47</v>
      </c>
      <c r="G141" s="8">
        <v>25</v>
      </c>
      <c r="H141" s="8">
        <v>8</v>
      </c>
      <c r="I141" s="8">
        <v>5</v>
      </c>
      <c r="J141" s="8">
        <v>3</v>
      </c>
      <c r="K141" s="8">
        <v>0</v>
      </c>
      <c r="L141" s="8">
        <v>10</v>
      </c>
      <c r="M141" s="8">
        <v>5</v>
      </c>
      <c r="N141" s="8">
        <v>1</v>
      </c>
      <c r="O141" s="8">
        <v>1</v>
      </c>
      <c r="P141" s="8">
        <f t="shared" si="1"/>
        <v>15</v>
      </c>
      <c r="Q141" s="10">
        <f t="shared" si="2"/>
        <v>10</v>
      </c>
      <c r="R141" s="26">
        <v>18.14</v>
      </c>
      <c r="S141" s="31">
        <v>1736</v>
      </c>
      <c r="T141" s="8">
        <v>1</v>
      </c>
      <c r="U141" s="8">
        <v>5</v>
      </c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</row>
    <row r="142" spans="1:38" ht="15.75" customHeight="1" x14ac:dyDescent="0.35">
      <c r="A142" s="42"/>
      <c r="B142" s="8">
        <v>141</v>
      </c>
      <c r="C142" s="9" t="s">
        <v>238</v>
      </c>
      <c r="D142" s="7" t="s">
        <v>45</v>
      </c>
      <c r="E142" s="8">
        <v>9</v>
      </c>
      <c r="F142" s="7">
        <f t="shared" si="0"/>
        <v>54</v>
      </c>
      <c r="G142" s="8">
        <v>8</v>
      </c>
      <c r="H142" s="8">
        <v>15</v>
      </c>
      <c r="I142" s="8">
        <v>5</v>
      </c>
      <c r="J142" s="8">
        <v>2</v>
      </c>
      <c r="K142" s="8">
        <v>0</v>
      </c>
      <c r="L142" s="8">
        <v>15</v>
      </c>
      <c r="M142" s="8">
        <v>3</v>
      </c>
      <c r="N142" s="8">
        <v>0</v>
      </c>
      <c r="O142" s="8">
        <v>1</v>
      </c>
      <c r="P142" s="8">
        <f t="shared" si="1"/>
        <v>18</v>
      </c>
      <c r="Q142" s="10">
        <f t="shared" si="2"/>
        <v>15</v>
      </c>
      <c r="R142" s="26">
        <v>17.100000000000001</v>
      </c>
      <c r="S142" s="30">
        <v>113</v>
      </c>
      <c r="T142" s="8">
        <v>2</v>
      </c>
      <c r="U142" s="8">
        <v>3</v>
      </c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</row>
    <row r="143" spans="1:38" ht="15.75" customHeight="1" x14ac:dyDescent="0.35">
      <c r="A143" s="42"/>
      <c r="B143" s="8">
        <v>142</v>
      </c>
      <c r="C143" s="9" t="s">
        <v>239</v>
      </c>
      <c r="D143" s="7" t="s">
        <v>45</v>
      </c>
      <c r="E143" s="8">
        <v>9</v>
      </c>
      <c r="F143" s="7">
        <f t="shared" si="0"/>
        <v>75</v>
      </c>
      <c r="G143" s="8">
        <v>1</v>
      </c>
      <c r="H143" s="8">
        <v>8</v>
      </c>
      <c r="I143" s="8">
        <v>0</v>
      </c>
      <c r="J143" s="8">
        <v>3</v>
      </c>
      <c r="K143" s="8">
        <v>0</v>
      </c>
      <c r="L143" s="8">
        <v>11</v>
      </c>
      <c r="M143" s="8">
        <v>5</v>
      </c>
      <c r="N143" s="8">
        <v>0</v>
      </c>
      <c r="O143" s="8">
        <v>1</v>
      </c>
      <c r="P143" s="8">
        <f t="shared" si="1"/>
        <v>16</v>
      </c>
      <c r="Q143" s="10">
        <f t="shared" si="2"/>
        <v>11</v>
      </c>
      <c r="R143" s="26">
        <v>20.399999999999999</v>
      </c>
      <c r="S143" s="31">
        <v>2170</v>
      </c>
      <c r="T143" s="8">
        <v>2</v>
      </c>
      <c r="U143" s="8">
        <v>5</v>
      </c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</row>
    <row r="144" spans="1:38" ht="15.75" customHeight="1" x14ac:dyDescent="0.35">
      <c r="A144" s="42"/>
      <c r="B144" s="8">
        <v>143</v>
      </c>
      <c r="C144" s="9" t="s">
        <v>240</v>
      </c>
      <c r="D144" s="7" t="s">
        <v>54</v>
      </c>
      <c r="E144" s="8">
        <v>8</v>
      </c>
      <c r="F144" s="7">
        <f t="shared" si="0"/>
        <v>78</v>
      </c>
      <c r="G144" s="8">
        <v>2</v>
      </c>
      <c r="H144" s="8">
        <v>0</v>
      </c>
      <c r="I144" s="8">
        <v>2</v>
      </c>
      <c r="J144" s="8">
        <v>3</v>
      </c>
      <c r="K144" s="8">
        <v>0</v>
      </c>
      <c r="L144" s="8">
        <v>15</v>
      </c>
      <c r="M144" s="8">
        <v>3</v>
      </c>
      <c r="N144" s="8">
        <v>0</v>
      </c>
      <c r="O144" s="8">
        <v>1</v>
      </c>
      <c r="P144" s="8">
        <f t="shared" si="1"/>
        <v>18</v>
      </c>
      <c r="Q144" s="10">
        <f t="shared" si="2"/>
        <v>15</v>
      </c>
      <c r="R144" s="26">
        <v>21.6</v>
      </c>
      <c r="S144" s="31">
        <v>2650</v>
      </c>
      <c r="T144" s="8">
        <v>2</v>
      </c>
      <c r="U144" s="8">
        <v>5</v>
      </c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</row>
    <row r="145" spans="1:38" ht="15.75" customHeight="1" x14ac:dyDescent="0.35">
      <c r="A145" s="42"/>
      <c r="B145" s="8">
        <v>144</v>
      </c>
      <c r="C145" s="9" t="s">
        <v>241</v>
      </c>
      <c r="D145" s="7" t="s">
        <v>45</v>
      </c>
      <c r="E145" s="8">
        <v>9</v>
      </c>
      <c r="F145" s="7">
        <f t="shared" si="0"/>
        <v>56</v>
      </c>
      <c r="G145" s="8">
        <v>15</v>
      </c>
      <c r="H145" s="8">
        <v>8</v>
      </c>
      <c r="I145" s="8">
        <v>4</v>
      </c>
      <c r="J145" s="8">
        <v>3</v>
      </c>
      <c r="K145" s="8">
        <v>0</v>
      </c>
      <c r="L145" s="8">
        <v>10</v>
      </c>
      <c r="M145" s="8">
        <v>7</v>
      </c>
      <c r="N145" s="8">
        <v>1</v>
      </c>
      <c r="O145" s="8">
        <v>1</v>
      </c>
      <c r="P145" s="8">
        <f t="shared" si="1"/>
        <v>17</v>
      </c>
      <c r="Q145" s="10">
        <f t="shared" si="2"/>
        <v>10</v>
      </c>
      <c r="R145" s="26">
        <v>19.8</v>
      </c>
      <c r="S145" s="31">
        <v>1210</v>
      </c>
      <c r="T145" s="8">
        <v>2</v>
      </c>
      <c r="U145" s="8">
        <v>5</v>
      </c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</row>
    <row r="146" spans="1:38" ht="15.75" customHeight="1" x14ac:dyDescent="0.35">
      <c r="A146" s="42"/>
      <c r="B146" s="8">
        <v>145</v>
      </c>
      <c r="C146" s="9" t="s">
        <v>242</v>
      </c>
      <c r="D146" s="7" t="s">
        <v>45</v>
      </c>
      <c r="E146" s="8">
        <v>9</v>
      </c>
      <c r="F146" s="7">
        <f t="shared" si="0"/>
        <v>42</v>
      </c>
      <c r="G146" s="8">
        <v>20</v>
      </c>
      <c r="H146" s="8">
        <v>5</v>
      </c>
      <c r="I146" s="8">
        <v>8</v>
      </c>
      <c r="J146" s="8">
        <v>3</v>
      </c>
      <c r="K146" s="8">
        <v>0</v>
      </c>
      <c r="L146" s="8">
        <v>20</v>
      </c>
      <c r="M146" s="8">
        <v>5</v>
      </c>
      <c r="N146" s="8">
        <v>0</v>
      </c>
      <c r="O146" s="8">
        <v>1</v>
      </c>
      <c r="P146" s="8">
        <f t="shared" si="1"/>
        <v>25</v>
      </c>
      <c r="Q146" s="10">
        <f t="shared" si="2"/>
        <v>20</v>
      </c>
      <c r="R146" s="26">
        <v>20.6</v>
      </c>
      <c r="S146" s="30">
        <v>353</v>
      </c>
      <c r="T146" s="8">
        <v>2</v>
      </c>
      <c r="U146" s="8">
        <v>3</v>
      </c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</row>
    <row r="147" spans="1:38" ht="15.75" customHeight="1" x14ac:dyDescent="0.35">
      <c r="A147" s="42"/>
      <c r="B147" s="8">
        <v>146</v>
      </c>
      <c r="C147" s="9" t="s">
        <v>243</v>
      </c>
      <c r="D147" s="7" t="s">
        <v>45</v>
      </c>
      <c r="E147" s="8">
        <v>9</v>
      </c>
      <c r="F147" s="7">
        <f t="shared" si="0"/>
        <v>61</v>
      </c>
      <c r="G147" s="8">
        <v>12</v>
      </c>
      <c r="H147" s="8">
        <v>9</v>
      </c>
      <c r="I147" s="8">
        <v>3</v>
      </c>
      <c r="J147" s="8">
        <v>3</v>
      </c>
      <c r="K147" s="8">
        <v>0</v>
      </c>
      <c r="L147" s="8">
        <v>10</v>
      </c>
      <c r="M147" s="8">
        <v>5</v>
      </c>
      <c r="N147" s="8">
        <v>1</v>
      </c>
      <c r="O147" s="8">
        <v>0</v>
      </c>
      <c r="P147" s="8">
        <f t="shared" si="1"/>
        <v>15</v>
      </c>
      <c r="Q147" s="10">
        <f t="shared" si="2"/>
        <v>10</v>
      </c>
      <c r="R147" s="26">
        <v>17.899999999999999</v>
      </c>
      <c r="S147" s="30">
        <v>418</v>
      </c>
      <c r="T147" s="8">
        <v>2</v>
      </c>
      <c r="U147" s="8">
        <v>3</v>
      </c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</row>
    <row r="148" spans="1:38" ht="15.75" customHeight="1" x14ac:dyDescent="0.35">
      <c r="A148" s="42"/>
      <c r="B148" s="8">
        <v>147</v>
      </c>
      <c r="C148" s="9" t="s">
        <v>244</v>
      </c>
      <c r="D148" s="7" t="s">
        <v>38</v>
      </c>
      <c r="E148" s="8">
        <v>1</v>
      </c>
      <c r="F148" s="7">
        <f t="shared" si="0"/>
        <v>62</v>
      </c>
      <c r="G148" s="8">
        <v>20</v>
      </c>
      <c r="H148" s="8">
        <v>0</v>
      </c>
      <c r="I148" s="8">
        <v>0</v>
      </c>
      <c r="J148" s="8">
        <v>3</v>
      </c>
      <c r="K148" s="8">
        <v>1</v>
      </c>
      <c r="L148" s="8">
        <v>15</v>
      </c>
      <c r="M148" s="8">
        <v>3</v>
      </c>
      <c r="N148" s="8">
        <v>1</v>
      </c>
      <c r="O148" s="8">
        <v>1</v>
      </c>
      <c r="P148" s="8">
        <f t="shared" si="1"/>
        <v>18</v>
      </c>
      <c r="Q148" s="10">
        <f t="shared" si="2"/>
        <v>15</v>
      </c>
      <c r="R148" s="26">
        <v>18.5</v>
      </c>
      <c r="S148" s="29">
        <v>756</v>
      </c>
      <c r="T148" s="8">
        <v>1</v>
      </c>
      <c r="U148" s="8">
        <v>4</v>
      </c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</row>
    <row r="149" spans="1:38" ht="15.75" customHeight="1" x14ac:dyDescent="0.35">
      <c r="A149" s="42"/>
      <c r="B149" s="8">
        <v>148</v>
      </c>
      <c r="C149" s="9" t="s">
        <v>245</v>
      </c>
      <c r="D149" s="7" t="s">
        <v>45</v>
      </c>
      <c r="E149" s="8">
        <v>9</v>
      </c>
      <c r="F149" s="7">
        <f t="shared" si="0"/>
        <v>34</v>
      </c>
      <c r="G149" s="8">
        <v>12</v>
      </c>
      <c r="H149" s="8">
        <v>34</v>
      </c>
      <c r="I149" s="8">
        <v>6</v>
      </c>
      <c r="J149" s="8">
        <v>4</v>
      </c>
      <c r="K149" s="8">
        <v>0</v>
      </c>
      <c r="L149" s="8">
        <v>8</v>
      </c>
      <c r="M149" s="8">
        <v>6</v>
      </c>
      <c r="N149" s="8">
        <v>1</v>
      </c>
      <c r="O149" s="8">
        <v>0</v>
      </c>
      <c r="P149" s="8">
        <f t="shared" si="1"/>
        <v>14</v>
      </c>
      <c r="Q149" s="10">
        <f t="shared" si="2"/>
        <v>8</v>
      </c>
      <c r="R149" s="26">
        <v>18.8</v>
      </c>
      <c r="S149" s="27">
        <v>76.599999999999994</v>
      </c>
      <c r="T149" s="8">
        <v>2</v>
      </c>
      <c r="U149" s="8">
        <v>2</v>
      </c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</row>
    <row r="150" spans="1:38" ht="15.75" customHeight="1" x14ac:dyDescent="0.35">
      <c r="A150" s="42"/>
      <c r="B150" s="8">
        <v>149</v>
      </c>
      <c r="C150" s="9" t="s">
        <v>246</v>
      </c>
      <c r="D150" s="7" t="s">
        <v>45</v>
      </c>
      <c r="E150" s="8">
        <v>9</v>
      </c>
      <c r="F150" s="7">
        <f t="shared" si="0"/>
        <v>41</v>
      </c>
      <c r="G150" s="8">
        <v>40</v>
      </c>
      <c r="H150" s="8">
        <v>4</v>
      </c>
      <c r="I150" s="8">
        <v>3</v>
      </c>
      <c r="J150" s="8">
        <v>3</v>
      </c>
      <c r="K150" s="8">
        <v>0</v>
      </c>
      <c r="L150" s="8">
        <v>10</v>
      </c>
      <c r="M150" s="8">
        <v>2</v>
      </c>
      <c r="N150" s="8">
        <v>0</v>
      </c>
      <c r="O150" s="8">
        <v>0</v>
      </c>
      <c r="P150" s="8">
        <f t="shared" si="1"/>
        <v>12</v>
      </c>
      <c r="Q150" s="10">
        <f t="shared" si="2"/>
        <v>10</v>
      </c>
      <c r="R150" s="26">
        <v>18</v>
      </c>
      <c r="S150" s="27">
        <v>79.3</v>
      </c>
      <c r="T150" s="8">
        <v>2</v>
      </c>
      <c r="U150" s="8">
        <v>2</v>
      </c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</row>
    <row r="151" spans="1:38" ht="15.75" customHeight="1" x14ac:dyDescent="0.35">
      <c r="A151" s="42"/>
      <c r="B151" s="8">
        <v>150</v>
      </c>
      <c r="C151" s="9" t="s">
        <v>247</v>
      </c>
      <c r="D151" s="7" t="s">
        <v>45</v>
      </c>
      <c r="E151" s="8">
        <v>9</v>
      </c>
      <c r="F151" s="7">
        <f t="shared" si="0"/>
        <v>58</v>
      </c>
      <c r="G151" s="8">
        <v>20</v>
      </c>
      <c r="H151" s="8">
        <v>2</v>
      </c>
      <c r="I151" s="8">
        <v>0</v>
      </c>
      <c r="J151" s="8">
        <v>3</v>
      </c>
      <c r="K151" s="8">
        <v>0</v>
      </c>
      <c r="L151" s="8">
        <v>20</v>
      </c>
      <c r="M151" s="8">
        <v>0</v>
      </c>
      <c r="N151" s="8">
        <v>1</v>
      </c>
      <c r="O151" s="8">
        <v>1</v>
      </c>
      <c r="P151" s="8">
        <f t="shared" si="1"/>
        <v>20</v>
      </c>
      <c r="Q151" s="10">
        <f t="shared" si="2"/>
        <v>20</v>
      </c>
      <c r="R151" s="26">
        <v>21.7</v>
      </c>
      <c r="S151" s="31">
        <v>1370</v>
      </c>
      <c r="T151" s="8">
        <v>2</v>
      </c>
      <c r="U151" s="8">
        <v>5</v>
      </c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</row>
    <row r="152" spans="1:38" ht="15.75" customHeight="1" x14ac:dyDescent="0.35">
      <c r="A152" s="42"/>
      <c r="B152" s="8">
        <v>151</v>
      </c>
      <c r="C152" s="9" t="s">
        <v>248</v>
      </c>
      <c r="D152" s="7" t="s">
        <v>45</v>
      </c>
      <c r="E152" s="8">
        <v>9</v>
      </c>
      <c r="F152" s="7">
        <f t="shared" si="0"/>
        <v>24</v>
      </c>
      <c r="G152" s="8">
        <v>38</v>
      </c>
      <c r="H152" s="8">
        <v>5</v>
      </c>
      <c r="I152" s="8">
        <v>5</v>
      </c>
      <c r="J152" s="8">
        <v>2</v>
      </c>
      <c r="K152" s="8">
        <v>0</v>
      </c>
      <c r="L152" s="8">
        <v>25</v>
      </c>
      <c r="M152" s="8">
        <v>3</v>
      </c>
      <c r="N152" s="8">
        <v>1</v>
      </c>
      <c r="O152" s="8">
        <v>1</v>
      </c>
      <c r="P152" s="8">
        <f t="shared" si="1"/>
        <v>28</v>
      </c>
      <c r="Q152" s="10">
        <f t="shared" si="2"/>
        <v>25</v>
      </c>
      <c r="R152" s="26">
        <v>20.5</v>
      </c>
      <c r="S152" s="29">
        <v>800</v>
      </c>
      <c r="T152" s="8">
        <v>2</v>
      </c>
      <c r="U152" s="8">
        <v>4</v>
      </c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</row>
    <row r="153" spans="1:38" ht="15.75" customHeight="1" x14ac:dyDescent="0.35">
      <c r="A153" s="42"/>
      <c r="B153" s="8">
        <v>152</v>
      </c>
      <c r="C153" s="9" t="s">
        <v>249</v>
      </c>
      <c r="D153" s="20" t="s">
        <v>220</v>
      </c>
      <c r="E153" s="8">
        <v>10</v>
      </c>
      <c r="F153" s="7">
        <f t="shared" si="0"/>
        <v>47</v>
      </c>
      <c r="G153" s="8">
        <v>29</v>
      </c>
      <c r="H153" s="8">
        <v>2</v>
      </c>
      <c r="I153" s="8">
        <v>0</v>
      </c>
      <c r="J153" s="8">
        <v>3</v>
      </c>
      <c r="K153" s="8">
        <v>0</v>
      </c>
      <c r="L153" s="8">
        <v>18</v>
      </c>
      <c r="M153" s="8">
        <v>4</v>
      </c>
      <c r="N153" s="8">
        <v>1</v>
      </c>
      <c r="O153" s="8">
        <v>1</v>
      </c>
      <c r="P153" s="8">
        <f t="shared" si="1"/>
        <v>22</v>
      </c>
      <c r="Q153" s="10">
        <f t="shared" si="2"/>
        <v>18</v>
      </c>
      <c r="R153" s="26">
        <v>18.7</v>
      </c>
      <c r="S153" s="29">
        <v>923</v>
      </c>
      <c r="T153" s="8">
        <v>2</v>
      </c>
      <c r="U153" s="8">
        <v>4</v>
      </c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</row>
    <row r="154" spans="1:38" ht="15.75" customHeight="1" x14ac:dyDescent="0.35">
      <c r="A154" s="42"/>
      <c r="B154" s="8">
        <v>153</v>
      </c>
      <c r="C154" s="9" t="s">
        <v>250</v>
      </c>
      <c r="D154" s="7" t="s">
        <v>45</v>
      </c>
      <c r="E154" s="8">
        <v>9</v>
      </c>
      <c r="F154" s="7">
        <f t="shared" si="0"/>
        <v>46</v>
      </c>
      <c r="G154" s="8">
        <v>34</v>
      </c>
      <c r="H154" s="8">
        <v>4</v>
      </c>
      <c r="I154" s="8">
        <v>0</v>
      </c>
      <c r="J154" s="8">
        <v>3</v>
      </c>
      <c r="K154" s="8">
        <v>0</v>
      </c>
      <c r="L154" s="8">
        <v>10</v>
      </c>
      <c r="M154" s="8">
        <v>6</v>
      </c>
      <c r="N154" s="8">
        <v>1</v>
      </c>
      <c r="O154" s="8">
        <v>0</v>
      </c>
      <c r="P154" s="8">
        <f t="shared" si="1"/>
        <v>16</v>
      </c>
      <c r="Q154" s="10">
        <f t="shared" si="2"/>
        <v>10</v>
      </c>
      <c r="R154" s="26">
        <v>15.6</v>
      </c>
      <c r="S154" s="30">
        <v>101</v>
      </c>
      <c r="T154" s="8">
        <v>2</v>
      </c>
      <c r="U154" s="8">
        <v>3</v>
      </c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</row>
    <row r="155" spans="1:38" ht="15.75" customHeight="1" x14ac:dyDescent="0.35">
      <c r="A155" s="42"/>
      <c r="B155" s="8">
        <v>154</v>
      </c>
      <c r="C155" s="9" t="s">
        <v>251</v>
      </c>
      <c r="D155" s="7" t="s">
        <v>45</v>
      </c>
      <c r="E155" s="8">
        <v>9</v>
      </c>
      <c r="F155" s="7">
        <f t="shared" si="0"/>
        <v>42</v>
      </c>
      <c r="G155" s="8">
        <v>35</v>
      </c>
      <c r="H155" s="8">
        <v>3</v>
      </c>
      <c r="I155" s="8">
        <v>2</v>
      </c>
      <c r="J155" s="8">
        <v>3</v>
      </c>
      <c r="K155" s="8">
        <v>0</v>
      </c>
      <c r="L155" s="8">
        <v>14</v>
      </c>
      <c r="M155" s="8">
        <v>4</v>
      </c>
      <c r="N155" s="8">
        <v>0</v>
      </c>
      <c r="O155" s="8">
        <v>1</v>
      </c>
      <c r="P155" s="8">
        <f t="shared" si="1"/>
        <v>18</v>
      </c>
      <c r="Q155" s="10">
        <f t="shared" si="2"/>
        <v>14</v>
      </c>
      <c r="R155" s="26">
        <v>19.399999999999999</v>
      </c>
      <c r="S155" s="29">
        <v>800</v>
      </c>
      <c r="T155" s="8">
        <v>2</v>
      </c>
      <c r="U155" s="8">
        <v>4</v>
      </c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</row>
    <row r="156" spans="1:38" ht="15.75" customHeight="1" x14ac:dyDescent="0.35">
      <c r="A156" s="42"/>
      <c r="B156" s="8">
        <v>155</v>
      </c>
      <c r="C156" s="9" t="s">
        <v>252</v>
      </c>
      <c r="D156" s="7" t="s">
        <v>38</v>
      </c>
      <c r="E156" s="8">
        <v>1</v>
      </c>
      <c r="F156" s="7">
        <f t="shared" si="0"/>
        <v>73</v>
      </c>
      <c r="G156" s="8">
        <v>10</v>
      </c>
      <c r="H156" s="8">
        <v>0</v>
      </c>
      <c r="I156" s="8">
        <v>5</v>
      </c>
      <c r="J156" s="8">
        <v>2</v>
      </c>
      <c r="K156" s="8">
        <v>1</v>
      </c>
      <c r="L156" s="8">
        <v>8</v>
      </c>
      <c r="M156" s="8">
        <v>4</v>
      </c>
      <c r="N156" s="8">
        <v>1</v>
      </c>
      <c r="O156" s="8">
        <v>0</v>
      </c>
      <c r="P156" s="8">
        <f t="shared" si="1"/>
        <v>12</v>
      </c>
      <c r="Q156" s="10">
        <f t="shared" si="2"/>
        <v>8</v>
      </c>
      <c r="R156" s="26">
        <v>14.95</v>
      </c>
      <c r="S156" s="27">
        <v>92.9</v>
      </c>
      <c r="T156" s="8">
        <v>1</v>
      </c>
      <c r="U156" s="8">
        <v>2</v>
      </c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</row>
    <row r="157" spans="1:38" ht="15.75" customHeight="1" x14ac:dyDescent="0.35">
      <c r="A157" s="42"/>
      <c r="B157" s="8">
        <v>156</v>
      </c>
      <c r="C157" s="9" t="s">
        <v>253</v>
      </c>
      <c r="D157" s="7" t="s">
        <v>45</v>
      </c>
      <c r="E157" s="8">
        <v>9</v>
      </c>
      <c r="F157" s="7">
        <f t="shared" si="0"/>
        <v>69</v>
      </c>
      <c r="G157" s="8">
        <v>12</v>
      </c>
      <c r="H157" s="8">
        <v>1</v>
      </c>
      <c r="I157" s="8">
        <v>0</v>
      </c>
      <c r="J157" s="8">
        <v>3</v>
      </c>
      <c r="K157" s="8">
        <v>0</v>
      </c>
      <c r="L157" s="8">
        <v>12</v>
      </c>
      <c r="M157" s="8">
        <v>6</v>
      </c>
      <c r="N157" s="8">
        <v>0</v>
      </c>
      <c r="O157" s="8">
        <v>0</v>
      </c>
      <c r="P157" s="8">
        <f t="shared" si="1"/>
        <v>18</v>
      </c>
      <c r="Q157" s="10">
        <f t="shared" si="2"/>
        <v>12</v>
      </c>
      <c r="R157" s="26">
        <v>17.100000000000001</v>
      </c>
      <c r="S157" s="30">
        <v>159</v>
      </c>
      <c r="T157" s="8">
        <v>2</v>
      </c>
      <c r="U157" s="8">
        <v>3</v>
      </c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</row>
    <row r="158" spans="1:38" ht="15.75" customHeight="1" x14ac:dyDescent="0.35">
      <c r="A158" s="42"/>
      <c r="B158" s="8">
        <v>157</v>
      </c>
      <c r="C158" s="9" t="s">
        <v>254</v>
      </c>
      <c r="D158" s="7" t="s">
        <v>45</v>
      </c>
      <c r="E158" s="8">
        <v>9</v>
      </c>
      <c r="F158" s="7">
        <f t="shared" si="0"/>
        <v>35</v>
      </c>
      <c r="G158" s="8">
        <v>44</v>
      </c>
      <c r="H158" s="8">
        <v>8</v>
      </c>
      <c r="I158" s="8">
        <v>5</v>
      </c>
      <c r="J158" s="8">
        <v>4</v>
      </c>
      <c r="K158" s="8">
        <v>0</v>
      </c>
      <c r="L158" s="8">
        <v>5</v>
      </c>
      <c r="M158" s="8">
        <v>3</v>
      </c>
      <c r="N158" s="8">
        <v>0</v>
      </c>
      <c r="O158" s="8">
        <v>0</v>
      </c>
      <c r="P158" s="8">
        <f t="shared" si="1"/>
        <v>8</v>
      </c>
      <c r="Q158" s="10">
        <f t="shared" si="2"/>
        <v>5</v>
      </c>
      <c r="R158" s="26">
        <v>19.2</v>
      </c>
      <c r="S158" s="28">
        <v>14.2</v>
      </c>
      <c r="T158" s="8">
        <v>2</v>
      </c>
      <c r="U158" s="8">
        <v>1</v>
      </c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</row>
    <row r="159" spans="1:38" ht="15.75" customHeight="1" x14ac:dyDescent="0.35">
      <c r="A159" s="42"/>
      <c r="B159" s="8">
        <v>158</v>
      </c>
      <c r="C159" s="9" t="s">
        <v>255</v>
      </c>
      <c r="D159" s="20" t="s">
        <v>220</v>
      </c>
      <c r="E159" s="8">
        <v>10</v>
      </c>
      <c r="F159" s="7">
        <f t="shared" si="0"/>
        <v>57</v>
      </c>
      <c r="G159" s="8">
        <v>18</v>
      </c>
      <c r="H159" s="8">
        <v>5</v>
      </c>
      <c r="I159" s="8">
        <v>2</v>
      </c>
      <c r="J159" s="8">
        <v>3</v>
      </c>
      <c r="K159" s="8">
        <v>0</v>
      </c>
      <c r="L159" s="8">
        <v>10</v>
      </c>
      <c r="M159" s="8">
        <v>8</v>
      </c>
      <c r="N159" s="8">
        <v>1</v>
      </c>
      <c r="O159" s="8">
        <v>1</v>
      </c>
      <c r="P159" s="8">
        <f t="shared" si="1"/>
        <v>18</v>
      </c>
      <c r="Q159" s="10">
        <f t="shared" si="2"/>
        <v>10</v>
      </c>
      <c r="R159" s="26">
        <v>18</v>
      </c>
      <c r="S159" s="31">
        <v>1730</v>
      </c>
      <c r="T159" s="8">
        <v>2</v>
      </c>
      <c r="U159" s="8">
        <v>5</v>
      </c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</row>
    <row r="160" spans="1:38" ht="15.75" customHeight="1" x14ac:dyDescent="0.35">
      <c r="A160" s="42"/>
      <c r="B160" s="8">
        <v>159</v>
      </c>
      <c r="C160" s="9" t="s">
        <v>256</v>
      </c>
      <c r="D160" s="7" t="s">
        <v>38</v>
      </c>
      <c r="E160" s="8">
        <v>1</v>
      </c>
      <c r="F160" s="7">
        <f t="shared" si="0"/>
        <v>90</v>
      </c>
      <c r="G160" s="8">
        <v>0</v>
      </c>
      <c r="H160" s="8">
        <v>0</v>
      </c>
      <c r="I160" s="8">
        <v>0</v>
      </c>
      <c r="J160" s="8">
        <v>0</v>
      </c>
      <c r="K160" s="8">
        <v>1</v>
      </c>
      <c r="L160" s="8">
        <v>7</v>
      </c>
      <c r="M160" s="8">
        <v>3</v>
      </c>
      <c r="N160" s="8">
        <v>1</v>
      </c>
      <c r="O160" s="8">
        <v>1</v>
      </c>
      <c r="P160" s="8">
        <f t="shared" si="1"/>
        <v>10</v>
      </c>
      <c r="Q160" s="10">
        <f t="shared" si="2"/>
        <v>7</v>
      </c>
      <c r="R160" s="26">
        <v>15.5</v>
      </c>
      <c r="S160" s="31">
        <v>1620</v>
      </c>
      <c r="T160" s="8">
        <v>1</v>
      </c>
      <c r="U160" s="8">
        <v>5</v>
      </c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</row>
    <row r="161" spans="1:38" ht="15.75" customHeight="1" x14ac:dyDescent="0.35">
      <c r="A161" s="42"/>
      <c r="B161" s="8">
        <v>160</v>
      </c>
      <c r="C161" s="9" t="s">
        <v>257</v>
      </c>
      <c r="D161" s="7" t="s">
        <v>38</v>
      </c>
      <c r="E161" s="8">
        <v>1</v>
      </c>
      <c r="F161" s="7">
        <f t="shared" si="0"/>
        <v>87</v>
      </c>
      <c r="G161" s="8">
        <v>0</v>
      </c>
      <c r="H161" s="8">
        <v>0</v>
      </c>
      <c r="I161" s="8">
        <v>0</v>
      </c>
      <c r="J161" s="8">
        <v>1</v>
      </c>
      <c r="K161" s="8">
        <v>1</v>
      </c>
      <c r="L161" s="8">
        <v>9</v>
      </c>
      <c r="M161" s="8">
        <v>4</v>
      </c>
      <c r="N161" s="8">
        <v>1</v>
      </c>
      <c r="O161" s="8">
        <v>1</v>
      </c>
      <c r="P161" s="8">
        <f t="shared" si="1"/>
        <v>13</v>
      </c>
      <c r="Q161" s="10">
        <f t="shared" si="2"/>
        <v>9</v>
      </c>
      <c r="R161" s="26">
        <v>16.3</v>
      </c>
      <c r="S161" s="31">
        <v>3550</v>
      </c>
      <c r="T161" s="8">
        <v>1</v>
      </c>
      <c r="U161" s="8">
        <v>5</v>
      </c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</row>
    <row r="162" spans="1:38" ht="15.75" customHeight="1" x14ac:dyDescent="0.35">
      <c r="A162" s="42"/>
      <c r="B162" s="8">
        <v>161</v>
      </c>
      <c r="C162" s="9" t="s">
        <v>258</v>
      </c>
      <c r="D162" s="7" t="s">
        <v>45</v>
      </c>
      <c r="E162" s="8">
        <v>9</v>
      </c>
      <c r="F162" s="7">
        <f t="shared" si="0"/>
        <v>74</v>
      </c>
      <c r="G162" s="8">
        <v>8</v>
      </c>
      <c r="H162" s="8">
        <v>1</v>
      </c>
      <c r="I162" s="8">
        <v>1</v>
      </c>
      <c r="J162" s="8">
        <v>3</v>
      </c>
      <c r="K162" s="8">
        <v>0</v>
      </c>
      <c r="L162" s="8">
        <v>13</v>
      </c>
      <c r="M162" s="8">
        <v>3</v>
      </c>
      <c r="N162" s="8">
        <v>1</v>
      </c>
      <c r="O162" s="8">
        <v>1</v>
      </c>
      <c r="P162" s="8">
        <f t="shared" si="1"/>
        <v>16</v>
      </c>
      <c r="Q162" s="10">
        <f t="shared" si="2"/>
        <v>13</v>
      </c>
      <c r="R162" s="26">
        <v>14</v>
      </c>
      <c r="S162" s="29">
        <v>786</v>
      </c>
      <c r="T162" s="8">
        <v>2</v>
      </c>
      <c r="U162" s="8">
        <v>4</v>
      </c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</row>
    <row r="163" spans="1:38" ht="15.75" customHeight="1" x14ac:dyDescent="0.35">
      <c r="A163" s="42"/>
      <c r="B163" s="8">
        <v>162</v>
      </c>
      <c r="C163" s="9" t="s">
        <v>259</v>
      </c>
      <c r="D163" s="7" t="s">
        <v>38</v>
      </c>
      <c r="E163" s="8">
        <v>1</v>
      </c>
      <c r="F163" s="7">
        <f t="shared" si="0"/>
        <v>76</v>
      </c>
      <c r="G163" s="8">
        <v>10</v>
      </c>
      <c r="H163" s="8">
        <v>1</v>
      </c>
      <c r="I163" s="8">
        <v>0</v>
      </c>
      <c r="J163" s="8">
        <v>4</v>
      </c>
      <c r="K163" s="8">
        <v>1</v>
      </c>
      <c r="L163" s="8">
        <v>10</v>
      </c>
      <c r="M163" s="8">
        <v>3</v>
      </c>
      <c r="N163" s="8">
        <v>1</v>
      </c>
      <c r="O163" s="8">
        <v>1</v>
      </c>
      <c r="P163" s="8">
        <f t="shared" si="1"/>
        <v>13</v>
      </c>
      <c r="Q163" s="10">
        <f t="shared" si="2"/>
        <v>10</v>
      </c>
      <c r="R163" s="26">
        <v>16.8</v>
      </c>
      <c r="S163" s="30">
        <v>410</v>
      </c>
      <c r="T163" s="8">
        <v>1</v>
      </c>
      <c r="U163" s="8">
        <v>3</v>
      </c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</row>
    <row r="164" spans="1:38" ht="15.75" customHeight="1" x14ac:dyDescent="0.35">
      <c r="A164" s="42"/>
      <c r="B164" s="8">
        <v>163</v>
      </c>
      <c r="C164" s="9" t="s">
        <v>260</v>
      </c>
      <c r="D164" s="7" t="s">
        <v>45</v>
      </c>
      <c r="E164" s="8">
        <v>9</v>
      </c>
      <c r="F164" s="7">
        <f t="shared" si="0"/>
        <v>71</v>
      </c>
      <c r="G164" s="8">
        <v>11</v>
      </c>
      <c r="H164" s="8">
        <v>2</v>
      </c>
      <c r="I164" s="8">
        <v>0</v>
      </c>
      <c r="J164" s="8">
        <v>3</v>
      </c>
      <c r="K164" s="8">
        <v>0</v>
      </c>
      <c r="L164" s="8">
        <v>14</v>
      </c>
      <c r="M164" s="8">
        <v>2</v>
      </c>
      <c r="N164" s="8">
        <v>0</v>
      </c>
      <c r="O164" s="8">
        <v>0</v>
      </c>
      <c r="P164" s="8">
        <f t="shared" si="1"/>
        <v>16</v>
      </c>
      <c r="Q164" s="10">
        <f t="shared" si="2"/>
        <v>14</v>
      </c>
      <c r="R164" s="26">
        <v>0.01</v>
      </c>
      <c r="S164" s="28">
        <v>0</v>
      </c>
      <c r="T164" s="8">
        <v>2</v>
      </c>
      <c r="U164" s="8">
        <v>1</v>
      </c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</row>
    <row r="165" spans="1:38" ht="15.75" customHeight="1" x14ac:dyDescent="0.35">
      <c r="A165" s="42"/>
      <c r="B165" s="8">
        <v>164</v>
      </c>
      <c r="C165" s="9" t="s">
        <v>261</v>
      </c>
      <c r="D165" s="7" t="s">
        <v>38</v>
      </c>
      <c r="E165" s="8">
        <v>1</v>
      </c>
      <c r="F165" s="7">
        <f t="shared" si="0"/>
        <v>80</v>
      </c>
      <c r="G165" s="8">
        <v>7</v>
      </c>
      <c r="H165" s="8">
        <v>0</v>
      </c>
      <c r="I165" s="8">
        <v>1</v>
      </c>
      <c r="J165" s="8">
        <v>4</v>
      </c>
      <c r="K165" s="8">
        <v>1</v>
      </c>
      <c r="L165" s="8">
        <v>10</v>
      </c>
      <c r="M165" s="8">
        <v>2</v>
      </c>
      <c r="N165" s="8">
        <v>0</v>
      </c>
      <c r="O165" s="8">
        <v>1</v>
      </c>
      <c r="P165" s="8">
        <f t="shared" si="1"/>
        <v>12</v>
      </c>
      <c r="Q165" s="10">
        <f t="shared" si="2"/>
        <v>10</v>
      </c>
      <c r="R165" s="26">
        <v>17.2</v>
      </c>
      <c r="S165" s="29">
        <v>533</v>
      </c>
      <c r="T165" s="8">
        <v>1</v>
      </c>
      <c r="U165" s="8">
        <v>4</v>
      </c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</row>
    <row r="166" spans="1:38" ht="15.75" customHeight="1" x14ac:dyDescent="0.35">
      <c r="A166" s="42"/>
      <c r="B166" s="8">
        <v>165</v>
      </c>
      <c r="C166" s="9" t="s">
        <v>262</v>
      </c>
      <c r="D166" s="20" t="s">
        <v>107</v>
      </c>
      <c r="E166" s="8">
        <v>3</v>
      </c>
      <c r="F166" s="7">
        <f t="shared" si="0"/>
        <v>0</v>
      </c>
      <c r="G166" s="8">
        <v>77</v>
      </c>
      <c r="H166" s="8">
        <v>5</v>
      </c>
      <c r="I166" s="8">
        <v>4</v>
      </c>
      <c r="J166" s="8">
        <v>0</v>
      </c>
      <c r="K166" s="8">
        <v>0</v>
      </c>
      <c r="L166" s="8">
        <v>13</v>
      </c>
      <c r="M166" s="8">
        <v>1</v>
      </c>
      <c r="N166" s="8">
        <v>0</v>
      </c>
      <c r="O166" s="8">
        <v>0</v>
      </c>
      <c r="P166" s="8">
        <f t="shared" si="1"/>
        <v>14</v>
      </c>
      <c r="Q166" s="10">
        <f t="shared" si="2"/>
        <v>13</v>
      </c>
      <c r="R166" s="26">
        <v>13.9</v>
      </c>
      <c r="S166" s="28">
        <v>33.799999999999997</v>
      </c>
      <c r="T166" s="8">
        <v>1</v>
      </c>
      <c r="U166" s="8">
        <v>1</v>
      </c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</row>
    <row r="167" spans="1:38" ht="15.75" customHeight="1" x14ac:dyDescent="0.35">
      <c r="A167" s="42"/>
      <c r="B167" s="8">
        <v>166</v>
      </c>
      <c r="C167" s="9" t="s">
        <v>263</v>
      </c>
      <c r="D167" s="7" t="s">
        <v>23</v>
      </c>
      <c r="E167" s="8">
        <v>7</v>
      </c>
      <c r="F167" s="7">
        <f t="shared" si="0"/>
        <v>17</v>
      </c>
      <c r="G167" s="8">
        <v>68</v>
      </c>
      <c r="H167" s="8">
        <v>3</v>
      </c>
      <c r="I167" s="8">
        <v>0</v>
      </c>
      <c r="J167" s="8">
        <v>2</v>
      </c>
      <c r="K167" s="8">
        <v>1</v>
      </c>
      <c r="L167" s="8">
        <v>8</v>
      </c>
      <c r="M167" s="8">
        <v>4</v>
      </c>
      <c r="N167" s="8">
        <v>1</v>
      </c>
      <c r="O167" s="8">
        <v>0</v>
      </c>
      <c r="P167" s="8">
        <f t="shared" si="1"/>
        <v>12</v>
      </c>
      <c r="Q167" s="10">
        <f t="shared" si="2"/>
        <v>8</v>
      </c>
      <c r="R167" s="26">
        <v>22.6</v>
      </c>
      <c r="S167" s="30">
        <v>229</v>
      </c>
      <c r="T167" s="8">
        <v>1</v>
      </c>
      <c r="U167" s="8">
        <v>3</v>
      </c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</row>
    <row r="168" spans="1:38" ht="15.75" customHeight="1" x14ac:dyDescent="0.35">
      <c r="A168" s="42"/>
      <c r="B168" s="8">
        <v>167</v>
      </c>
      <c r="C168" s="9" t="s">
        <v>264</v>
      </c>
      <c r="D168" s="7" t="s">
        <v>23</v>
      </c>
      <c r="E168" s="8">
        <v>7</v>
      </c>
      <c r="F168" s="7">
        <f t="shared" si="0"/>
        <v>12</v>
      </c>
      <c r="G168" s="8">
        <v>67</v>
      </c>
      <c r="H168" s="8">
        <v>4</v>
      </c>
      <c r="I168" s="8">
        <v>2</v>
      </c>
      <c r="J168" s="8">
        <v>2</v>
      </c>
      <c r="K168" s="8">
        <v>1</v>
      </c>
      <c r="L168" s="8">
        <v>10</v>
      </c>
      <c r="M168" s="8">
        <v>5</v>
      </c>
      <c r="N168" s="8">
        <v>0</v>
      </c>
      <c r="O168" s="8">
        <v>1</v>
      </c>
      <c r="P168" s="8">
        <f t="shared" si="1"/>
        <v>15</v>
      </c>
      <c r="Q168" s="10">
        <f t="shared" si="2"/>
        <v>10</v>
      </c>
      <c r="R168" s="26">
        <v>15.2</v>
      </c>
      <c r="S168" s="30">
        <v>424</v>
      </c>
      <c r="T168" s="8">
        <v>1</v>
      </c>
      <c r="U168" s="8">
        <v>3</v>
      </c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</row>
    <row r="169" spans="1:38" ht="15.75" customHeight="1" x14ac:dyDescent="0.35">
      <c r="A169" s="42"/>
      <c r="B169" s="8">
        <v>168</v>
      </c>
      <c r="C169" s="9" t="s">
        <v>265</v>
      </c>
      <c r="D169" s="7" t="s">
        <v>38</v>
      </c>
      <c r="E169" s="8">
        <v>1</v>
      </c>
      <c r="F169" s="7">
        <f t="shared" si="0"/>
        <v>64</v>
      </c>
      <c r="G169" s="8">
        <v>15</v>
      </c>
      <c r="H169" s="8">
        <v>3</v>
      </c>
      <c r="I169" s="8">
        <v>2</v>
      </c>
      <c r="J169" s="8">
        <v>4</v>
      </c>
      <c r="K169" s="8">
        <v>1</v>
      </c>
      <c r="L169" s="8">
        <v>11</v>
      </c>
      <c r="M169" s="8">
        <v>5</v>
      </c>
      <c r="N169" s="8">
        <v>1</v>
      </c>
      <c r="O169" s="8">
        <v>0</v>
      </c>
      <c r="P169" s="8">
        <f t="shared" si="1"/>
        <v>16</v>
      </c>
      <c r="Q169" s="10">
        <f t="shared" si="2"/>
        <v>11</v>
      </c>
      <c r="R169" s="26">
        <v>16.399999999999999</v>
      </c>
      <c r="S169" s="30">
        <v>231</v>
      </c>
      <c r="T169" s="8">
        <v>1</v>
      </c>
      <c r="U169" s="8">
        <v>3</v>
      </c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</row>
    <row r="170" spans="1:38" ht="15.75" customHeight="1" x14ac:dyDescent="0.35">
      <c r="A170" s="42"/>
      <c r="B170" s="8">
        <v>169</v>
      </c>
      <c r="C170" s="9" t="s">
        <v>266</v>
      </c>
      <c r="D170" s="7" t="s">
        <v>45</v>
      </c>
      <c r="E170" s="8">
        <v>9</v>
      </c>
      <c r="F170" s="7">
        <f t="shared" si="0"/>
        <v>60</v>
      </c>
      <c r="G170" s="8">
        <v>20</v>
      </c>
      <c r="H170" s="8">
        <v>2</v>
      </c>
      <c r="I170" s="8">
        <v>1</v>
      </c>
      <c r="J170" s="8">
        <v>3</v>
      </c>
      <c r="K170" s="8">
        <v>0</v>
      </c>
      <c r="L170" s="8">
        <v>14</v>
      </c>
      <c r="M170" s="8">
        <v>3</v>
      </c>
      <c r="N170" s="8">
        <v>1</v>
      </c>
      <c r="O170" s="8">
        <v>0</v>
      </c>
      <c r="P170" s="8">
        <f t="shared" si="1"/>
        <v>17</v>
      </c>
      <c r="Q170" s="10">
        <f t="shared" si="2"/>
        <v>14</v>
      </c>
      <c r="R170" s="26">
        <v>14.7</v>
      </c>
      <c r="S170" s="28">
        <v>13.8</v>
      </c>
      <c r="T170" s="8">
        <v>2</v>
      </c>
      <c r="U170" s="8">
        <v>1</v>
      </c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</row>
    <row r="171" spans="1:38" ht="15.75" customHeight="1" x14ac:dyDescent="0.35">
      <c r="A171" s="42"/>
      <c r="B171" s="8">
        <v>170</v>
      </c>
      <c r="C171" s="9" t="s">
        <v>267</v>
      </c>
      <c r="D171" s="8" t="s">
        <v>268</v>
      </c>
      <c r="E171" s="8">
        <v>6</v>
      </c>
      <c r="F171" s="7">
        <f t="shared" si="0"/>
        <v>12</v>
      </c>
      <c r="G171" s="8">
        <v>55</v>
      </c>
      <c r="H171" s="8">
        <v>8</v>
      </c>
      <c r="I171" s="8">
        <v>5</v>
      </c>
      <c r="J171" s="8">
        <v>2</v>
      </c>
      <c r="K171" s="8">
        <v>0</v>
      </c>
      <c r="L171" s="8">
        <v>16</v>
      </c>
      <c r="M171" s="8">
        <v>4</v>
      </c>
      <c r="N171" s="8">
        <v>1</v>
      </c>
      <c r="O171" s="8">
        <v>0</v>
      </c>
      <c r="P171" s="8">
        <f t="shared" si="1"/>
        <v>20</v>
      </c>
      <c r="Q171" s="10">
        <f t="shared" si="2"/>
        <v>16</v>
      </c>
      <c r="R171" s="26">
        <v>20.2</v>
      </c>
      <c r="S171" s="27">
        <v>65.8</v>
      </c>
      <c r="T171" s="8">
        <v>1</v>
      </c>
      <c r="U171" s="8">
        <v>2</v>
      </c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</row>
    <row r="172" spans="1:38" ht="15.75" customHeight="1" x14ac:dyDescent="0.35">
      <c r="A172" s="42"/>
      <c r="B172" s="8">
        <v>171</v>
      </c>
      <c r="C172" s="9" t="s">
        <v>269</v>
      </c>
      <c r="D172" s="7" t="s">
        <v>45</v>
      </c>
      <c r="E172" s="8">
        <v>9</v>
      </c>
      <c r="F172" s="7">
        <f t="shared" si="0"/>
        <v>32</v>
      </c>
      <c r="G172" s="8">
        <v>40</v>
      </c>
      <c r="H172" s="8">
        <v>6</v>
      </c>
      <c r="I172" s="8">
        <v>5</v>
      </c>
      <c r="J172" s="8">
        <v>3</v>
      </c>
      <c r="K172" s="8">
        <v>0</v>
      </c>
      <c r="L172" s="8">
        <v>12</v>
      </c>
      <c r="M172" s="8">
        <v>5</v>
      </c>
      <c r="N172" s="8">
        <v>0</v>
      </c>
      <c r="O172" s="8">
        <v>0</v>
      </c>
      <c r="P172" s="8">
        <f t="shared" si="1"/>
        <v>17</v>
      </c>
      <c r="Q172" s="10">
        <f t="shared" si="2"/>
        <v>12</v>
      </c>
      <c r="R172" s="26">
        <v>17.2</v>
      </c>
      <c r="S172" s="27">
        <v>54.9</v>
      </c>
      <c r="T172" s="8">
        <v>2</v>
      </c>
      <c r="U172" s="8">
        <v>2</v>
      </c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</row>
    <row r="173" spans="1:38" ht="15.75" customHeight="1" x14ac:dyDescent="0.35">
      <c r="A173" s="42"/>
      <c r="B173" s="8">
        <v>172</v>
      </c>
      <c r="C173" s="9" t="s">
        <v>270</v>
      </c>
      <c r="D173" s="7" t="s">
        <v>38</v>
      </c>
      <c r="E173" s="8">
        <v>1</v>
      </c>
      <c r="F173" s="7">
        <f t="shared" si="0"/>
        <v>80</v>
      </c>
      <c r="G173" s="8">
        <v>6</v>
      </c>
      <c r="H173" s="8">
        <v>2</v>
      </c>
      <c r="I173" s="8">
        <v>0</v>
      </c>
      <c r="J173" s="8">
        <v>0</v>
      </c>
      <c r="K173" s="8">
        <v>1</v>
      </c>
      <c r="L173" s="8">
        <v>7</v>
      </c>
      <c r="M173" s="8">
        <v>5</v>
      </c>
      <c r="N173" s="8">
        <v>1</v>
      </c>
      <c r="O173" s="8">
        <v>0</v>
      </c>
      <c r="P173" s="8">
        <f t="shared" si="1"/>
        <v>12</v>
      </c>
      <c r="Q173" s="10">
        <f t="shared" si="2"/>
        <v>7</v>
      </c>
      <c r="R173" s="26">
        <v>11.8</v>
      </c>
      <c r="S173" s="27">
        <v>61</v>
      </c>
      <c r="T173" s="8">
        <v>1</v>
      </c>
      <c r="U173" s="8">
        <v>2</v>
      </c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</row>
    <row r="174" spans="1:38" ht="15.75" customHeight="1" x14ac:dyDescent="0.35">
      <c r="A174" s="42"/>
      <c r="B174" s="8">
        <v>173</v>
      </c>
      <c r="C174" s="9" t="s">
        <v>271</v>
      </c>
      <c r="D174" s="20" t="s">
        <v>220</v>
      </c>
      <c r="E174" s="8">
        <v>10</v>
      </c>
      <c r="F174" s="7">
        <f t="shared" si="0"/>
        <v>60</v>
      </c>
      <c r="G174" s="8">
        <v>15</v>
      </c>
      <c r="H174" s="8">
        <v>9</v>
      </c>
      <c r="I174" s="8">
        <v>0</v>
      </c>
      <c r="J174" s="8">
        <v>2</v>
      </c>
      <c r="K174" s="8">
        <v>0</v>
      </c>
      <c r="L174" s="8">
        <v>12</v>
      </c>
      <c r="M174" s="8">
        <v>4</v>
      </c>
      <c r="N174" s="8">
        <v>1</v>
      </c>
      <c r="O174" s="8">
        <v>0</v>
      </c>
      <c r="P174" s="8">
        <f t="shared" si="1"/>
        <v>16</v>
      </c>
      <c r="Q174" s="10">
        <f t="shared" si="2"/>
        <v>12</v>
      </c>
      <c r="R174" s="26">
        <v>17.399999999999999</v>
      </c>
      <c r="S174" s="30">
        <v>220</v>
      </c>
      <c r="T174" s="8">
        <v>2</v>
      </c>
      <c r="U174" s="8">
        <v>3</v>
      </c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</row>
    <row r="175" spans="1:38" ht="15.75" customHeight="1" x14ac:dyDescent="0.35">
      <c r="A175" s="42"/>
      <c r="B175" s="8">
        <v>174</v>
      </c>
      <c r="C175" s="9" t="s">
        <v>272</v>
      </c>
      <c r="D175" s="20" t="s">
        <v>220</v>
      </c>
      <c r="E175" s="8">
        <v>10</v>
      </c>
      <c r="F175" s="7">
        <f t="shared" si="0"/>
        <v>66</v>
      </c>
      <c r="G175" s="8">
        <v>10</v>
      </c>
      <c r="H175" s="8">
        <v>5</v>
      </c>
      <c r="I175" s="8">
        <v>0</v>
      </c>
      <c r="J175" s="8">
        <v>3</v>
      </c>
      <c r="K175" s="8">
        <v>0</v>
      </c>
      <c r="L175" s="8">
        <v>16</v>
      </c>
      <c r="M175" s="8">
        <v>3</v>
      </c>
      <c r="N175" s="8">
        <v>1</v>
      </c>
      <c r="O175" s="8">
        <v>1</v>
      </c>
      <c r="P175" s="8">
        <f t="shared" si="1"/>
        <v>19</v>
      </c>
      <c r="Q175" s="10">
        <f t="shared" si="2"/>
        <v>16</v>
      </c>
      <c r="R175" s="26">
        <v>20.399999999999999</v>
      </c>
      <c r="S175" s="31">
        <v>2790</v>
      </c>
      <c r="T175" s="8">
        <v>2</v>
      </c>
      <c r="U175" s="8">
        <v>5</v>
      </c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</row>
    <row r="176" spans="1:38" ht="15.75" customHeight="1" x14ac:dyDescent="0.35">
      <c r="A176" s="42"/>
      <c r="B176" s="8">
        <v>175</v>
      </c>
      <c r="C176" s="9" t="s">
        <v>273</v>
      </c>
      <c r="D176" s="7" t="s">
        <v>38</v>
      </c>
      <c r="E176" s="8">
        <v>1</v>
      </c>
      <c r="F176" s="7">
        <f t="shared" si="0"/>
        <v>83</v>
      </c>
      <c r="G176" s="8">
        <v>5</v>
      </c>
      <c r="H176" s="8">
        <v>0</v>
      </c>
      <c r="I176" s="8">
        <v>0</v>
      </c>
      <c r="J176" s="8">
        <v>0</v>
      </c>
      <c r="K176" s="8">
        <v>1</v>
      </c>
      <c r="L176" s="8">
        <v>8</v>
      </c>
      <c r="M176" s="8">
        <v>4</v>
      </c>
      <c r="N176" s="8">
        <v>1</v>
      </c>
      <c r="O176" s="8">
        <v>1</v>
      </c>
      <c r="P176" s="8">
        <f t="shared" si="1"/>
        <v>12</v>
      </c>
      <c r="Q176" s="10">
        <f t="shared" si="2"/>
        <v>8</v>
      </c>
      <c r="R176" s="26">
        <v>9.4</v>
      </c>
      <c r="S176" s="29">
        <v>505</v>
      </c>
      <c r="T176" s="8">
        <v>1</v>
      </c>
      <c r="U176" s="8">
        <v>4</v>
      </c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</row>
    <row r="177" spans="1:38" ht="15.75" customHeight="1" x14ac:dyDescent="0.35">
      <c r="A177" s="42"/>
      <c r="B177" s="8">
        <v>176</v>
      </c>
      <c r="C177" s="9" t="s">
        <v>274</v>
      </c>
      <c r="D177" s="8" t="s">
        <v>268</v>
      </c>
      <c r="E177" s="8">
        <v>6</v>
      </c>
      <c r="F177" s="7">
        <f t="shared" si="0"/>
        <v>14</v>
      </c>
      <c r="G177" s="8">
        <v>60</v>
      </c>
      <c r="H177" s="8">
        <v>8</v>
      </c>
      <c r="I177" s="8">
        <v>3</v>
      </c>
      <c r="J177" s="8">
        <v>2</v>
      </c>
      <c r="K177" s="8">
        <v>0</v>
      </c>
      <c r="L177" s="8">
        <v>10</v>
      </c>
      <c r="M177" s="8">
        <v>5</v>
      </c>
      <c r="N177" s="8">
        <v>1</v>
      </c>
      <c r="O177" s="8">
        <v>1</v>
      </c>
      <c r="P177" s="8">
        <f t="shared" si="1"/>
        <v>15</v>
      </c>
      <c r="Q177" s="10">
        <f t="shared" si="2"/>
        <v>10</v>
      </c>
      <c r="R177" s="26">
        <v>22.4</v>
      </c>
      <c r="S177" s="30">
        <v>416</v>
      </c>
      <c r="T177" s="8">
        <v>1</v>
      </c>
      <c r="U177" s="8">
        <v>3</v>
      </c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</row>
    <row r="178" spans="1:38" ht="15.75" customHeight="1" x14ac:dyDescent="0.35">
      <c r="A178" s="42"/>
      <c r="B178" s="8">
        <v>177</v>
      </c>
      <c r="C178" s="9" t="s">
        <v>275</v>
      </c>
      <c r="D178" s="7" t="s">
        <v>45</v>
      </c>
      <c r="E178" s="8">
        <v>9</v>
      </c>
      <c r="F178" s="7">
        <f t="shared" si="0"/>
        <v>35</v>
      </c>
      <c r="G178" s="8">
        <v>35</v>
      </c>
      <c r="H178" s="8">
        <v>12</v>
      </c>
      <c r="I178" s="8">
        <v>2</v>
      </c>
      <c r="J178" s="8">
        <v>3</v>
      </c>
      <c r="K178" s="8">
        <v>0</v>
      </c>
      <c r="L178" s="8">
        <v>8</v>
      </c>
      <c r="M178" s="8">
        <v>8</v>
      </c>
      <c r="N178" s="8">
        <v>0</v>
      </c>
      <c r="O178" s="8">
        <v>0</v>
      </c>
      <c r="P178" s="8">
        <f t="shared" si="1"/>
        <v>16</v>
      </c>
      <c r="Q178" s="10">
        <f t="shared" si="2"/>
        <v>8</v>
      </c>
      <c r="R178" s="26">
        <v>0.01</v>
      </c>
      <c r="S178" s="28">
        <v>0</v>
      </c>
      <c r="T178" s="8">
        <v>2</v>
      </c>
      <c r="U178" s="8">
        <v>1</v>
      </c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</row>
    <row r="179" spans="1:38" ht="15.75" customHeight="1" x14ac:dyDescent="0.35">
      <c r="A179" s="42"/>
      <c r="B179" s="8">
        <v>178</v>
      </c>
      <c r="C179" s="9" t="s">
        <v>276</v>
      </c>
      <c r="D179" s="7" t="s">
        <v>45</v>
      </c>
      <c r="E179" s="8">
        <v>9</v>
      </c>
      <c r="F179" s="7">
        <f t="shared" si="0"/>
        <v>33</v>
      </c>
      <c r="G179" s="8">
        <v>30</v>
      </c>
      <c r="H179" s="8">
        <v>14</v>
      </c>
      <c r="I179" s="8">
        <v>5</v>
      </c>
      <c r="J179" s="8">
        <v>3</v>
      </c>
      <c r="K179" s="8">
        <v>0</v>
      </c>
      <c r="L179" s="8">
        <v>14</v>
      </c>
      <c r="M179" s="8">
        <v>4</v>
      </c>
      <c r="N179" s="8">
        <v>1</v>
      </c>
      <c r="O179" s="8">
        <v>0</v>
      </c>
      <c r="P179" s="8">
        <f t="shared" si="1"/>
        <v>18</v>
      </c>
      <c r="Q179" s="10">
        <f t="shared" si="2"/>
        <v>14</v>
      </c>
      <c r="R179" s="26">
        <v>19</v>
      </c>
      <c r="S179" s="30">
        <v>133</v>
      </c>
      <c r="T179" s="8">
        <v>2</v>
      </c>
      <c r="U179" s="8">
        <v>3</v>
      </c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</row>
    <row r="180" spans="1:38" ht="15.75" customHeight="1" x14ac:dyDescent="0.35">
      <c r="A180" s="42"/>
      <c r="B180" s="8">
        <v>179</v>
      </c>
      <c r="C180" s="9" t="s">
        <v>277</v>
      </c>
      <c r="D180" s="7" t="s">
        <v>45</v>
      </c>
      <c r="E180" s="8">
        <v>9</v>
      </c>
      <c r="F180" s="7">
        <f t="shared" si="0"/>
        <v>49</v>
      </c>
      <c r="G180" s="8">
        <v>26</v>
      </c>
      <c r="H180" s="8">
        <v>6</v>
      </c>
      <c r="I180" s="8">
        <v>2</v>
      </c>
      <c r="J180" s="8">
        <v>3</v>
      </c>
      <c r="K180" s="8">
        <v>0</v>
      </c>
      <c r="L180" s="8">
        <v>12</v>
      </c>
      <c r="M180" s="8">
        <v>5</v>
      </c>
      <c r="N180" s="8">
        <v>0</v>
      </c>
      <c r="O180" s="8">
        <v>0</v>
      </c>
      <c r="P180" s="8">
        <f t="shared" si="1"/>
        <v>17</v>
      </c>
      <c r="Q180" s="10">
        <f t="shared" si="2"/>
        <v>12</v>
      </c>
      <c r="R180" s="26">
        <v>20.100000000000001</v>
      </c>
      <c r="S180" s="30">
        <v>202</v>
      </c>
      <c r="T180" s="8">
        <v>2</v>
      </c>
      <c r="U180" s="8">
        <v>3</v>
      </c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</row>
    <row r="181" spans="1:38" ht="15.75" customHeight="1" x14ac:dyDescent="0.35">
      <c r="A181" s="42"/>
      <c r="B181" s="8">
        <v>180</v>
      </c>
      <c r="C181" s="9" t="s">
        <v>278</v>
      </c>
      <c r="D181" s="7" t="s">
        <v>45</v>
      </c>
      <c r="E181" s="8">
        <v>9</v>
      </c>
      <c r="F181" s="7">
        <f t="shared" si="0"/>
        <v>43</v>
      </c>
      <c r="G181" s="8">
        <v>33</v>
      </c>
      <c r="H181" s="8">
        <v>5</v>
      </c>
      <c r="I181" s="8">
        <v>2</v>
      </c>
      <c r="J181" s="8">
        <v>3</v>
      </c>
      <c r="K181" s="8">
        <v>0</v>
      </c>
      <c r="L181" s="8">
        <v>14</v>
      </c>
      <c r="M181" s="8">
        <v>3</v>
      </c>
      <c r="N181" s="8">
        <v>0</v>
      </c>
      <c r="O181" s="8">
        <v>1</v>
      </c>
      <c r="P181" s="8">
        <f t="shared" si="1"/>
        <v>17</v>
      </c>
      <c r="Q181" s="10">
        <f t="shared" si="2"/>
        <v>14</v>
      </c>
      <c r="R181" s="26">
        <v>23.3</v>
      </c>
      <c r="S181" s="31">
        <v>2240</v>
      </c>
      <c r="T181" s="8">
        <v>2</v>
      </c>
      <c r="U181" s="8">
        <v>5</v>
      </c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</row>
    <row r="182" spans="1:38" ht="15.75" customHeight="1" x14ac:dyDescent="0.35">
      <c r="A182" s="42"/>
      <c r="B182" s="8">
        <v>181</v>
      </c>
      <c r="C182" s="9" t="s">
        <v>279</v>
      </c>
      <c r="D182" s="7" t="s">
        <v>45</v>
      </c>
      <c r="E182" s="8">
        <v>9</v>
      </c>
      <c r="F182" s="32">
        <f t="shared" si="0"/>
        <v>61</v>
      </c>
      <c r="G182" s="8">
        <v>12</v>
      </c>
      <c r="H182" s="8">
        <v>2</v>
      </c>
      <c r="I182" s="8">
        <v>0</v>
      </c>
      <c r="J182" s="8">
        <v>3</v>
      </c>
      <c r="K182" s="8">
        <v>0</v>
      </c>
      <c r="L182" s="8">
        <v>16</v>
      </c>
      <c r="M182" s="10">
        <v>9</v>
      </c>
      <c r="N182" s="8">
        <v>0</v>
      </c>
      <c r="O182" s="8">
        <v>0</v>
      </c>
      <c r="P182" s="10">
        <f t="shared" si="1"/>
        <v>25</v>
      </c>
      <c r="Q182" s="10">
        <f t="shared" si="2"/>
        <v>16</v>
      </c>
      <c r="R182" s="26">
        <v>20.9</v>
      </c>
      <c r="S182" s="27">
        <v>96.8</v>
      </c>
      <c r="T182" s="8">
        <v>2</v>
      </c>
      <c r="U182" s="8">
        <v>2</v>
      </c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</row>
    <row r="183" spans="1:38" ht="15.75" customHeight="1" x14ac:dyDescent="0.35">
      <c r="A183" s="42"/>
      <c r="B183" s="8">
        <v>182</v>
      </c>
      <c r="C183" s="9" t="s">
        <v>280</v>
      </c>
      <c r="D183" s="7" t="s">
        <v>45</v>
      </c>
      <c r="E183" s="8">
        <v>9</v>
      </c>
      <c r="F183" s="7">
        <f t="shared" si="0"/>
        <v>38</v>
      </c>
      <c r="G183" s="8">
        <v>44</v>
      </c>
      <c r="H183" s="8">
        <v>5</v>
      </c>
      <c r="I183" s="8">
        <v>0</v>
      </c>
      <c r="J183" s="8">
        <v>3</v>
      </c>
      <c r="K183" s="8">
        <v>0</v>
      </c>
      <c r="L183" s="8">
        <v>10</v>
      </c>
      <c r="M183" s="8">
        <v>3</v>
      </c>
      <c r="N183" s="8">
        <v>0</v>
      </c>
      <c r="O183" s="8">
        <v>0</v>
      </c>
      <c r="P183" s="8">
        <f t="shared" si="1"/>
        <v>13</v>
      </c>
      <c r="Q183" s="10">
        <f t="shared" si="2"/>
        <v>10</v>
      </c>
      <c r="R183" s="26">
        <v>20</v>
      </c>
      <c r="S183" s="27">
        <v>64.3</v>
      </c>
      <c r="T183" s="8">
        <v>2</v>
      </c>
      <c r="U183" s="8">
        <v>2</v>
      </c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</row>
    <row r="184" spans="1:38" ht="15.75" customHeight="1" x14ac:dyDescent="0.35">
      <c r="A184" s="42"/>
      <c r="B184" s="8">
        <v>183</v>
      </c>
      <c r="C184" s="9" t="s">
        <v>281</v>
      </c>
      <c r="D184" s="7" t="s">
        <v>45</v>
      </c>
      <c r="E184" s="8">
        <v>9</v>
      </c>
      <c r="F184" s="7">
        <f t="shared" si="0"/>
        <v>28</v>
      </c>
      <c r="G184" s="8">
        <v>30</v>
      </c>
      <c r="H184" s="8">
        <v>16</v>
      </c>
      <c r="I184" s="8">
        <v>14</v>
      </c>
      <c r="J184" s="8">
        <v>3</v>
      </c>
      <c r="K184" s="8">
        <v>0</v>
      </c>
      <c r="L184" s="8">
        <v>8</v>
      </c>
      <c r="M184" s="8">
        <v>4</v>
      </c>
      <c r="N184" s="8">
        <v>0</v>
      </c>
      <c r="O184" s="8">
        <v>0</v>
      </c>
      <c r="P184" s="8">
        <f t="shared" si="1"/>
        <v>12</v>
      </c>
      <c r="Q184" s="10">
        <f t="shared" si="2"/>
        <v>8</v>
      </c>
      <c r="R184" s="26">
        <v>17.8</v>
      </c>
      <c r="S184" s="28">
        <v>22.4</v>
      </c>
      <c r="T184" s="8">
        <v>2</v>
      </c>
      <c r="U184" s="8">
        <v>1</v>
      </c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</row>
    <row r="185" spans="1:38" ht="15.75" customHeight="1" x14ac:dyDescent="0.35">
      <c r="A185" s="42"/>
      <c r="B185" s="8">
        <v>184</v>
      </c>
      <c r="C185" s="9" t="s">
        <v>282</v>
      </c>
      <c r="D185" s="7" t="s">
        <v>45</v>
      </c>
      <c r="E185" s="8">
        <v>9</v>
      </c>
      <c r="F185" s="7">
        <f t="shared" si="0"/>
        <v>34</v>
      </c>
      <c r="G185" s="8">
        <v>35</v>
      </c>
      <c r="H185" s="8">
        <v>20</v>
      </c>
      <c r="I185" s="8">
        <v>0</v>
      </c>
      <c r="J185" s="8">
        <v>3</v>
      </c>
      <c r="K185" s="8">
        <v>0</v>
      </c>
      <c r="L185" s="8">
        <v>8</v>
      </c>
      <c r="M185" s="8">
        <v>3</v>
      </c>
      <c r="N185" s="8">
        <v>0</v>
      </c>
      <c r="O185" s="8">
        <v>0</v>
      </c>
      <c r="P185" s="8">
        <f t="shared" si="1"/>
        <v>11</v>
      </c>
      <c r="Q185" s="10">
        <f t="shared" si="2"/>
        <v>8</v>
      </c>
      <c r="R185" s="26">
        <v>17.100000000000001</v>
      </c>
      <c r="S185" s="28">
        <v>13.4</v>
      </c>
      <c r="T185" s="8">
        <v>2</v>
      </c>
      <c r="U185" s="8">
        <v>1</v>
      </c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</row>
    <row r="186" spans="1:38" ht="15.75" customHeight="1" x14ac:dyDescent="0.35">
      <c r="A186" s="42"/>
      <c r="B186" s="8">
        <v>185</v>
      </c>
      <c r="C186" s="9" t="s">
        <v>283</v>
      </c>
      <c r="D186" s="7" t="s">
        <v>45</v>
      </c>
      <c r="E186" s="8">
        <v>9</v>
      </c>
      <c r="F186" s="7">
        <f t="shared" si="0"/>
        <v>40</v>
      </c>
      <c r="G186" s="8">
        <v>14</v>
      </c>
      <c r="H186" s="8">
        <v>40</v>
      </c>
      <c r="I186" s="8">
        <v>0</v>
      </c>
      <c r="J186" s="8">
        <v>3</v>
      </c>
      <c r="K186" s="8">
        <v>0</v>
      </c>
      <c r="L186" s="8">
        <v>6</v>
      </c>
      <c r="M186" s="8">
        <v>0</v>
      </c>
      <c r="N186" s="8">
        <v>0</v>
      </c>
      <c r="O186" s="8">
        <v>0</v>
      </c>
      <c r="P186" s="8">
        <f t="shared" si="1"/>
        <v>6</v>
      </c>
      <c r="Q186" s="10">
        <f t="shared" si="2"/>
        <v>6</v>
      </c>
      <c r="R186" s="26">
        <v>0.01</v>
      </c>
      <c r="S186" s="28">
        <v>0</v>
      </c>
      <c r="T186" s="8">
        <v>2</v>
      </c>
      <c r="U186" s="8">
        <v>1</v>
      </c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</row>
    <row r="187" spans="1:38" ht="15.75" customHeight="1" x14ac:dyDescent="0.35">
      <c r="A187" s="42"/>
      <c r="B187" s="8">
        <v>186</v>
      </c>
      <c r="C187" s="9" t="s">
        <v>284</v>
      </c>
      <c r="D187" s="7" t="s">
        <v>45</v>
      </c>
      <c r="E187" s="8">
        <v>9</v>
      </c>
      <c r="F187" s="7">
        <f t="shared" si="0"/>
        <v>48</v>
      </c>
      <c r="G187" s="8">
        <v>20</v>
      </c>
      <c r="H187" s="8">
        <v>10</v>
      </c>
      <c r="I187" s="8">
        <v>8</v>
      </c>
      <c r="J187" s="8">
        <v>3</v>
      </c>
      <c r="K187" s="8">
        <v>0</v>
      </c>
      <c r="L187" s="8">
        <v>10</v>
      </c>
      <c r="M187" s="8">
        <v>4</v>
      </c>
      <c r="N187" s="8">
        <v>0</v>
      </c>
      <c r="O187" s="8">
        <v>0</v>
      </c>
      <c r="P187" s="8">
        <f t="shared" si="1"/>
        <v>14</v>
      </c>
      <c r="Q187" s="10">
        <f t="shared" si="2"/>
        <v>10</v>
      </c>
      <c r="R187" s="26">
        <v>8.6999999999999993</v>
      </c>
      <c r="S187" s="28">
        <v>7.48</v>
      </c>
      <c r="T187" s="8">
        <v>2</v>
      </c>
      <c r="U187" s="8">
        <v>1</v>
      </c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</row>
    <row r="188" spans="1:38" ht="15.75" customHeight="1" x14ac:dyDescent="0.35">
      <c r="A188" s="42"/>
      <c r="B188" s="8">
        <v>187</v>
      </c>
      <c r="C188" s="9" t="s">
        <v>285</v>
      </c>
      <c r="D188" s="7" t="s">
        <v>27</v>
      </c>
      <c r="E188" s="8">
        <v>2</v>
      </c>
      <c r="F188" s="7">
        <f t="shared" si="0"/>
        <v>37</v>
      </c>
      <c r="G188" s="8">
        <v>35</v>
      </c>
      <c r="H188" s="8">
        <v>5</v>
      </c>
      <c r="I188" s="8">
        <v>8</v>
      </c>
      <c r="J188" s="8">
        <v>3</v>
      </c>
      <c r="K188" s="8">
        <v>0</v>
      </c>
      <c r="L188" s="8">
        <v>12</v>
      </c>
      <c r="M188" s="8">
        <v>3</v>
      </c>
      <c r="N188" s="8">
        <v>0</v>
      </c>
      <c r="O188" s="8">
        <v>0</v>
      </c>
      <c r="P188" s="8">
        <f t="shared" si="1"/>
        <v>15</v>
      </c>
      <c r="Q188" s="10">
        <f t="shared" si="2"/>
        <v>12</v>
      </c>
      <c r="R188" s="26">
        <v>16.8</v>
      </c>
      <c r="S188" s="27">
        <v>67.900000000000006</v>
      </c>
      <c r="T188" s="8">
        <v>1</v>
      </c>
      <c r="U188" s="8">
        <v>2</v>
      </c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</row>
    <row r="189" spans="1:38" ht="15.75" customHeight="1" x14ac:dyDescent="0.35">
      <c r="A189" s="42"/>
      <c r="B189" s="8">
        <v>188</v>
      </c>
      <c r="C189" s="9" t="s">
        <v>286</v>
      </c>
      <c r="D189" s="7" t="s">
        <v>38</v>
      </c>
      <c r="E189" s="8">
        <v>1</v>
      </c>
      <c r="F189" s="7">
        <f t="shared" si="0"/>
        <v>90</v>
      </c>
      <c r="G189" s="8">
        <v>2</v>
      </c>
      <c r="H189" s="8">
        <v>0</v>
      </c>
      <c r="I189" s="8">
        <v>0</v>
      </c>
      <c r="J189" s="8">
        <v>0</v>
      </c>
      <c r="K189" s="8">
        <v>1</v>
      </c>
      <c r="L189" s="8">
        <v>6</v>
      </c>
      <c r="M189" s="8">
        <v>2</v>
      </c>
      <c r="N189" s="8">
        <v>1</v>
      </c>
      <c r="O189" s="8">
        <v>1</v>
      </c>
      <c r="P189" s="8">
        <f t="shared" si="1"/>
        <v>8</v>
      </c>
      <c r="Q189" s="10">
        <f t="shared" si="2"/>
        <v>6</v>
      </c>
      <c r="R189" s="26">
        <v>12.6</v>
      </c>
      <c r="S189" s="30">
        <v>311</v>
      </c>
      <c r="T189" s="8">
        <v>1</v>
      </c>
      <c r="U189" s="8">
        <v>3</v>
      </c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</row>
    <row r="190" spans="1:38" ht="15.75" customHeight="1" x14ac:dyDescent="0.35">
      <c r="A190" s="42"/>
      <c r="B190" s="8">
        <v>189</v>
      </c>
      <c r="C190" s="9" t="s">
        <v>287</v>
      </c>
      <c r="D190" s="7" t="s">
        <v>27</v>
      </c>
      <c r="E190" s="8">
        <v>2</v>
      </c>
      <c r="F190" s="7">
        <f t="shared" si="0"/>
        <v>39</v>
      </c>
      <c r="G190" s="8">
        <v>43</v>
      </c>
      <c r="H190" s="8">
        <v>0</v>
      </c>
      <c r="I190" s="8">
        <v>5</v>
      </c>
      <c r="J190" s="8">
        <v>3</v>
      </c>
      <c r="K190" s="8">
        <v>0</v>
      </c>
      <c r="L190" s="8">
        <v>10</v>
      </c>
      <c r="M190" s="8">
        <v>3</v>
      </c>
      <c r="N190" s="8">
        <v>1</v>
      </c>
      <c r="O190" s="8">
        <v>1</v>
      </c>
      <c r="P190" s="8">
        <f t="shared" si="1"/>
        <v>13</v>
      </c>
      <c r="Q190" s="10">
        <f t="shared" si="2"/>
        <v>10</v>
      </c>
      <c r="R190" s="26">
        <v>23</v>
      </c>
      <c r="S190" s="30">
        <v>320</v>
      </c>
      <c r="T190" s="8">
        <v>1</v>
      </c>
      <c r="U190" s="8">
        <v>3</v>
      </c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</row>
    <row r="191" spans="1:38" ht="15.75" customHeight="1" x14ac:dyDescent="0.35">
      <c r="A191" s="42"/>
      <c r="B191" s="8">
        <v>190</v>
      </c>
      <c r="C191" s="9" t="s">
        <v>288</v>
      </c>
      <c r="D191" s="7" t="s">
        <v>27</v>
      </c>
      <c r="E191" s="8">
        <v>2</v>
      </c>
      <c r="F191" s="7">
        <f t="shared" si="0"/>
        <v>30</v>
      </c>
      <c r="G191" s="8">
        <v>40</v>
      </c>
      <c r="H191" s="8">
        <v>10</v>
      </c>
      <c r="I191" s="8">
        <v>0</v>
      </c>
      <c r="J191" s="8">
        <v>4</v>
      </c>
      <c r="K191" s="8">
        <v>0</v>
      </c>
      <c r="L191" s="8">
        <v>14</v>
      </c>
      <c r="M191" s="8">
        <v>6</v>
      </c>
      <c r="N191" s="8">
        <v>1</v>
      </c>
      <c r="O191" s="8">
        <v>1</v>
      </c>
      <c r="P191" s="8">
        <f t="shared" si="1"/>
        <v>20</v>
      </c>
      <c r="Q191" s="10">
        <f t="shared" si="2"/>
        <v>14</v>
      </c>
      <c r="R191" s="26">
        <v>26.6</v>
      </c>
      <c r="S191" s="30">
        <v>449</v>
      </c>
      <c r="T191" s="8">
        <v>1</v>
      </c>
      <c r="U191" s="8">
        <v>3</v>
      </c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</row>
    <row r="192" spans="1:38" ht="15.75" customHeight="1" x14ac:dyDescent="0.35">
      <c r="A192" s="42"/>
      <c r="B192" s="8">
        <v>191</v>
      </c>
      <c r="C192" s="9" t="s">
        <v>289</v>
      </c>
      <c r="D192" s="7" t="s">
        <v>27</v>
      </c>
      <c r="E192" s="8">
        <v>2</v>
      </c>
      <c r="F192" s="7">
        <f t="shared" si="0"/>
        <v>32</v>
      </c>
      <c r="G192" s="8">
        <v>0</v>
      </c>
      <c r="H192" s="8">
        <v>0</v>
      </c>
      <c r="I192" s="8">
        <v>66</v>
      </c>
      <c r="J192" s="8">
        <v>3</v>
      </c>
      <c r="K192" s="8">
        <v>0</v>
      </c>
      <c r="L192" s="8">
        <v>2</v>
      </c>
      <c r="M192" s="8">
        <v>0</v>
      </c>
      <c r="N192" s="8">
        <v>0</v>
      </c>
      <c r="O192" s="8">
        <v>0</v>
      </c>
      <c r="P192" s="8">
        <f t="shared" si="1"/>
        <v>2</v>
      </c>
      <c r="Q192" s="10">
        <f t="shared" si="2"/>
        <v>2</v>
      </c>
      <c r="R192" s="26">
        <v>7.1</v>
      </c>
      <c r="S192" s="28">
        <v>1.56</v>
      </c>
      <c r="T192" s="8">
        <v>1</v>
      </c>
      <c r="U192" s="8">
        <v>1</v>
      </c>
      <c r="V192" s="14"/>
      <c r="W192" s="14"/>
      <c r="X192" s="14"/>
      <c r="Y192" s="4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</row>
    <row r="193" spans="1:38" ht="15.75" customHeight="1" x14ac:dyDescent="0.35">
      <c r="A193" s="42"/>
      <c r="B193" s="8">
        <v>192</v>
      </c>
      <c r="C193" s="9" t="s">
        <v>290</v>
      </c>
      <c r="D193" s="7" t="s">
        <v>45</v>
      </c>
      <c r="E193" s="8">
        <v>9</v>
      </c>
      <c r="F193" s="7">
        <f t="shared" si="0"/>
        <v>33</v>
      </c>
      <c r="G193" s="8">
        <v>31</v>
      </c>
      <c r="H193" s="8">
        <v>18</v>
      </c>
      <c r="I193" s="8">
        <v>5</v>
      </c>
      <c r="J193" s="8">
        <v>3</v>
      </c>
      <c r="K193" s="8">
        <v>0</v>
      </c>
      <c r="L193" s="8">
        <v>9</v>
      </c>
      <c r="M193" s="8">
        <v>4</v>
      </c>
      <c r="N193" s="8">
        <v>1</v>
      </c>
      <c r="O193" s="8">
        <v>0</v>
      </c>
      <c r="P193" s="8">
        <f t="shared" si="1"/>
        <v>13</v>
      </c>
      <c r="Q193" s="10">
        <f t="shared" si="2"/>
        <v>9</v>
      </c>
      <c r="R193" s="26">
        <v>18.91</v>
      </c>
      <c r="S193" s="28">
        <v>36.04</v>
      </c>
      <c r="T193" s="8">
        <v>2</v>
      </c>
      <c r="U193" s="8">
        <v>1</v>
      </c>
      <c r="V193" s="14"/>
      <c r="W193" s="14"/>
      <c r="X193" s="14"/>
      <c r="Y193" s="42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</row>
    <row r="194" spans="1:38" ht="15.75" customHeight="1" x14ac:dyDescent="0.35">
      <c r="A194" s="42"/>
      <c r="B194" s="8">
        <v>193</v>
      </c>
      <c r="C194" s="9" t="s">
        <v>291</v>
      </c>
      <c r="D194" s="7" t="s">
        <v>45</v>
      </c>
      <c r="E194" s="8">
        <v>9</v>
      </c>
      <c r="F194" s="7">
        <f t="shared" si="0"/>
        <v>53</v>
      </c>
      <c r="G194" s="8">
        <v>15</v>
      </c>
      <c r="H194" s="8">
        <v>8</v>
      </c>
      <c r="I194" s="8">
        <v>8</v>
      </c>
      <c r="J194" s="8">
        <v>3</v>
      </c>
      <c r="K194" s="8">
        <v>0</v>
      </c>
      <c r="L194" s="8">
        <v>12</v>
      </c>
      <c r="M194" s="8">
        <v>4</v>
      </c>
      <c r="N194" s="8">
        <v>1</v>
      </c>
      <c r="O194" s="8">
        <v>0</v>
      </c>
      <c r="P194" s="8">
        <f t="shared" si="1"/>
        <v>16</v>
      </c>
      <c r="Q194" s="10">
        <f t="shared" si="2"/>
        <v>12</v>
      </c>
      <c r="R194" s="26">
        <v>23.29</v>
      </c>
      <c r="S194" s="30">
        <v>367.8</v>
      </c>
      <c r="T194" s="8">
        <v>2</v>
      </c>
      <c r="U194" s="8">
        <v>3</v>
      </c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</row>
    <row r="195" spans="1:38" ht="15.75" customHeight="1" x14ac:dyDescent="0.35">
      <c r="A195" s="42"/>
      <c r="B195" s="8">
        <v>194</v>
      </c>
      <c r="C195" s="9" t="s">
        <v>292</v>
      </c>
      <c r="D195" s="7" t="s">
        <v>27</v>
      </c>
      <c r="E195" s="8">
        <v>2</v>
      </c>
      <c r="F195" s="7">
        <f t="shared" si="0"/>
        <v>47</v>
      </c>
      <c r="G195" s="8">
        <v>25</v>
      </c>
      <c r="H195" s="8">
        <v>8</v>
      </c>
      <c r="I195" s="8">
        <v>12</v>
      </c>
      <c r="J195" s="8">
        <v>3</v>
      </c>
      <c r="K195" s="8">
        <v>0</v>
      </c>
      <c r="L195" s="8">
        <v>6</v>
      </c>
      <c r="M195" s="8">
        <v>2</v>
      </c>
      <c r="N195" s="8">
        <v>0</v>
      </c>
      <c r="O195" s="8">
        <v>0</v>
      </c>
      <c r="P195" s="8">
        <f t="shared" si="1"/>
        <v>8</v>
      </c>
      <c r="Q195" s="10">
        <f t="shared" si="2"/>
        <v>6</v>
      </c>
      <c r="R195" s="26">
        <v>5.4</v>
      </c>
      <c r="S195" s="28">
        <v>2E-3</v>
      </c>
      <c r="T195" s="8">
        <v>1</v>
      </c>
      <c r="U195" s="8">
        <v>1</v>
      </c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</row>
    <row r="196" spans="1:38" ht="15.75" customHeight="1" x14ac:dyDescent="0.35">
      <c r="A196" s="42"/>
      <c r="B196" s="8">
        <v>195</v>
      </c>
      <c r="C196" s="9" t="s">
        <v>293</v>
      </c>
      <c r="D196" s="20" t="s">
        <v>107</v>
      </c>
      <c r="E196" s="8">
        <v>3</v>
      </c>
      <c r="F196" s="7">
        <f t="shared" si="0"/>
        <v>0</v>
      </c>
      <c r="G196" s="8">
        <v>2</v>
      </c>
      <c r="H196" s="8">
        <v>90</v>
      </c>
      <c r="I196" s="8">
        <v>5</v>
      </c>
      <c r="J196" s="8">
        <v>0</v>
      </c>
      <c r="K196" s="8">
        <v>1</v>
      </c>
      <c r="L196" s="8">
        <v>2</v>
      </c>
      <c r="M196" s="8">
        <v>1</v>
      </c>
      <c r="N196" s="8">
        <v>0</v>
      </c>
      <c r="O196" s="8">
        <v>0</v>
      </c>
      <c r="P196" s="8">
        <f t="shared" si="1"/>
        <v>3</v>
      </c>
      <c r="Q196" s="10">
        <f t="shared" si="2"/>
        <v>2</v>
      </c>
      <c r="R196" s="26">
        <v>4.0999999999999996</v>
      </c>
      <c r="S196" s="28">
        <v>0.04</v>
      </c>
      <c r="T196" s="8">
        <v>1</v>
      </c>
      <c r="U196" s="8">
        <v>1</v>
      </c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</row>
    <row r="197" spans="1:38" ht="15.75" customHeight="1" x14ac:dyDescent="0.35">
      <c r="A197" s="42"/>
      <c r="B197" s="8">
        <v>196</v>
      </c>
      <c r="C197" s="9" t="s">
        <v>294</v>
      </c>
      <c r="D197" s="8" t="s">
        <v>295</v>
      </c>
      <c r="E197" s="8">
        <v>11</v>
      </c>
      <c r="F197" s="7">
        <f t="shared" si="0"/>
        <v>0</v>
      </c>
      <c r="G197" s="8">
        <v>5</v>
      </c>
      <c r="H197" s="8">
        <v>85</v>
      </c>
      <c r="I197" s="8">
        <v>5</v>
      </c>
      <c r="J197" s="8">
        <v>3</v>
      </c>
      <c r="K197" s="8">
        <v>0</v>
      </c>
      <c r="L197" s="8">
        <v>4</v>
      </c>
      <c r="M197" s="8">
        <v>1</v>
      </c>
      <c r="N197" s="8">
        <v>1</v>
      </c>
      <c r="O197" s="8">
        <v>0</v>
      </c>
      <c r="P197" s="8">
        <f t="shared" si="1"/>
        <v>5</v>
      </c>
      <c r="Q197" s="10">
        <f t="shared" si="2"/>
        <v>4</v>
      </c>
      <c r="R197" s="26">
        <v>14.29</v>
      </c>
      <c r="S197" s="28">
        <v>0.11700000000000001</v>
      </c>
      <c r="T197" s="8">
        <v>1</v>
      </c>
      <c r="U197" s="8">
        <v>1</v>
      </c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</row>
    <row r="198" spans="1:38" ht="15.75" customHeight="1" x14ac:dyDescent="0.35">
      <c r="A198" s="42"/>
      <c r="B198" s="8">
        <v>197</v>
      </c>
      <c r="C198" s="9" t="s">
        <v>296</v>
      </c>
      <c r="D198" s="20" t="s">
        <v>107</v>
      </c>
      <c r="E198" s="8">
        <v>3</v>
      </c>
      <c r="F198" s="7">
        <f t="shared" si="0"/>
        <v>0</v>
      </c>
      <c r="G198" s="8">
        <v>1</v>
      </c>
      <c r="H198" s="8">
        <v>97</v>
      </c>
      <c r="I198" s="8">
        <v>2</v>
      </c>
      <c r="J198" s="8">
        <v>3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f t="shared" si="1"/>
        <v>0</v>
      </c>
      <c r="Q198" s="10">
        <f t="shared" si="2"/>
        <v>0</v>
      </c>
      <c r="R198" s="26">
        <v>13.26</v>
      </c>
      <c r="S198" s="28">
        <v>1.2999999999999999E-2</v>
      </c>
      <c r="T198" s="8">
        <v>1</v>
      </c>
      <c r="U198" s="8">
        <v>1</v>
      </c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</row>
    <row r="199" spans="1:38" ht="15.75" customHeight="1" x14ac:dyDescent="0.35">
      <c r="A199" s="41" t="s">
        <v>297</v>
      </c>
      <c r="B199" s="8">
        <v>198</v>
      </c>
      <c r="C199" s="33" t="s">
        <v>298</v>
      </c>
      <c r="D199" s="7" t="s">
        <v>45</v>
      </c>
      <c r="E199" s="7">
        <v>9</v>
      </c>
      <c r="F199" s="7">
        <f t="shared" si="0"/>
        <v>71</v>
      </c>
      <c r="G199" s="8">
        <v>10</v>
      </c>
      <c r="H199" s="8">
        <v>3</v>
      </c>
      <c r="I199" s="8">
        <v>2</v>
      </c>
      <c r="J199" s="8">
        <v>4</v>
      </c>
      <c r="K199" s="8">
        <v>0</v>
      </c>
      <c r="L199" s="8">
        <v>12</v>
      </c>
      <c r="M199" s="8">
        <v>2</v>
      </c>
      <c r="N199" s="8">
        <v>0</v>
      </c>
      <c r="O199" s="8">
        <v>1</v>
      </c>
      <c r="P199" s="8">
        <f t="shared" si="1"/>
        <v>14</v>
      </c>
      <c r="Q199" s="10">
        <f t="shared" si="2"/>
        <v>12</v>
      </c>
      <c r="R199" s="11">
        <v>15.1</v>
      </c>
      <c r="S199" s="16">
        <v>125</v>
      </c>
      <c r="T199" s="8">
        <v>2</v>
      </c>
      <c r="U199" s="8">
        <v>3</v>
      </c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</row>
    <row r="200" spans="1:38" ht="15.75" customHeight="1" x14ac:dyDescent="0.35">
      <c r="A200" s="42"/>
      <c r="B200" s="8">
        <v>199</v>
      </c>
      <c r="C200" s="33" t="s">
        <v>299</v>
      </c>
      <c r="D200" s="20" t="s">
        <v>107</v>
      </c>
      <c r="E200" s="7">
        <v>3</v>
      </c>
      <c r="F200" s="7">
        <f t="shared" si="0"/>
        <v>0</v>
      </c>
      <c r="G200" s="8">
        <v>45</v>
      </c>
      <c r="H200" s="8">
        <v>25</v>
      </c>
      <c r="I200" s="8">
        <v>10</v>
      </c>
      <c r="J200" s="8">
        <v>0</v>
      </c>
      <c r="K200" s="8">
        <v>1</v>
      </c>
      <c r="L200" s="8">
        <v>15</v>
      </c>
      <c r="M200" s="8">
        <v>5</v>
      </c>
      <c r="N200" s="8">
        <v>0</v>
      </c>
      <c r="O200" s="8">
        <v>1</v>
      </c>
      <c r="P200" s="8">
        <f t="shared" si="1"/>
        <v>20</v>
      </c>
      <c r="Q200" s="10">
        <f t="shared" si="2"/>
        <v>15</v>
      </c>
      <c r="R200" s="11">
        <v>11.5</v>
      </c>
      <c r="S200" s="16">
        <v>115</v>
      </c>
      <c r="T200" s="8">
        <v>1</v>
      </c>
      <c r="U200" s="8">
        <v>3</v>
      </c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</row>
    <row r="201" spans="1:38" ht="15.75" customHeight="1" x14ac:dyDescent="0.35">
      <c r="A201" s="42"/>
      <c r="B201" s="8">
        <v>200</v>
      </c>
      <c r="C201" s="33" t="s">
        <v>300</v>
      </c>
      <c r="D201" s="20" t="s">
        <v>107</v>
      </c>
      <c r="E201" s="7">
        <v>3</v>
      </c>
      <c r="F201" s="7">
        <f t="shared" si="0"/>
        <v>0</v>
      </c>
      <c r="G201" s="8">
        <v>60</v>
      </c>
      <c r="H201" s="8">
        <v>20</v>
      </c>
      <c r="I201" s="8">
        <v>8</v>
      </c>
      <c r="J201" s="8">
        <v>0</v>
      </c>
      <c r="K201" s="8">
        <v>1</v>
      </c>
      <c r="L201" s="8">
        <v>10</v>
      </c>
      <c r="M201" s="8">
        <v>2</v>
      </c>
      <c r="N201" s="8">
        <v>0</v>
      </c>
      <c r="O201" s="8">
        <v>0</v>
      </c>
      <c r="P201" s="8">
        <f t="shared" si="1"/>
        <v>12</v>
      </c>
      <c r="Q201" s="10">
        <f t="shared" si="2"/>
        <v>10</v>
      </c>
      <c r="R201" s="11">
        <v>8.1</v>
      </c>
      <c r="S201" s="15">
        <v>41.3</v>
      </c>
      <c r="T201" s="8">
        <v>1</v>
      </c>
      <c r="U201" s="8">
        <v>1</v>
      </c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</row>
    <row r="202" spans="1:38" ht="15.75" customHeight="1" x14ac:dyDescent="0.35">
      <c r="A202" s="42"/>
      <c r="B202" s="8">
        <v>201</v>
      </c>
      <c r="C202" s="33" t="s">
        <v>301</v>
      </c>
      <c r="D202" s="20" t="s">
        <v>107</v>
      </c>
      <c r="E202" s="7">
        <v>3</v>
      </c>
      <c r="F202" s="7">
        <f t="shared" si="0"/>
        <v>0</v>
      </c>
      <c r="G202" s="8">
        <v>60</v>
      </c>
      <c r="H202" s="8">
        <v>30</v>
      </c>
      <c r="I202" s="8">
        <v>2</v>
      </c>
      <c r="J202" s="8">
        <v>0</v>
      </c>
      <c r="K202" s="8">
        <v>1</v>
      </c>
      <c r="L202" s="8">
        <v>6</v>
      </c>
      <c r="M202" s="8">
        <v>2</v>
      </c>
      <c r="N202" s="8">
        <v>0</v>
      </c>
      <c r="O202" s="8">
        <v>0</v>
      </c>
      <c r="P202" s="8">
        <f t="shared" si="1"/>
        <v>8</v>
      </c>
      <c r="Q202" s="10">
        <f t="shared" si="2"/>
        <v>6</v>
      </c>
      <c r="R202" s="11">
        <v>4.9000000000000004</v>
      </c>
      <c r="S202" s="15">
        <v>0.3</v>
      </c>
      <c r="T202" s="8">
        <v>1</v>
      </c>
      <c r="U202" s="8">
        <v>1</v>
      </c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</row>
    <row r="203" spans="1:38" ht="15.75" customHeight="1" x14ac:dyDescent="0.35">
      <c r="A203" s="42"/>
      <c r="B203" s="8">
        <v>202</v>
      </c>
      <c r="C203" s="33" t="s">
        <v>302</v>
      </c>
      <c r="D203" s="20" t="s">
        <v>220</v>
      </c>
      <c r="E203" s="7">
        <v>10</v>
      </c>
      <c r="F203" s="7">
        <f t="shared" si="0"/>
        <v>47</v>
      </c>
      <c r="G203" s="8">
        <v>40</v>
      </c>
      <c r="H203" s="8">
        <v>5</v>
      </c>
      <c r="I203" s="8">
        <v>0</v>
      </c>
      <c r="J203" s="8">
        <v>4</v>
      </c>
      <c r="K203" s="8">
        <v>1</v>
      </c>
      <c r="L203" s="8">
        <v>8</v>
      </c>
      <c r="M203" s="8">
        <v>0</v>
      </c>
      <c r="N203" s="8">
        <v>0</v>
      </c>
      <c r="O203" s="8">
        <v>0</v>
      </c>
      <c r="P203" s="8">
        <f t="shared" si="1"/>
        <v>8</v>
      </c>
      <c r="Q203" s="10">
        <f t="shared" si="2"/>
        <v>8</v>
      </c>
      <c r="R203" s="11">
        <v>6.8</v>
      </c>
      <c r="S203" s="15">
        <v>1.79</v>
      </c>
      <c r="T203" s="8">
        <v>2</v>
      </c>
      <c r="U203" s="8">
        <v>1</v>
      </c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</row>
    <row r="204" spans="1:38" ht="15.75" customHeight="1" x14ac:dyDescent="0.35">
      <c r="A204" s="42"/>
      <c r="B204" s="8">
        <v>203</v>
      </c>
      <c r="C204" s="33" t="s">
        <v>303</v>
      </c>
      <c r="D204" s="20" t="s">
        <v>220</v>
      </c>
      <c r="E204" s="7">
        <v>10</v>
      </c>
      <c r="F204" s="7">
        <f t="shared" si="0"/>
        <v>55</v>
      </c>
      <c r="G204" s="8">
        <v>20</v>
      </c>
      <c r="H204" s="8">
        <v>6</v>
      </c>
      <c r="I204" s="8">
        <v>5</v>
      </c>
      <c r="J204" s="8">
        <v>0</v>
      </c>
      <c r="K204" s="8">
        <v>1</v>
      </c>
      <c r="L204" s="8">
        <v>12</v>
      </c>
      <c r="M204" s="8">
        <v>2</v>
      </c>
      <c r="N204" s="8">
        <v>0</v>
      </c>
      <c r="O204" s="8">
        <v>0</v>
      </c>
      <c r="P204" s="8">
        <f t="shared" si="1"/>
        <v>14</v>
      </c>
      <c r="Q204" s="10">
        <f t="shared" si="2"/>
        <v>12</v>
      </c>
      <c r="R204" s="11">
        <v>9.1999999999999993</v>
      </c>
      <c r="S204" s="15">
        <v>3.6</v>
      </c>
      <c r="T204" s="8">
        <v>2</v>
      </c>
      <c r="U204" s="8">
        <v>1</v>
      </c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</row>
    <row r="205" spans="1:38" ht="15.75" customHeight="1" x14ac:dyDescent="0.35">
      <c r="A205" s="42"/>
      <c r="B205" s="8">
        <v>204</v>
      </c>
      <c r="C205" s="33" t="s">
        <v>304</v>
      </c>
      <c r="D205" s="7" t="s">
        <v>38</v>
      </c>
      <c r="E205" s="7">
        <v>1</v>
      </c>
      <c r="F205" s="7">
        <f t="shared" si="0"/>
        <v>81</v>
      </c>
      <c r="G205" s="8">
        <v>5</v>
      </c>
      <c r="H205" s="8">
        <v>0</v>
      </c>
      <c r="I205" s="8">
        <v>2</v>
      </c>
      <c r="J205" s="8">
        <v>0</v>
      </c>
      <c r="K205" s="8">
        <v>1</v>
      </c>
      <c r="L205" s="8">
        <v>8</v>
      </c>
      <c r="M205" s="8">
        <v>4</v>
      </c>
      <c r="N205" s="8">
        <v>0</v>
      </c>
      <c r="O205" s="8">
        <v>0</v>
      </c>
      <c r="P205" s="8">
        <f t="shared" si="1"/>
        <v>12</v>
      </c>
      <c r="Q205" s="10">
        <f t="shared" si="2"/>
        <v>8</v>
      </c>
      <c r="R205" s="11">
        <v>13.5</v>
      </c>
      <c r="S205" s="15">
        <v>45.7</v>
      </c>
      <c r="T205" s="8">
        <v>1</v>
      </c>
      <c r="U205" s="8">
        <v>1</v>
      </c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</row>
    <row r="206" spans="1:38" ht="15.75" customHeight="1" x14ac:dyDescent="0.35">
      <c r="A206" s="42"/>
      <c r="B206" s="8">
        <v>205</v>
      </c>
      <c r="C206" s="33" t="s">
        <v>305</v>
      </c>
      <c r="D206" s="7" t="s">
        <v>38</v>
      </c>
      <c r="E206" s="7">
        <v>1</v>
      </c>
      <c r="F206" s="7">
        <f t="shared" si="0"/>
        <v>79</v>
      </c>
      <c r="G206" s="8">
        <v>0</v>
      </c>
      <c r="H206" s="8">
        <v>0</v>
      </c>
      <c r="I206" s="8">
        <v>5</v>
      </c>
      <c r="J206" s="8">
        <v>0</v>
      </c>
      <c r="K206" s="8">
        <v>1</v>
      </c>
      <c r="L206" s="8">
        <v>13</v>
      </c>
      <c r="M206" s="8">
        <v>3</v>
      </c>
      <c r="N206" s="8">
        <v>0</v>
      </c>
      <c r="O206" s="8">
        <v>0</v>
      </c>
      <c r="P206" s="8">
        <f t="shared" si="1"/>
        <v>16</v>
      </c>
      <c r="Q206" s="10">
        <f t="shared" si="2"/>
        <v>13</v>
      </c>
      <c r="R206" s="11">
        <v>12.8</v>
      </c>
      <c r="S206" s="18">
        <v>66.099999999999994</v>
      </c>
      <c r="T206" s="8">
        <v>1</v>
      </c>
      <c r="U206" s="8">
        <v>2</v>
      </c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</row>
    <row r="207" spans="1:38" ht="15.75" customHeight="1" x14ac:dyDescent="0.35">
      <c r="A207" s="42"/>
      <c r="B207" s="8">
        <v>206</v>
      </c>
      <c r="C207" s="33" t="s">
        <v>306</v>
      </c>
      <c r="D207" s="7" t="s">
        <v>45</v>
      </c>
      <c r="E207" s="7">
        <v>9</v>
      </c>
      <c r="F207" s="7">
        <f t="shared" si="0"/>
        <v>72</v>
      </c>
      <c r="G207" s="8">
        <v>10</v>
      </c>
      <c r="H207" s="8">
        <v>2</v>
      </c>
      <c r="I207" s="8">
        <v>8</v>
      </c>
      <c r="J207" s="8">
        <v>1</v>
      </c>
      <c r="K207" s="8">
        <v>1</v>
      </c>
      <c r="L207" s="8">
        <v>3</v>
      </c>
      <c r="M207" s="8">
        <v>5</v>
      </c>
      <c r="N207" s="8">
        <v>0</v>
      </c>
      <c r="O207" s="8">
        <v>0</v>
      </c>
      <c r="P207" s="8">
        <f t="shared" si="1"/>
        <v>8</v>
      </c>
      <c r="Q207" s="10">
        <f t="shared" si="2"/>
        <v>3</v>
      </c>
      <c r="R207" s="11">
        <v>12.2</v>
      </c>
      <c r="S207" s="15">
        <v>11.2</v>
      </c>
      <c r="T207" s="8">
        <v>2</v>
      </c>
      <c r="U207" s="8">
        <v>1</v>
      </c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</row>
    <row r="208" spans="1:38" ht="15.75" customHeight="1" x14ac:dyDescent="0.35">
      <c r="A208" s="42"/>
      <c r="B208" s="8">
        <v>207</v>
      </c>
      <c r="C208" s="33" t="s">
        <v>307</v>
      </c>
      <c r="D208" s="7" t="s">
        <v>27</v>
      </c>
      <c r="E208" s="7">
        <v>2</v>
      </c>
      <c r="F208" s="7">
        <f t="shared" si="0"/>
        <v>31</v>
      </c>
      <c r="G208" s="8">
        <v>40</v>
      </c>
      <c r="H208" s="8">
        <v>8</v>
      </c>
      <c r="I208" s="8">
        <v>3</v>
      </c>
      <c r="J208" s="8">
        <v>5</v>
      </c>
      <c r="K208" s="8">
        <v>0</v>
      </c>
      <c r="L208" s="8">
        <v>16</v>
      </c>
      <c r="M208" s="8">
        <v>2</v>
      </c>
      <c r="N208" s="8">
        <v>1</v>
      </c>
      <c r="O208" s="8">
        <v>1</v>
      </c>
      <c r="P208" s="8">
        <f t="shared" si="1"/>
        <v>18</v>
      </c>
      <c r="Q208" s="10">
        <f t="shared" si="2"/>
        <v>16</v>
      </c>
      <c r="R208" s="11">
        <v>14.5</v>
      </c>
      <c r="S208" s="16">
        <v>182</v>
      </c>
      <c r="T208" s="8">
        <v>1</v>
      </c>
      <c r="U208" s="8">
        <v>3</v>
      </c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</row>
    <row r="209" spans="1:38" ht="15.75" customHeight="1" x14ac:dyDescent="0.35">
      <c r="A209" s="42"/>
      <c r="B209" s="8">
        <v>208</v>
      </c>
      <c r="C209" s="33" t="s">
        <v>308</v>
      </c>
      <c r="D209" s="7" t="s">
        <v>45</v>
      </c>
      <c r="E209" s="7">
        <v>9</v>
      </c>
      <c r="F209" s="7">
        <f t="shared" si="0"/>
        <v>54</v>
      </c>
      <c r="G209" s="8">
        <v>20</v>
      </c>
      <c r="H209" s="8">
        <v>12</v>
      </c>
      <c r="I209" s="8">
        <v>0</v>
      </c>
      <c r="J209" s="8">
        <v>3</v>
      </c>
      <c r="K209" s="8">
        <v>0</v>
      </c>
      <c r="L209" s="8">
        <v>12</v>
      </c>
      <c r="M209" s="8">
        <v>2</v>
      </c>
      <c r="N209" s="8">
        <v>1</v>
      </c>
      <c r="O209" s="8">
        <v>0</v>
      </c>
      <c r="P209" s="8">
        <f t="shared" si="1"/>
        <v>14</v>
      </c>
      <c r="Q209" s="10">
        <f t="shared" si="2"/>
        <v>12</v>
      </c>
      <c r="R209" s="11">
        <v>9.6</v>
      </c>
      <c r="S209" s="15">
        <v>6.22</v>
      </c>
      <c r="T209" s="8">
        <v>2</v>
      </c>
      <c r="U209" s="8">
        <v>1</v>
      </c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</row>
    <row r="210" spans="1:38" ht="15.75" customHeight="1" x14ac:dyDescent="0.35">
      <c r="A210" s="42"/>
      <c r="B210" s="8">
        <v>209</v>
      </c>
      <c r="C210" s="33" t="s">
        <v>309</v>
      </c>
      <c r="D210" s="7" t="s">
        <v>38</v>
      </c>
      <c r="E210" s="7">
        <v>1</v>
      </c>
      <c r="F210" s="7">
        <f t="shared" si="0"/>
        <v>75</v>
      </c>
      <c r="G210" s="8">
        <v>10</v>
      </c>
      <c r="H210" s="8">
        <v>2</v>
      </c>
      <c r="I210" s="8">
        <v>0</v>
      </c>
      <c r="J210" s="8">
        <v>0</v>
      </c>
      <c r="K210" s="8">
        <v>1</v>
      </c>
      <c r="L210" s="8">
        <v>12</v>
      </c>
      <c r="M210" s="8">
        <v>1</v>
      </c>
      <c r="N210" s="8">
        <v>0</v>
      </c>
      <c r="O210" s="8">
        <v>0</v>
      </c>
      <c r="P210" s="8">
        <f t="shared" si="1"/>
        <v>13</v>
      </c>
      <c r="Q210" s="10">
        <f t="shared" si="2"/>
        <v>12</v>
      </c>
      <c r="R210" s="11">
        <v>5.8</v>
      </c>
      <c r="S210" s="15">
        <v>0.16500000000000001</v>
      </c>
      <c r="T210" s="8">
        <v>1</v>
      </c>
      <c r="U210" s="8">
        <v>1</v>
      </c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</row>
    <row r="211" spans="1:38" ht="15.75" customHeight="1" x14ac:dyDescent="0.35">
      <c r="A211" s="42"/>
      <c r="B211" s="8">
        <v>210</v>
      </c>
      <c r="C211" s="33" t="s">
        <v>310</v>
      </c>
      <c r="D211" s="7" t="s">
        <v>45</v>
      </c>
      <c r="E211" s="7">
        <v>9</v>
      </c>
      <c r="F211" s="7">
        <f t="shared" si="0"/>
        <v>74</v>
      </c>
      <c r="G211" s="8">
        <v>2</v>
      </c>
      <c r="H211" s="8">
        <v>5</v>
      </c>
      <c r="I211" s="8">
        <v>5</v>
      </c>
      <c r="J211" s="8">
        <v>0</v>
      </c>
      <c r="K211" s="8">
        <v>1</v>
      </c>
      <c r="L211" s="8">
        <v>10</v>
      </c>
      <c r="M211" s="8">
        <v>4</v>
      </c>
      <c r="N211" s="8">
        <v>0</v>
      </c>
      <c r="O211" s="8">
        <v>0</v>
      </c>
      <c r="P211" s="8">
        <f t="shared" si="1"/>
        <v>14</v>
      </c>
      <c r="Q211" s="10">
        <f t="shared" si="2"/>
        <v>10</v>
      </c>
      <c r="R211" s="11">
        <v>12.9</v>
      </c>
      <c r="S211" s="15">
        <v>9.5</v>
      </c>
      <c r="T211" s="8">
        <v>2</v>
      </c>
      <c r="U211" s="8">
        <v>1</v>
      </c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</row>
    <row r="212" spans="1:38" ht="15.75" customHeight="1" x14ac:dyDescent="0.35">
      <c r="A212" s="42"/>
      <c r="B212" s="8">
        <v>211</v>
      </c>
      <c r="C212" s="33" t="s">
        <v>311</v>
      </c>
      <c r="D212" s="7" t="s">
        <v>38</v>
      </c>
      <c r="E212" s="7">
        <v>1</v>
      </c>
      <c r="F212" s="7">
        <f t="shared" si="0"/>
        <v>67</v>
      </c>
      <c r="G212" s="8">
        <v>14</v>
      </c>
      <c r="H212" s="8">
        <v>1</v>
      </c>
      <c r="I212" s="8">
        <v>2</v>
      </c>
      <c r="J212" s="8">
        <v>4</v>
      </c>
      <c r="K212" s="8">
        <v>1</v>
      </c>
      <c r="L212" s="8">
        <v>15</v>
      </c>
      <c r="M212" s="8">
        <v>1</v>
      </c>
      <c r="N212" s="8">
        <v>0</v>
      </c>
      <c r="O212" s="8">
        <v>0</v>
      </c>
      <c r="P212" s="8">
        <f t="shared" si="1"/>
        <v>16</v>
      </c>
      <c r="Q212" s="10">
        <f t="shared" si="2"/>
        <v>15</v>
      </c>
      <c r="R212" s="11">
        <v>14.5</v>
      </c>
      <c r="S212" s="18">
        <v>96.9</v>
      </c>
      <c r="T212" s="8">
        <v>1</v>
      </c>
      <c r="U212" s="8">
        <v>2</v>
      </c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</row>
    <row r="213" spans="1:38" ht="15.75" customHeight="1" x14ac:dyDescent="0.35">
      <c r="A213" s="42"/>
      <c r="B213" s="8">
        <v>212</v>
      </c>
      <c r="C213" s="33" t="s">
        <v>312</v>
      </c>
      <c r="D213" s="7" t="s">
        <v>45</v>
      </c>
      <c r="E213" s="7">
        <v>9</v>
      </c>
      <c r="F213" s="7">
        <f t="shared" si="0"/>
        <v>68</v>
      </c>
      <c r="G213" s="8">
        <v>26</v>
      </c>
      <c r="H213" s="8">
        <v>1</v>
      </c>
      <c r="I213" s="8">
        <v>4</v>
      </c>
      <c r="J213" s="8">
        <v>3</v>
      </c>
      <c r="K213" s="8">
        <v>0</v>
      </c>
      <c r="L213" s="8">
        <v>1</v>
      </c>
      <c r="M213" s="8">
        <v>0</v>
      </c>
      <c r="N213" s="8">
        <v>0</v>
      </c>
      <c r="O213" s="8">
        <v>0</v>
      </c>
      <c r="P213" s="8">
        <f t="shared" si="1"/>
        <v>1</v>
      </c>
      <c r="Q213" s="10">
        <f t="shared" si="2"/>
        <v>1</v>
      </c>
      <c r="R213" s="11">
        <v>5.9</v>
      </c>
      <c r="S213" s="15">
        <v>2.5000000000000001E-2</v>
      </c>
      <c r="T213" s="8">
        <v>2</v>
      </c>
      <c r="U213" s="8">
        <v>1</v>
      </c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</row>
    <row r="214" spans="1:38" ht="15.75" customHeight="1" x14ac:dyDescent="0.35">
      <c r="A214" s="42"/>
      <c r="B214" s="8">
        <v>213</v>
      </c>
      <c r="C214" s="33" t="s">
        <v>313</v>
      </c>
      <c r="D214" s="7" t="s">
        <v>45</v>
      </c>
      <c r="E214" s="7">
        <v>9</v>
      </c>
      <c r="F214" s="7">
        <f t="shared" si="0"/>
        <v>53</v>
      </c>
      <c r="G214" s="8">
        <v>8</v>
      </c>
      <c r="H214" s="8">
        <v>35</v>
      </c>
      <c r="I214" s="8">
        <v>2</v>
      </c>
      <c r="J214" s="8">
        <v>3</v>
      </c>
      <c r="K214" s="8">
        <v>0</v>
      </c>
      <c r="L214" s="8">
        <v>1</v>
      </c>
      <c r="M214" s="8">
        <v>1</v>
      </c>
      <c r="N214" s="8">
        <v>0</v>
      </c>
      <c r="O214" s="8">
        <v>0</v>
      </c>
      <c r="P214" s="8">
        <f t="shared" si="1"/>
        <v>2</v>
      </c>
      <c r="Q214" s="10">
        <f t="shared" si="2"/>
        <v>1</v>
      </c>
      <c r="R214" s="11">
        <v>10</v>
      </c>
      <c r="S214" s="15">
        <v>2E-3</v>
      </c>
      <c r="T214" s="8">
        <v>2</v>
      </c>
      <c r="U214" s="8">
        <v>1</v>
      </c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</row>
    <row r="215" spans="1:38" ht="15.75" customHeight="1" x14ac:dyDescent="0.35">
      <c r="A215" s="42"/>
      <c r="B215" s="8">
        <v>214</v>
      </c>
      <c r="C215" s="33" t="s">
        <v>314</v>
      </c>
      <c r="D215" s="7" t="s">
        <v>45</v>
      </c>
      <c r="E215" s="7">
        <v>9</v>
      </c>
      <c r="F215" s="7">
        <f t="shared" si="0"/>
        <v>60</v>
      </c>
      <c r="G215" s="8">
        <v>14</v>
      </c>
      <c r="H215" s="8">
        <v>20</v>
      </c>
      <c r="I215" s="8">
        <v>6</v>
      </c>
      <c r="J215" s="8">
        <v>3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f t="shared" si="1"/>
        <v>0</v>
      </c>
      <c r="Q215" s="10">
        <f t="shared" si="2"/>
        <v>0</v>
      </c>
      <c r="R215" s="11">
        <v>7.4</v>
      </c>
      <c r="S215" s="15">
        <v>1E-3</v>
      </c>
      <c r="T215" s="8">
        <v>2</v>
      </c>
      <c r="U215" s="8">
        <v>1</v>
      </c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</row>
    <row r="216" spans="1:38" ht="15.75" customHeight="1" x14ac:dyDescent="0.35">
      <c r="A216" s="42"/>
      <c r="B216" s="8">
        <v>215</v>
      </c>
      <c r="C216" s="33" t="s">
        <v>315</v>
      </c>
      <c r="D216" s="7" t="s">
        <v>45</v>
      </c>
      <c r="E216" s="7">
        <v>9</v>
      </c>
      <c r="F216" s="7">
        <f t="shared" si="0"/>
        <v>55</v>
      </c>
      <c r="G216" s="8">
        <v>16</v>
      </c>
      <c r="H216" s="8">
        <v>20</v>
      </c>
      <c r="I216" s="8">
        <v>8</v>
      </c>
      <c r="J216" s="8">
        <v>3</v>
      </c>
      <c r="K216" s="8">
        <v>0</v>
      </c>
      <c r="L216" s="8">
        <v>1</v>
      </c>
      <c r="M216" s="8">
        <v>0</v>
      </c>
      <c r="N216" s="8">
        <v>0</v>
      </c>
      <c r="O216" s="8">
        <v>0</v>
      </c>
      <c r="P216" s="8">
        <f t="shared" si="1"/>
        <v>1</v>
      </c>
      <c r="Q216" s="10">
        <f t="shared" si="2"/>
        <v>1</v>
      </c>
      <c r="R216" s="11">
        <v>5.8</v>
      </c>
      <c r="S216" s="15">
        <v>0</v>
      </c>
      <c r="T216" s="8">
        <v>2</v>
      </c>
      <c r="U216" s="8">
        <v>1</v>
      </c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</row>
    <row r="217" spans="1:38" ht="15.75" customHeight="1" x14ac:dyDescent="0.35">
      <c r="A217" s="42"/>
      <c r="B217" s="8">
        <v>216</v>
      </c>
      <c r="C217" s="33" t="s">
        <v>316</v>
      </c>
      <c r="D217" s="7" t="s">
        <v>45</v>
      </c>
      <c r="E217" s="7">
        <v>9</v>
      </c>
      <c r="F217" s="7">
        <f t="shared" si="0"/>
        <v>63</v>
      </c>
      <c r="G217" s="8">
        <v>10</v>
      </c>
      <c r="H217" s="8">
        <v>17</v>
      </c>
      <c r="I217" s="8">
        <v>8</v>
      </c>
      <c r="J217" s="8">
        <v>3</v>
      </c>
      <c r="K217" s="8">
        <v>0</v>
      </c>
      <c r="L217" s="8">
        <v>2</v>
      </c>
      <c r="M217" s="8">
        <v>0</v>
      </c>
      <c r="N217" s="8">
        <v>0</v>
      </c>
      <c r="O217" s="8">
        <v>0</v>
      </c>
      <c r="P217" s="8">
        <f t="shared" si="1"/>
        <v>2</v>
      </c>
      <c r="Q217" s="10">
        <f t="shared" si="2"/>
        <v>2</v>
      </c>
      <c r="R217" s="11">
        <v>6.9</v>
      </c>
      <c r="S217" s="15">
        <v>1E-3</v>
      </c>
      <c r="T217" s="8">
        <v>2</v>
      </c>
      <c r="U217" s="8">
        <v>1</v>
      </c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</row>
    <row r="218" spans="1:38" ht="15.75" customHeight="1" x14ac:dyDescent="0.35">
      <c r="A218" s="42"/>
      <c r="B218" s="8">
        <v>217</v>
      </c>
      <c r="C218" s="33" t="s">
        <v>317</v>
      </c>
      <c r="D218" s="7" t="s">
        <v>45</v>
      </c>
      <c r="E218" s="7">
        <v>9</v>
      </c>
      <c r="F218" s="7">
        <f t="shared" si="0"/>
        <v>70</v>
      </c>
      <c r="G218" s="8">
        <v>4</v>
      </c>
      <c r="H218" s="8">
        <v>14</v>
      </c>
      <c r="I218" s="8">
        <v>8</v>
      </c>
      <c r="J218" s="8">
        <v>3</v>
      </c>
      <c r="K218" s="8">
        <v>0</v>
      </c>
      <c r="L218" s="8">
        <v>4</v>
      </c>
      <c r="M218" s="8">
        <v>0</v>
      </c>
      <c r="N218" s="8">
        <v>0</v>
      </c>
      <c r="O218" s="8">
        <v>0</v>
      </c>
      <c r="P218" s="8">
        <f t="shared" si="1"/>
        <v>4</v>
      </c>
      <c r="Q218" s="10">
        <f t="shared" si="2"/>
        <v>4</v>
      </c>
      <c r="R218" s="11">
        <v>11.7</v>
      </c>
      <c r="S218" s="15">
        <v>1.2E-2</v>
      </c>
      <c r="T218" s="8">
        <v>2</v>
      </c>
      <c r="U218" s="8">
        <v>1</v>
      </c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</row>
    <row r="219" spans="1:38" ht="15" customHeight="1" x14ac:dyDescent="0.35">
      <c r="A219" s="42"/>
      <c r="B219" s="8">
        <v>218</v>
      </c>
      <c r="C219" s="33" t="s">
        <v>318</v>
      </c>
      <c r="D219" s="7" t="s">
        <v>45</v>
      </c>
      <c r="E219" s="7">
        <v>9</v>
      </c>
      <c r="F219" s="7">
        <f t="shared" si="0"/>
        <v>58</v>
      </c>
      <c r="G219" s="8">
        <v>10</v>
      </c>
      <c r="H219" s="8">
        <v>24</v>
      </c>
      <c r="I219" s="8">
        <v>8</v>
      </c>
      <c r="J219" s="8">
        <v>3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f t="shared" si="1"/>
        <v>0</v>
      </c>
      <c r="Q219" s="10">
        <f t="shared" si="2"/>
        <v>0</v>
      </c>
      <c r="R219" s="11">
        <v>6.2</v>
      </c>
      <c r="S219" s="15">
        <v>1.2E-2</v>
      </c>
      <c r="T219" s="8">
        <v>2</v>
      </c>
      <c r="U219" s="8">
        <v>1</v>
      </c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</row>
    <row r="220" spans="1:38" ht="15.75" customHeight="1" x14ac:dyDescent="0.35">
      <c r="A220" s="42"/>
      <c r="B220" s="8">
        <v>219</v>
      </c>
      <c r="C220" s="33" t="s">
        <v>319</v>
      </c>
      <c r="D220" s="20" t="s">
        <v>107</v>
      </c>
      <c r="E220" s="7">
        <v>3</v>
      </c>
      <c r="F220" s="7">
        <f t="shared" si="0"/>
        <v>0</v>
      </c>
      <c r="G220" s="8">
        <v>20</v>
      </c>
      <c r="H220" s="8">
        <v>70</v>
      </c>
      <c r="I220" s="8">
        <v>10</v>
      </c>
      <c r="J220" s="8">
        <v>0</v>
      </c>
      <c r="K220" s="8">
        <v>1</v>
      </c>
      <c r="L220" s="8">
        <v>0</v>
      </c>
      <c r="M220" s="8">
        <v>0</v>
      </c>
      <c r="N220" s="8">
        <v>0</v>
      </c>
      <c r="O220" s="8">
        <v>0</v>
      </c>
      <c r="P220" s="8">
        <f t="shared" si="1"/>
        <v>0</v>
      </c>
      <c r="Q220" s="10">
        <f t="shared" si="2"/>
        <v>0</v>
      </c>
      <c r="R220" s="11">
        <v>0</v>
      </c>
      <c r="S220" s="15">
        <v>0</v>
      </c>
      <c r="T220" s="8">
        <v>1</v>
      </c>
      <c r="U220" s="8">
        <v>1</v>
      </c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</row>
    <row r="221" spans="1:38" ht="15.75" customHeight="1" x14ac:dyDescent="0.35">
      <c r="A221" s="42"/>
      <c r="B221" s="8">
        <v>220</v>
      </c>
      <c r="C221" s="33" t="s">
        <v>320</v>
      </c>
      <c r="D221" s="7" t="s">
        <v>31</v>
      </c>
      <c r="E221" s="7">
        <v>4</v>
      </c>
      <c r="F221" s="7">
        <f t="shared" si="0"/>
        <v>68</v>
      </c>
      <c r="G221" s="8">
        <v>3</v>
      </c>
      <c r="H221" s="8">
        <v>20</v>
      </c>
      <c r="I221" s="8">
        <v>6</v>
      </c>
      <c r="J221" s="8">
        <v>0</v>
      </c>
      <c r="K221" s="8">
        <v>1</v>
      </c>
      <c r="L221" s="8">
        <v>1</v>
      </c>
      <c r="M221" s="8">
        <v>2</v>
      </c>
      <c r="N221" s="8">
        <v>0</v>
      </c>
      <c r="O221" s="8">
        <v>0</v>
      </c>
      <c r="P221" s="8">
        <f t="shared" si="1"/>
        <v>3</v>
      </c>
      <c r="Q221" s="10">
        <f t="shared" si="2"/>
        <v>1</v>
      </c>
      <c r="R221" s="11">
        <v>13.5</v>
      </c>
      <c r="S221" s="15">
        <v>8.8999999999999996E-2</v>
      </c>
      <c r="T221" s="8">
        <v>1</v>
      </c>
      <c r="U221" s="8">
        <v>1</v>
      </c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</row>
    <row r="222" spans="1:38" ht="15.75" customHeight="1" x14ac:dyDescent="0.35">
      <c r="A222" s="42"/>
      <c r="B222" s="8">
        <v>221</v>
      </c>
      <c r="C222" s="33" t="s">
        <v>321</v>
      </c>
      <c r="D222" s="7" t="s">
        <v>27</v>
      </c>
      <c r="E222" s="7">
        <v>2</v>
      </c>
      <c r="F222" s="7">
        <f t="shared" si="0"/>
        <v>61</v>
      </c>
      <c r="G222" s="8">
        <v>2</v>
      </c>
      <c r="H222" s="8">
        <v>30</v>
      </c>
      <c r="I222" s="8">
        <v>5</v>
      </c>
      <c r="J222" s="8">
        <v>0</v>
      </c>
      <c r="K222" s="8">
        <v>1</v>
      </c>
      <c r="L222" s="8">
        <v>1</v>
      </c>
      <c r="M222" s="8">
        <v>1</v>
      </c>
      <c r="N222" s="8">
        <v>0</v>
      </c>
      <c r="O222" s="8">
        <v>0</v>
      </c>
      <c r="P222" s="8">
        <f t="shared" si="1"/>
        <v>2</v>
      </c>
      <c r="Q222" s="10">
        <f t="shared" si="2"/>
        <v>1</v>
      </c>
      <c r="R222" s="11">
        <v>10.1</v>
      </c>
      <c r="S222" s="15">
        <v>0.13400000000000001</v>
      </c>
      <c r="T222" s="8">
        <v>1</v>
      </c>
      <c r="U222" s="8">
        <v>1</v>
      </c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</row>
    <row r="223" spans="1:38" ht="15.75" customHeight="1" x14ac:dyDescent="0.35">
      <c r="A223" s="42"/>
      <c r="B223" s="8">
        <v>222</v>
      </c>
      <c r="C223" s="33" t="s">
        <v>322</v>
      </c>
      <c r="D223" s="7" t="s">
        <v>45</v>
      </c>
      <c r="E223" s="7">
        <v>9</v>
      </c>
      <c r="F223" s="7">
        <f t="shared" si="0"/>
        <v>34</v>
      </c>
      <c r="G223" s="8">
        <v>12</v>
      </c>
      <c r="H223" s="8">
        <v>30</v>
      </c>
      <c r="I223" s="8">
        <v>8</v>
      </c>
      <c r="J223" s="8">
        <v>2</v>
      </c>
      <c r="K223" s="8">
        <v>0</v>
      </c>
      <c r="L223" s="8">
        <v>13</v>
      </c>
      <c r="M223" s="8">
        <v>3</v>
      </c>
      <c r="N223" s="8">
        <v>0</v>
      </c>
      <c r="O223" s="8">
        <v>0</v>
      </c>
      <c r="P223" s="8">
        <f t="shared" si="1"/>
        <v>16</v>
      </c>
      <c r="Q223" s="10">
        <f t="shared" si="2"/>
        <v>13</v>
      </c>
      <c r="R223" s="11">
        <v>18.7</v>
      </c>
      <c r="S223" s="15">
        <v>4.03</v>
      </c>
      <c r="T223" s="8">
        <v>2</v>
      </c>
      <c r="U223" s="8">
        <v>1</v>
      </c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</row>
    <row r="224" spans="1:38" ht="15.75" customHeight="1" x14ac:dyDescent="0.35">
      <c r="A224" s="42"/>
      <c r="B224" s="8">
        <v>223</v>
      </c>
      <c r="C224" s="33" t="s">
        <v>323</v>
      </c>
      <c r="D224" s="7" t="s">
        <v>45</v>
      </c>
      <c r="E224" s="7">
        <v>9</v>
      </c>
      <c r="F224" s="7">
        <f t="shared" si="0"/>
        <v>57</v>
      </c>
      <c r="G224" s="8">
        <v>10</v>
      </c>
      <c r="H224" s="8">
        <v>28</v>
      </c>
      <c r="I224" s="8">
        <v>4</v>
      </c>
      <c r="J224" s="8">
        <v>3</v>
      </c>
      <c r="K224" s="8">
        <v>0</v>
      </c>
      <c r="L224" s="8">
        <v>1</v>
      </c>
      <c r="M224" s="8">
        <v>0</v>
      </c>
      <c r="N224" s="8">
        <v>0</v>
      </c>
      <c r="O224" s="8">
        <v>0</v>
      </c>
      <c r="P224" s="8">
        <f t="shared" si="1"/>
        <v>1</v>
      </c>
      <c r="Q224" s="10">
        <f t="shared" si="2"/>
        <v>1</v>
      </c>
      <c r="R224" s="11">
        <v>9.6</v>
      </c>
      <c r="S224" s="15">
        <v>1.4E-2</v>
      </c>
      <c r="T224" s="8">
        <v>1</v>
      </c>
      <c r="U224" s="8">
        <v>1</v>
      </c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</row>
    <row r="225" spans="1:38" ht="15.75" customHeight="1" x14ac:dyDescent="0.35">
      <c r="A225" s="42"/>
      <c r="B225" s="8">
        <v>224</v>
      </c>
      <c r="C225" s="33" t="s">
        <v>324</v>
      </c>
      <c r="D225" s="7" t="s">
        <v>45</v>
      </c>
      <c r="E225" s="7">
        <v>9</v>
      </c>
      <c r="F225" s="7">
        <f t="shared" si="0"/>
        <v>42</v>
      </c>
      <c r="G225" s="8">
        <v>5</v>
      </c>
      <c r="H225" s="8">
        <v>26</v>
      </c>
      <c r="I225" s="8">
        <v>13</v>
      </c>
      <c r="J225" s="8">
        <v>3</v>
      </c>
      <c r="K225" s="8">
        <v>0</v>
      </c>
      <c r="L225" s="8">
        <v>10</v>
      </c>
      <c r="M225" s="8">
        <v>4</v>
      </c>
      <c r="N225" s="8">
        <v>0</v>
      </c>
      <c r="O225" s="8">
        <v>0</v>
      </c>
      <c r="P225" s="8">
        <f t="shared" si="1"/>
        <v>14</v>
      </c>
      <c r="Q225" s="10">
        <f t="shared" si="2"/>
        <v>10</v>
      </c>
      <c r="R225" s="11">
        <v>19.100000000000001</v>
      </c>
      <c r="S225" s="15">
        <v>0.96299999999999997</v>
      </c>
      <c r="T225" s="8">
        <v>2</v>
      </c>
      <c r="U225" s="8">
        <v>1</v>
      </c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</row>
    <row r="226" spans="1:38" ht="15.75" customHeight="1" x14ac:dyDescent="0.35">
      <c r="A226" s="42"/>
      <c r="B226" s="8">
        <v>225</v>
      </c>
      <c r="C226" s="33" t="s">
        <v>325</v>
      </c>
      <c r="D226" s="7" t="s">
        <v>45</v>
      </c>
      <c r="E226" s="7">
        <v>9</v>
      </c>
      <c r="F226" s="7">
        <f t="shared" si="0"/>
        <v>24</v>
      </c>
      <c r="G226" s="8">
        <v>40</v>
      </c>
      <c r="H226" s="8">
        <v>12</v>
      </c>
      <c r="I226" s="8">
        <v>10</v>
      </c>
      <c r="J226" s="8">
        <v>0</v>
      </c>
      <c r="K226" s="8">
        <v>0</v>
      </c>
      <c r="L226" s="8">
        <v>12</v>
      </c>
      <c r="M226" s="8">
        <v>2</v>
      </c>
      <c r="N226" s="8">
        <v>0</v>
      </c>
      <c r="O226" s="8">
        <v>0</v>
      </c>
      <c r="P226" s="8">
        <f t="shared" si="1"/>
        <v>14</v>
      </c>
      <c r="Q226" s="10">
        <f t="shared" si="2"/>
        <v>12</v>
      </c>
      <c r="R226" s="11">
        <v>14.5</v>
      </c>
      <c r="S226" s="15">
        <v>8.5000000000000006E-2</v>
      </c>
      <c r="T226" s="8">
        <v>1</v>
      </c>
      <c r="U226" s="8">
        <v>1</v>
      </c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</row>
    <row r="227" spans="1:38" ht="15.75" customHeight="1" x14ac:dyDescent="0.35">
      <c r="A227" s="42"/>
      <c r="B227" s="8">
        <v>226</v>
      </c>
      <c r="C227" s="33" t="s">
        <v>326</v>
      </c>
      <c r="D227" s="7" t="s">
        <v>45</v>
      </c>
      <c r="E227" s="7">
        <v>9</v>
      </c>
      <c r="F227" s="7">
        <f t="shared" si="0"/>
        <v>57</v>
      </c>
      <c r="G227" s="8">
        <v>10</v>
      </c>
      <c r="H227" s="8">
        <v>20</v>
      </c>
      <c r="I227" s="8">
        <v>5</v>
      </c>
      <c r="J227" s="8">
        <v>3</v>
      </c>
      <c r="K227" s="8">
        <v>0</v>
      </c>
      <c r="L227" s="8">
        <v>6</v>
      </c>
      <c r="M227" s="8">
        <v>2</v>
      </c>
      <c r="N227" s="8">
        <v>0</v>
      </c>
      <c r="O227" s="8">
        <v>0</v>
      </c>
      <c r="P227" s="8">
        <f t="shared" si="1"/>
        <v>8</v>
      </c>
      <c r="Q227" s="10">
        <f t="shared" si="2"/>
        <v>6</v>
      </c>
      <c r="R227" s="11">
        <v>12.3</v>
      </c>
      <c r="S227" s="15">
        <v>7.5999999999999998E-2</v>
      </c>
      <c r="T227" s="8">
        <v>2</v>
      </c>
      <c r="U227" s="8">
        <v>1</v>
      </c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</row>
    <row r="228" spans="1:38" ht="15.75" customHeight="1" x14ac:dyDescent="0.35">
      <c r="A228" s="42"/>
      <c r="B228" s="8">
        <v>227</v>
      </c>
      <c r="C228" s="33" t="s">
        <v>327</v>
      </c>
      <c r="D228" s="7" t="s">
        <v>23</v>
      </c>
      <c r="E228" s="7">
        <v>7</v>
      </c>
      <c r="F228" s="7">
        <f t="shared" si="0"/>
        <v>62</v>
      </c>
      <c r="G228" s="8">
        <v>15</v>
      </c>
      <c r="H228" s="8">
        <v>12</v>
      </c>
      <c r="I228" s="8">
        <v>2</v>
      </c>
      <c r="J228" s="8">
        <v>4</v>
      </c>
      <c r="K228" s="8">
        <v>1</v>
      </c>
      <c r="L228" s="8">
        <v>3</v>
      </c>
      <c r="M228" s="8">
        <v>6</v>
      </c>
      <c r="N228" s="8">
        <v>0</v>
      </c>
      <c r="O228" s="8">
        <v>0</v>
      </c>
      <c r="P228" s="8">
        <f t="shared" si="1"/>
        <v>9</v>
      </c>
      <c r="Q228" s="10">
        <f t="shared" si="2"/>
        <v>3</v>
      </c>
      <c r="R228" s="11">
        <v>11.3</v>
      </c>
      <c r="S228" s="15">
        <v>1.2E-2</v>
      </c>
      <c r="T228" s="8">
        <v>1</v>
      </c>
      <c r="U228" s="8">
        <v>1</v>
      </c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</row>
    <row r="229" spans="1:38" ht="15.75" customHeight="1" x14ac:dyDescent="0.35">
      <c r="A229" s="42"/>
      <c r="B229" s="8">
        <v>228</v>
      </c>
      <c r="C229" s="33" t="s">
        <v>328</v>
      </c>
      <c r="D229" s="7" t="s">
        <v>38</v>
      </c>
      <c r="E229" s="7">
        <v>1</v>
      </c>
      <c r="F229" s="7">
        <f t="shared" si="0"/>
        <v>52</v>
      </c>
      <c r="G229" s="8">
        <v>14</v>
      </c>
      <c r="H229" s="8">
        <v>13</v>
      </c>
      <c r="I229" s="8">
        <v>9</v>
      </c>
      <c r="J229" s="8">
        <v>0</v>
      </c>
      <c r="K229" s="8">
        <v>1</v>
      </c>
      <c r="L229" s="8">
        <v>6</v>
      </c>
      <c r="M229" s="8">
        <v>6</v>
      </c>
      <c r="N229" s="8">
        <v>0</v>
      </c>
      <c r="O229" s="8">
        <v>0</v>
      </c>
      <c r="P229" s="8">
        <f t="shared" si="1"/>
        <v>12</v>
      </c>
      <c r="Q229" s="10">
        <f t="shared" si="2"/>
        <v>6</v>
      </c>
      <c r="R229" s="11">
        <v>12.7</v>
      </c>
      <c r="S229" s="15">
        <v>4.9000000000000002E-2</v>
      </c>
      <c r="T229" s="8">
        <v>1</v>
      </c>
      <c r="U229" s="8">
        <v>1</v>
      </c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</row>
    <row r="230" spans="1:38" ht="15.75" customHeight="1" x14ac:dyDescent="0.35">
      <c r="A230" s="42"/>
      <c r="B230" s="8">
        <v>229</v>
      </c>
      <c r="C230" s="33" t="s">
        <v>329</v>
      </c>
      <c r="D230" s="7" t="s">
        <v>38</v>
      </c>
      <c r="E230" s="7">
        <v>1</v>
      </c>
      <c r="F230" s="7">
        <f t="shared" si="0"/>
        <v>61</v>
      </c>
      <c r="G230" s="8">
        <v>6</v>
      </c>
      <c r="H230" s="8">
        <v>20</v>
      </c>
      <c r="I230" s="8">
        <v>4</v>
      </c>
      <c r="J230" s="8">
        <v>3</v>
      </c>
      <c r="K230" s="8">
        <v>1</v>
      </c>
      <c r="L230" s="8">
        <v>1</v>
      </c>
      <c r="M230" s="8">
        <v>8</v>
      </c>
      <c r="N230" s="8">
        <v>0</v>
      </c>
      <c r="O230" s="8">
        <v>0</v>
      </c>
      <c r="P230" s="8">
        <f t="shared" si="1"/>
        <v>9</v>
      </c>
      <c r="Q230" s="10">
        <f t="shared" si="2"/>
        <v>1</v>
      </c>
      <c r="R230" s="11">
        <v>10</v>
      </c>
      <c r="S230" s="15">
        <v>1.7999999999999999E-2</v>
      </c>
      <c r="T230" s="8">
        <v>2</v>
      </c>
      <c r="U230" s="8">
        <v>1</v>
      </c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</row>
    <row r="231" spans="1:38" ht="15.75" customHeight="1" x14ac:dyDescent="0.35">
      <c r="A231" s="42"/>
      <c r="B231" s="8">
        <v>230</v>
      </c>
      <c r="C231" s="33" t="s">
        <v>330</v>
      </c>
      <c r="D231" s="7" t="s">
        <v>45</v>
      </c>
      <c r="E231" s="7">
        <v>9</v>
      </c>
      <c r="F231" s="7">
        <f t="shared" si="0"/>
        <v>72</v>
      </c>
      <c r="G231" s="8">
        <v>16</v>
      </c>
      <c r="H231" s="8">
        <v>6</v>
      </c>
      <c r="I231" s="8">
        <v>2</v>
      </c>
      <c r="J231" s="8">
        <v>2</v>
      </c>
      <c r="K231" s="8">
        <v>0</v>
      </c>
      <c r="L231" s="8">
        <v>1</v>
      </c>
      <c r="M231" s="8">
        <v>3</v>
      </c>
      <c r="N231" s="8">
        <v>0</v>
      </c>
      <c r="O231" s="8">
        <v>0</v>
      </c>
      <c r="P231" s="8">
        <f t="shared" si="1"/>
        <v>4</v>
      </c>
      <c r="Q231" s="10">
        <f t="shared" si="2"/>
        <v>1</v>
      </c>
      <c r="R231" s="11">
        <v>8.8000000000000007</v>
      </c>
      <c r="S231" s="15">
        <v>5.0000000000000001E-3</v>
      </c>
      <c r="T231" s="8">
        <v>2</v>
      </c>
      <c r="U231" s="8">
        <v>1</v>
      </c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</row>
    <row r="232" spans="1:38" ht="15.75" customHeight="1" x14ac:dyDescent="0.35">
      <c r="A232" s="42"/>
      <c r="B232" s="8">
        <v>231</v>
      </c>
      <c r="C232" s="33" t="s">
        <v>331</v>
      </c>
      <c r="D232" s="20" t="s">
        <v>220</v>
      </c>
      <c r="E232" s="7">
        <v>10</v>
      </c>
      <c r="F232" s="7">
        <f t="shared" si="0"/>
        <v>68</v>
      </c>
      <c r="G232" s="8">
        <v>11</v>
      </c>
      <c r="H232" s="8">
        <v>8</v>
      </c>
      <c r="I232" s="8">
        <v>1</v>
      </c>
      <c r="J232" s="8">
        <v>3</v>
      </c>
      <c r="K232" s="8">
        <v>0</v>
      </c>
      <c r="L232" s="8">
        <v>0</v>
      </c>
      <c r="M232" s="8">
        <v>12</v>
      </c>
      <c r="N232" s="8">
        <v>0</v>
      </c>
      <c r="O232" s="8">
        <v>0</v>
      </c>
      <c r="P232" s="8">
        <f t="shared" si="1"/>
        <v>12</v>
      </c>
      <c r="Q232" s="10">
        <f t="shared" si="2"/>
        <v>0</v>
      </c>
      <c r="R232" s="11">
        <v>13.4</v>
      </c>
      <c r="S232" s="15">
        <v>0.186</v>
      </c>
      <c r="T232" s="8">
        <v>2</v>
      </c>
      <c r="U232" s="8">
        <v>1</v>
      </c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</row>
    <row r="233" spans="1:38" ht="15.75" customHeight="1" x14ac:dyDescent="0.35">
      <c r="A233" s="42"/>
      <c r="B233" s="8">
        <v>232</v>
      </c>
      <c r="C233" s="33" t="s">
        <v>332</v>
      </c>
      <c r="D233" s="20" t="s">
        <v>220</v>
      </c>
      <c r="E233" s="7">
        <v>10</v>
      </c>
      <c r="F233" s="7">
        <f t="shared" si="0"/>
        <v>60</v>
      </c>
      <c r="G233" s="8">
        <v>10</v>
      </c>
      <c r="H233" s="8">
        <v>18</v>
      </c>
      <c r="I233" s="8">
        <v>0</v>
      </c>
      <c r="J233" s="8">
        <v>3</v>
      </c>
      <c r="K233" s="8">
        <v>0</v>
      </c>
      <c r="L233" s="8">
        <v>2</v>
      </c>
      <c r="M233" s="8">
        <v>10</v>
      </c>
      <c r="N233" s="8">
        <v>0</v>
      </c>
      <c r="O233" s="8">
        <v>0</v>
      </c>
      <c r="P233" s="8">
        <f t="shared" si="1"/>
        <v>12</v>
      </c>
      <c r="Q233" s="10">
        <f t="shared" si="2"/>
        <v>2</v>
      </c>
      <c r="R233" s="11">
        <v>13.6</v>
      </c>
      <c r="S233" s="15">
        <v>0.15</v>
      </c>
      <c r="T233" s="8">
        <v>2</v>
      </c>
      <c r="U233" s="8">
        <v>1</v>
      </c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</row>
    <row r="234" spans="1:38" ht="15.75" customHeight="1" x14ac:dyDescent="0.35">
      <c r="A234" s="42"/>
      <c r="B234" s="8">
        <v>233</v>
      </c>
      <c r="C234" s="33" t="s">
        <v>333</v>
      </c>
      <c r="D234" s="20" t="s">
        <v>220</v>
      </c>
      <c r="E234" s="7">
        <v>10</v>
      </c>
      <c r="F234" s="7">
        <f t="shared" si="0"/>
        <v>64</v>
      </c>
      <c r="G234" s="8">
        <v>10</v>
      </c>
      <c r="H234" s="8">
        <v>16</v>
      </c>
      <c r="I234" s="8">
        <v>0</v>
      </c>
      <c r="J234" s="8">
        <v>3</v>
      </c>
      <c r="K234" s="8">
        <v>0</v>
      </c>
      <c r="L234" s="8">
        <v>1</v>
      </c>
      <c r="M234" s="8">
        <v>9</v>
      </c>
      <c r="N234" s="8">
        <v>0</v>
      </c>
      <c r="O234" s="8">
        <v>0</v>
      </c>
      <c r="P234" s="8">
        <f t="shared" si="1"/>
        <v>10</v>
      </c>
      <c r="Q234" s="10">
        <f t="shared" si="2"/>
        <v>1</v>
      </c>
      <c r="R234" s="11">
        <v>12.9</v>
      </c>
      <c r="S234" s="15">
        <v>0.34799999999999998</v>
      </c>
      <c r="T234" s="8">
        <v>2</v>
      </c>
      <c r="U234" s="8">
        <v>1</v>
      </c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</row>
    <row r="235" spans="1:38" ht="15.75" customHeight="1" x14ac:dyDescent="0.35">
      <c r="A235" s="42"/>
      <c r="B235" s="8">
        <v>234</v>
      </c>
      <c r="C235" s="33" t="s">
        <v>334</v>
      </c>
      <c r="D235" s="20" t="s">
        <v>220</v>
      </c>
      <c r="E235" s="7">
        <v>10</v>
      </c>
      <c r="F235" s="7">
        <f t="shared" si="0"/>
        <v>68</v>
      </c>
      <c r="G235" s="8">
        <v>18</v>
      </c>
      <c r="H235" s="8">
        <v>10</v>
      </c>
      <c r="I235" s="8">
        <v>0</v>
      </c>
      <c r="J235" s="8">
        <v>3</v>
      </c>
      <c r="K235" s="8">
        <v>0</v>
      </c>
      <c r="L235" s="8">
        <v>4</v>
      </c>
      <c r="M235" s="8">
        <v>0</v>
      </c>
      <c r="N235" s="8">
        <v>0</v>
      </c>
      <c r="O235" s="8">
        <v>0</v>
      </c>
      <c r="P235" s="8">
        <f t="shared" si="1"/>
        <v>4</v>
      </c>
      <c r="Q235" s="10">
        <f t="shared" si="2"/>
        <v>4</v>
      </c>
      <c r="R235" s="11">
        <v>13.1</v>
      </c>
      <c r="S235" s="15">
        <v>5.7000000000000002E-2</v>
      </c>
      <c r="T235" s="8">
        <v>2</v>
      </c>
      <c r="U235" s="8">
        <v>1</v>
      </c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</row>
    <row r="236" spans="1:38" ht="15.75" customHeight="1" x14ac:dyDescent="0.35">
      <c r="A236" s="42"/>
      <c r="B236" s="8">
        <v>235</v>
      </c>
      <c r="C236" s="33" t="s">
        <v>335</v>
      </c>
      <c r="D236" s="7" t="s">
        <v>45</v>
      </c>
      <c r="E236" s="7">
        <v>9</v>
      </c>
      <c r="F236" s="7">
        <f t="shared" si="0"/>
        <v>63</v>
      </c>
      <c r="G236" s="8">
        <v>12</v>
      </c>
      <c r="H236" s="8">
        <v>10</v>
      </c>
      <c r="I236" s="8">
        <v>3</v>
      </c>
      <c r="J236" s="8">
        <v>2</v>
      </c>
      <c r="K236" s="8">
        <v>0</v>
      </c>
      <c r="L236" s="8">
        <v>10</v>
      </c>
      <c r="M236" s="8">
        <v>2</v>
      </c>
      <c r="N236" s="8">
        <v>0</v>
      </c>
      <c r="O236" s="8">
        <v>0</v>
      </c>
      <c r="P236" s="8">
        <f t="shared" si="1"/>
        <v>12</v>
      </c>
      <c r="Q236" s="10">
        <f t="shared" si="2"/>
        <v>10</v>
      </c>
      <c r="R236" s="11">
        <v>13.6</v>
      </c>
      <c r="S236" s="15">
        <v>5.6000000000000001E-2</v>
      </c>
      <c r="T236" s="8">
        <v>2</v>
      </c>
      <c r="U236" s="8">
        <v>1</v>
      </c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</row>
    <row r="237" spans="1:38" ht="15.75" customHeight="1" x14ac:dyDescent="0.35">
      <c r="A237" s="42"/>
      <c r="B237" s="8">
        <v>236</v>
      </c>
      <c r="C237" s="33" t="s">
        <v>336</v>
      </c>
      <c r="D237" s="7" t="s">
        <v>45</v>
      </c>
      <c r="E237" s="7">
        <v>9</v>
      </c>
      <c r="F237" s="7">
        <f t="shared" si="0"/>
        <v>52</v>
      </c>
      <c r="G237" s="8">
        <v>20</v>
      </c>
      <c r="H237" s="8">
        <v>10</v>
      </c>
      <c r="I237" s="8">
        <v>6</v>
      </c>
      <c r="J237" s="8">
        <v>3</v>
      </c>
      <c r="K237" s="8">
        <v>0</v>
      </c>
      <c r="L237" s="8">
        <v>1</v>
      </c>
      <c r="M237" s="8">
        <v>11</v>
      </c>
      <c r="N237" s="8">
        <v>0</v>
      </c>
      <c r="O237" s="8">
        <v>0</v>
      </c>
      <c r="P237" s="8">
        <f t="shared" si="1"/>
        <v>12</v>
      </c>
      <c r="Q237" s="10">
        <f t="shared" si="2"/>
        <v>1</v>
      </c>
      <c r="R237" s="11">
        <v>12.3</v>
      </c>
      <c r="S237" s="15">
        <v>0.39900000000000002</v>
      </c>
      <c r="T237" s="8">
        <v>2</v>
      </c>
      <c r="U237" s="8">
        <v>1</v>
      </c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</row>
    <row r="238" spans="1:38" ht="15.75" customHeight="1" x14ac:dyDescent="0.35">
      <c r="A238" s="42"/>
      <c r="B238" s="8">
        <v>237</v>
      </c>
      <c r="C238" s="33" t="s">
        <v>337</v>
      </c>
      <c r="D238" s="20" t="s">
        <v>220</v>
      </c>
      <c r="E238" s="7">
        <v>10</v>
      </c>
      <c r="F238" s="7">
        <f t="shared" si="0"/>
        <v>56</v>
      </c>
      <c r="G238" s="8">
        <v>25</v>
      </c>
      <c r="H238" s="8">
        <v>5</v>
      </c>
      <c r="I238" s="8">
        <v>6</v>
      </c>
      <c r="J238" s="8">
        <v>3</v>
      </c>
      <c r="K238" s="8">
        <v>0</v>
      </c>
      <c r="L238" s="8">
        <v>5</v>
      </c>
      <c r="M238" s="8">
        <v>3</v>
      </c>
      <c r="N238" s="8">
        <v>0</v>
      </c>
      <c r="O238" s="8">
        <v>0</v>
      </c>
      <c r="P238" s="8">
        <f t="shared" si="1"/>
        <v>8</v>
      </c>
      <c r="Q238" s="10">
        <f t="shared" si="2"/>
        <v>5</v>
      </c>
      <c r="R238" s="11">
        <v>12.9</v>
      </c>
      <c r="S238" s="15">
        <v>2.9000000000000001E-2</v>
      </c>
      <c r="T238" s="8">
        <v>2</v>
      </c>
      <c r="U238" s="8">
        <v>1</v>
      </c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</row>
    <row r="239" spans="1:38" ht="15.75" customHeight="1" x14ac:dyDescent="0.35">
      <c r="A239" s="42"/>
      <c r="B239" s="8">
        <v>238</v>
      </c>
      <c r="C239" s="33" t="s">
        <v>338</v>
      </c>
      <c r="D239" s="7" t="s">
        <v>27</v>
      </c>
      <c r="E239" s="7">
        <v>2</v>
      </c>
      <c r="F239" s="7">
        <f t="shared" si="0"/>
        <v>39</v>
      </c>
      <c r="G239" s="8">
        <v>30</v>
      </c>
      <c r="H239" s="8">
        <v>15</v>
      </c>
      <c r="I239" s="8">
        <v>4</v>
      </c>
      <c r="J239" s="8">
        <v>4</v>
      </c>
      <c r="K239" s="8">
        <v>0</v>
      </c>
      <c r="L239" s="8">
        <v>7</v>
      </c>
      <c r="M239" s="8">
        <v>5</v>
      </c>
      <c r="N239" s="8">
        <v>0</v>
      </c>
      <c r="O239" s="8">
        <v>0</v>
      </c>
      <c r="P239" s="8">
        <f t="shared" si="1"/>
        <v>12</v>
      </c>
      <c r="Q239" s="10">
        <f t="shared" si="2"/>
        <v>7</v>
      </c>
      <c r="R239" s="11">
        <v>16.600000000000001</v>
      </c>
      <c r="S239" s="15">
        <v>0.38200000000000001</v>
      </c>
      <c r="T239" s="8">
        <v>2</v>
      </c>
      <c r="U239" s="8">
        <v>1</v>
      </c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</row>
    <row r="240" spans="1:38" ht="15.75" customHeight="1" x14ac:dyDescent="0.35">
      <c r="A240" s="42"/>
      <c r="B240" s="8">
        <v>239</v>
      </c>
      <c r="C240" s="33" t="s">
        <v>339</v>
      </c>
      <c r="D240" s="20" t="s">
        <v>220</v>
      </c>
      <c r="E240" s="7">
        <v>10</v>
      </c>
      <c r="F240" s="7">
        <f t="shared" si="0"/>
        <v>50</v>
      </c>
      <c r="G240" s="8">
        <v>20</v>
      </c>
      <c r="H240" s="8">
        <v>16</v>
      </c>
      <c r="I240" s="8">
        <v>2</v>
      </c>
      <c r="J240" s="8">
        <v>3</v>
      </c>
      <c r="K240" s="8">
        <v>0</v>
      </c>
      <c r="L240" s="8">
        <v>10</v>
      </c>
      <c r="M240" s="8">
        <v>2</v>
      </c>
      <c r="N240" s="8">
        <v>0</v>
      </c>
      <c r="O240" s="8">
        <v>0</v>
      </c>
      <c r="P240" s="8">
        <f t="shared" si="1"/>
        <v>12</v>
      </c>
      <c r="Q240" s="10">
        <f t="shared" si="2"/>
        <v>10</v>
      </c>
      <c r="R240" s="11">
        <v>12.5</v>
      </c>
      <c r="S240" s="15">
        <v>0.16700000000000001</v>
      </c>
      <c r="T240" s="8">
        <v>2</v>
      </c>
      <c r="U240" s="8">
        <v>1</v>
      </c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</row>
    <row r="241" spans="1:38" ht="15.75" customHeight="1" x14ac:dyDescent="0.35">
      <c r="A241" s="42"/>
      <c r="B241" s="8">
        <v>240</v>
      </c>
      <c r="C241" s="33" t="s">
        <v>340</v>
      </c>
      <c r="D241" s="20" t="s">
        <v>107</v>
      </c>
      <c r="E241" s="7">
        <v>3</v>
      </c>
      <c r="F241" s="7">
        <f t="shared" si="0"/>
        <v>0</v>
      </c>
      <c r="G241" s="8">
        <v>17</v>
      </c>
      <c r="H241" s="8">
        <v>80</v>
      </c>
      <c r="I241" s="8">
        <v>2</v>
      </c>
      <c r="J241" s="8">
        <v>0</v>
      </c>
      <c r="K241" s="8">
        <v>1</v>
      </c>
      <c r="L241" s="8">
        <v>1</v>
      </c>
      <c r="M241" s="8">
        <v>0</v>
      </c>
      <c r="N241" s="8">
        <v>0</v>
      </c>
      <c r="O241" s="8">
        <v>0</v>
      </c>
      <c r="P241" s="8">
        <f t="shared" si="1"/>
        <v>1</v>
      </c>
      <c r="Q241" s="10">
        <f t="shared" si="2"/>
        <v>1</v>
      </c>
      <c r="R241" s="11">
        <v>4</v>
      </c>
      <c r="S241" s="15">
        <v>1E-3</v>
      </c>
      <c r="T241" s="8">
        <v>1</v>
      </c>
      <c r="U241" s="8">
        <v>1</v>
      </c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</row>
    <row r="242" spans="1:38" ht="15.75" customHeight="1" x14ac:dyDescent="0.35">
      <c r="A242" s="42"/>
      <c r="B242" s="8">
        <v>241</v>
      </c>
      <c r="C242" s="33" t="s">
        <v>341</v>
      </c>
      <c r="D242" s="7" t="s">
        <v>45</v>
      </c>
      <c r="E242" s="7">
        <v>9</v>
      </c>
      <c r="F242" s="7">
        <f t="shared" si="0"/>
        <v>68</v>
      </c>
      <c r="G242" s="8">
        <v>14</v>
      </c>
      <c r="H242" s="8">
        <v>9</v>
      </c>
      <c r="I242" s="8">
        <v>0</v>
      </c>
      <c r="J242" s="8">
        <v>3</v>
      </c>
      <c r="K242" s="8">
        <v>0</v>
      </c>
      <c r="L242" s="8">
        <v>9</v>
      </c>
      <c r="M242" s="8">
        <v>0</v>
      </c>
      <c r="N242" s="8">
        <v>0</v>
      </c>
      <c r="O242" s="8">
        <v>0</v>
      </c>
      <c r="P242" s="8">
        <f t="shared" si="1"/>
        <v>9</v>
      </c>
      <c r="Q242" s="10">
        <f t="shared" si="2"/>
        <v>9</v>
      </c>
      <c r="R242" s="11">
        <v>9.1</v>
      </c>
      <c r="S242" s="15">
        <v>0.21199999999999999</v>
      </c>
      <c r="T242" s="8">
        <v>2</v>
      </c>
      <c r="U242" s="8">
        <v>1</v>
      </c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</row>
    <row r="243" spans="1:38" ht="15.75" customHeight="1" x14ac:dyDescent="0.35">
      <c r="A243" s="42"/>
      <c r="B243" s="8">
        <v>242</v>
      </c>
      <c r="C243" s="33" t="s">
        <v>342</v>
      </c>
      <c r="D243" s="7" t="s">
        <v>45</v>
      </c>
      <c r="E243" s="7">
        <v>9</v>
      </c>
      <c r="F243" s="7">
        <f t="shared" si="0"/>
        <v>72</v>
      </c>
      <c r="G243" s="8">
        <v>10</v>
      </c>
      <c r="H243" s="8">
        <v>6</v>
      </c>
      <c r="I243" s="8">
        <v>2</v>
      </c>
      <c r="J243" s="8">
        <v>2</v>
      </c>
      <c r="K243" s="8">
        <v>0</v>
      </c>
      <c r="L243" s="8">
        <v>10</v>
      </c>
      <c r="M243" s="8">
        <v>0</v>
      </c>
      <c r="N243" s="8">
        <v>1</v>
      </c>
      <c r="O243" s="8">
        <v>0</v>
      </c>
      <c r="P243" s="8">
        <f t="shared" si="1"/>
        <v>10</v>
      </c>
      <c r="Q243" s="10">
        <f t="shared" si="2"/>
        <v>10</v>
      </c>
      <c r="R243" s="11">
        <v>10.4</v>
      </c>
      <c r="S243" s="15">
        <v>4.9000000000000002E-2</v>
      </c>
      <c r="T243" s="8">
        <v>2</v>
      </c>
      <c r="U243" s="8">
        <v>1</v>
      </c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</row>
    <row r="244" spans="1:38" ht="15.75" customHeight="1" x14ac:dyDescent="0.35">
      <c r="A244" s="42"/>
      <c r="B244" s="8">
        <v>243</v>
      </c>
      <c r="C244" s="33" t="s">
        <v>343</v>
      </c>
      <c r="D244" s="7" t="s">
        <v>45</v>
      </c>
      <c r="E244" s="7">
        <v>9</v>
      </c>
      <c r="F244" s="7">
        <f t="shared" si="0"/>
        <v>63</v>
      </c>
      <c r="G244" s="8">
        <v>12</v>
      </c>
      <c r="H244" s="8">
        <v>3</v>
      </c>
      <c r="I244" s="8">
        <v>6</v>
      </c>
      <c r="J244" s="8">
        <v>2</v>
      </c>
      <c r="K244" s="8">
        <v>0</v>
      </c>
      <c r="L244" s="8">
        <v>12</v>
      </c>
      <c r="M244" s="8">
        <v>4</v>
      </c>
      <c r="N244" s="8">
        <v>0</v>
      </c>
      <c r="O244" s="8">
        <v>0</v>
      </c>
      <c r="P244" s="8">
        <f t="shared" si="1"/>
        <v>16</v>
      </c>
      <c r="Q244" s="10">
        <f t="shared" si="2"/>
        <v>12</v>
      </c>
      <c r="R244" s="11">
        <v>10.3</v>
      </c>
      <c r="S244" s="15">
        <v>3.5999999999999997E-2</v>
      </c>
      <c r="T244" s="8">
        <v>2</v>
      </c>
      <c r="U244" s="8">
        <v>1</v>
      </c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</row>
    <row r="245" spans="1:38" ht="15.75" customHeight="1" x14ac:dyDescent="0.35">
      <c r="A245" s="42"/>
      <c r="B245" s="8">
        <v>244</v>
      </c>
      <c r="C245" s="33" t="s">
        <v>344</v>
      </c>
      <c r="D245" s="7" t="s">
        <v>45</v>
      </c>
      <c r="E245" s="7">
        <v>9</v>
      </c>
      <c r="F245" s="7">
        <f t="shared" si="0"/>
        <v>64</v>
      </c>
      <c r="G245" s="8">
        <v>15</v>
      </c>
      <c r="H245" s="8">
        <v>5</v>
      </c>
      <c r="I245" s="8">
        <v>3</v>
      </c>
      <c r="J245" s="8">
        <v>3</v>
      </c>
      <c r="K245" s="8">
        <v>0</v>
      </c>
      <c r="L245" s="8">
        <v>12</v>
      </c>
      <c r="M245" s="8">
        <v>1</v>
      </c>
      <c r="N245" s="8">
        <v>0</v>
      </c>
      <c r="O245" s="8">
        <v>0</v>
      </c>
      <c r="P245" s="8">
        <f t="shared" si="1"/>
        <v>13</v>
      </c>
      <c r="Q245" s="10">
        <f t="shared" si="2"/>
        <v>12</v>
      </c>
      <c r="R245" s="11">
        <v>13.7</v>
      </c>
      <c r="S245" s="15">
        <v>3.24</v>
      </c>
      <c r="T245" s="8">
        <v>2</v>
      </c>
      <c r="U245" s="8">
        <v>1</v>
      </c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</row>
    <row r="246" spans="1:38" ht="15.75" customHeight="1" x14ac:dyDescent="0.35">
      <c r="A246" s="42"/>
      <c r="B246" s="8">
        <v>245</v>
      </c>
      <c r="C246" s="33" t="s">
        <v>345</v>
      </c>
      <c r="D246" s="7" t="s">
        <v>45</v>
      </c>
      <c r="E246" s="7">
        <v>9</v>
      </c>
      <c r="F246" s="7">
        <f t="shared" si="0"/>
        <v>19</v>
      </c>
      <c r="G246" s="8">
        <v>60</v>
      </c>
      <c r="H246" s="8">
        <v>10</v>
      </c>
      <c r="I246" s="8">
        <v>1</v>
      </c>
      <c r="J246" s="8">
        <v>0</v>
      </c>
      <c r="K246" s="8">
        <v>1</v>
      </c>
      <c r="L246" s="8">
        <v>10</v>
      </c>
      <c r="M246" s="8">
        <v>0</v>
      </c>
      <c r="N246" s="8">
        <v>0</v>
      </c>
      <c r="O246" s="8">
        <v>1</v>
      </c>
      <c r="P246" s="8">
        <f t="shared" si="1"/>
        <v>10</v>
      </c>
      <c r="Q246" s="10">
        <f t="shared" si="2"/>
        <v>10</v>
      </c>
      <c r="R246" s="11">
        <v>10.6</v>
      </c>
      <c r="S246" s="15">
        <v>0.11700000000000001</v>
      </c>
      <c r="T246" s="8">
        <v>1</v>
      </c>
      <c r="U246" s="8">
        <v>1</v>
      </c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</row>
    <row r="247" spans="1:38" ht="15.75" customHeight="1" x14ac:dyDescent="0.35">
      <c r="A247" s="42"/>
      <c r="B247" s="8">
        <v>246</v>
      </c>
      <c r="C247" s="33" t="s">
        <v>346</v>
      </c>
      <c r="D247" s="20" t="s">
        <v>347</v>
      </c>
      <c r="E247" s="7">
        <v>6</v>
      </c>
      <c r="F247" s="7">
        <f t="shared" si="0"/>
        <v>17</v>
      </c>
      <c r="G247" s="8">
        <v>43</v>
      </c>
      <c r="H247" s="8">
        <v>25</v>
      </c>
      <c r="I247" s="8">
        <v>5</v>
      </c>
      <c r="J247" s="8">
        <v>3</v>
      </c>
      <c r="K247" s="8">
        <v>0</v>
      </c>
      <c r="L247" s="8">
        <v>8</v>
      </c>
      <c r="M247" s="8">
        <v>2</v>
      </c>
      <c r="N247" s="8">
        <v>0</v>
      </c>
      <c r="O247" s="8">
        <v>0</v>
      </c>
      <c r="P247" s="8">
        <f t="shared" si="1"/>
        <v>10</v>
      </c>
      <c r="Q247" s="10">
        <f t="shared" si="2"/>
        <v>8</v>
      </c>
      <c r="R247" s="11">
        <v>12.7</v>
      </c>
      <c r="S247" s="15">
        <v>0.158</v>
      </c>
      <c r="T247" s="8">
        <v>1</v>
      </c>
      <c r="U247" s="8">
        <v>1</v>
      </c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</row>
    <row r="248" spans="1:38" ht="15.75" customHeight="1" x14ac:dyDescent="0.35">
      <c r="A248" s="42"/>
      <c r="B248" s="8">
        <v>247</v>
      </c>
      <c r="C248" s="33" t="s">
        <v>348</v>
      </c>
      <c r="D248" s="20" t="s">
        <v>107</v>
      </c>
      <c r="E248" s="7">
        <v>3</v>
      </c>
      <c r="F248" s="7">
        <f t="shared" si="0"/>
        <v>0</v>
      </c>
      <c r="G248" s="8">
        <v>32</v>
      </c>
      <c r="H248" s="8">
        <v>65</v>
      </c>
      <c r="I248" s="8">
        <v>1</v>
      </c>
      <c r="J248" s="8">
        <v>0</v>
      </c>
      <c r="K248" s="8">
        <v>1</v>
      </c>
      <c r="L248" s="8">
        <v>2</v>
      </c>
      <c r="M248" s="8">
        <v>0</v>
      </c>
      <c r="N248" s="8">
        <v>0</v>
      </c>
      <c r="O248" s="8">
        <v>0</v>
      </c>
      <c r="P248" s="8">
        <f t="shared" si="1"/>
        <v>2</v>
      </c>
      <c r="Q248" s="10">
        <f t="shared" si="2"/>
        <v>2</v>
      </c>
      <c r="R248" s="11">
        <v>10.6</v>
      </c>
      <c r="S248" s="15">
        <v>8.7999999999999995E-2</v>
      </c>
      <c r="T248" s="8">
        <v>1</v>
      </c>
      <c r="U248" s="8">
        <v>1</v>
      </c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</row>
    <row r="249" spans="1:38" ht="15.75" customHeight="1" x14ac:dyDescent="0.35">
      <c r="A249" s="42"/>
      <c r="B249" s="8">
        <v>248</v>
      </c>
      <c r="C249" s="33" t="s">
        <v>349</v>
      </c>
      <c r="D249" s="7" t="s">
        <v>54</v>
      </c>
      <c r="E249" s="7">
        <v>8</v>
      </c>
      <c r="F249" s="7">
        <f t="shared" si="0"/>
        <v>52</v>
      </c>
      <c r="G249" s="8">
        <v>28</v>
      </c>
      <c r="H249" s="8">
        <v>0</v>
      </c>
      <c r="I249" s="8">
        <v>7</v>
      </c>
      <c r="J249" s="8">
        <v>3</v>
      </c>
      <c r="K249" s="8">
        <v>0</v>
      </c>
      <c r="L249" s="8">
        <v>12</v>
      </c>
      <c r="M249" s="8">
        <v>1</v>
      </c>
      <c r="N249" s="8">
        <v>0</v>
      </c>
      <c r="O249" s="8">
        <v>0</v>
      </c>
      <c r="P249" s="8">
        <f t="shared" si="1"/>
        <v>13</v>
      </c>
      <c r="Q249" s="10">
        <f t="shared" si="2"/>
        <v>12</v>
      </c>
      <c r="R249" s="11">
        <v>12.7</v>
      </c>
      <c r="S249" s="15">
        <v>0.53800000000000003</v>
      </c>
      <c r="T249" s="8">
        <v>2</v>
      </c>
      <c r="U249" s="8">
        <v>1</v>
      </c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</row>
    <row r="250" spans="1:38" ht="15.75" customHeight="1" x14ac:dyDescent="0.35">
      <c r="A250" s="42"/>
      <c r="B250" s="8">
        <v>249</v>
      </c>
      <c r="C250" s="33" t="s">
        <v>350</v>
      </c>
      <c r="D250" s="7" t="s">
        <v>45</v>
      </c>
      <c r="E250" s="7">
        <v>9</v>
      </c>
      <c r="F250" s="7">
        <f t="shared" si="0"/>
        <v>66</v>
      </c>
      <c r="G250" s="8">
        <v>16</v>
      </c>
      <c r="H250" s="8">
        <v>8</v>
      </c>
      <c r="I250" s="8">
        <v>2</v>
      </c>
      <c r="J250" s="8">
        <v>3</v>
      </c>
      <c r="K250" s="8">
        <v>0</v>
      </c>
      <c r="L250" s="8">
        <v>5</v>
      </c>
      <c r="M250" s="8">
        <v>3</v>
      </c>
      <c r="N250" s="8">
        <v>0</v>
      </c>
      <c r="O250" s="8">
        <v>0</v>
      </c>
      <c r="P250" s="8">
        <f t="shared" si="1"/>
        <v>8</v>
      </c>
      <c r="Q250" s="10">
        <f t="shared" si="2"/>
        <v>5</v>
      </c>
      <c r="R250" s="11">
        <v>10.1</v>
      </c>
      <c r="S250" s="15">
        <v>1.0999999999999999E-2</v>
      </c>
      <c r="T250" s="8">
        <v>2</v>
      </c>
      <c r="U250" s="8">
        <v>1</v>
      </c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</row>
    <row r="251" spans="1:38" ht="15.75" customHeight="1" x14ac:dyDescent="0.35">
      <c r="A251" s="42"/>
      <c r="B251" s="8">
        <v>250</v>
      </c>
      <c r="C251" s="33" t="s">
        <v>351</v>
      </c>
      <c r="D251" s="7" t="s">
        <v>45</v>
      </c>
      <c r="E251" s="7">
        <v>9</v>
      </c>
      <c r="F251" s="7">
        <f t="shared" si="0"/>
        <v>55</v>
      </c>
      <c r="G251" s="8">
        <v>24</v>
      </c>
      <c r="H251" s="8">
        <v>16</v>
      </c>
      <c r="I251" s="8">
        <v>3</v>
      </c>
      <c r="J251" s="8">
        <v>3</v>
      </c>
      <c r="K251" s="8">
        <v>0</v>
      </c>
      <c r="L251" s="8">
        <v>2</v>
      </c>
      <c r="M251" s="8">
        <v>0</v>
      </c>
      <c r="N251" s="8">
        <v>0</v>
      </c>
      <c r="O251" s="8">
        <v>0</v>
      </c>
      <c r="P251" s="8">
        <f t="shared" si="1"/>
        <v>2</v>
      </c>
      <c r="Q251" s="10">
        <f t="shared" si="2"/>
        <v>2</v>
      </c>
      <c r="R251" s="11">
        <v>7</v>
      </c>
      <c r="S251" s="15">
        <v>3.0000000000000001E-3</v>
      </c>
      <c r="T251" s="8">
        <v>2</v>
      </c>
      <c r="U251" s="8">
        <v>1</v>
      </c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</row>
    <row r="252" spans="1:38" ht="15.75" customHeight="1" x14ac:dyDescent="0.35">
      <c r="A252" s="42"/>
      <c r="B252" s="8">
        <v>251</v>
      </c>
      <c r="C252" s="33" t="s">
        <v>352</v>
      </c>
      <c r="D252" s="7" t="s">
        <v>45</v>
      </c>
      <c r="E252" s="7">
        <v>9</v>
      </c>
      <c r="F252" s="7">
        <f t="shared" si="0"/>
        <v>51</v>
      </c>
      <c r="G252" s="8">
        <v>20</v>
      </c>
      <c r="H252" s="8">
        <v>8</v>
      </c>
      <c r="I252" s="8">
        <v>4</v>
      </c>
      <c r="J252" s="8">
        <v>0</v>
      </c>
      <c r="K252" s="8">
        <v>1</v>
      </c>
      <c r="L252" s="8">
        <v>12</v>
      </c>
      <c r="M252" s="8">
        <v>5</v>
      </c>
      <c r="N252" s="8">
        <v>0</v>
      </c>
      <c r="O252" s="8">
        <v>0</v>
      </c>
      <c r="P252" s="8">
        <f t="shared" si="1"/>
        <v>17</v>
      </c>
      <c r="Q252" s="10">
        <f t="shared" si="2"/>
        <v>12</v>
      </c>
      <c r="R252" s="11">
        <v>11.7</v>
      </c>
      <c r="S252" s="15">
        <v>0.10199999999999999</v>
      </c>
      <c r="T252" s="8">
        <v>1</v>
      </c>
      <c r="U252" s="8">
        <v>1</v>
      </c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</row>
    <row r="253" spans="1:38" ht="15.75" customHeight="1" x14ac:dyDescent="0.35">
      <c r="A253" s="42"/>
      <c r="B253" s="8">
        <v>252</v>
      </c>
      <c r="C253" s="33" t="s">
        <v>353</v>
      </c>
      <c r="D253" s="7" t="s">
        <v>45</v>
      </c>
      <c r="E253" s="7">
        <v>9</v>
      </c>
      <c r="F253" s="7">
        <f t="shared" si="0"/>
        <v>53</v>
      </c>
      <c r="G253" s="8">
        <v>19</v>
      </c>
      <c r="H253" s="8">
        <v>15</v>
      </c>
      <c r="I253" s="8">
        <v>9</v>
      </c>
      <c r="J253" s="8">
        <v>0</v>
      </c>
      <c r="K253" s="8">
        <v>1</v>
      </c>
      <c r="L253" s="8">
        <v>4</v>
      </c>
      <c r="M253" s="8">
        <v>0</v>
      </c>
      <c r="N253" s="8">
        <v>0</v>
      </c>
      <c r="O253" s="8">
        <v>0</v>
      </c>
      <c r="P253" s="8">
        <f t="shared" si="1"/>
        <v>4</v>
      </c>
      <c r="Q253" s="10">
        <f t="shared" si="2"/>
        <v>4</v>
      </c>
      <c r="R253" s="11">
        <v>8.1999999999999993</v>
      </c>
      <c r="S253" s="15">
        <v>5.0000000000000001E-3</v>
      </c>
      <c r="T253" s="8">
        <v>1</v>
      </c>
      <c r="U253" s="8">
        <v>1</v>
      </c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</row>
    <row r="254" spans="1:38" ht="15.75" customHeight="1" x14ac:dyDescent="0.35">
      <c r="A254" s="42"/>
      <c r="B254" s="8">
        <v>253</v>
      </c>
      <c r="C254" s="33" t="s">
        <v>354</v>
      </c>
      <c r="D254" s="7" t="s">
        <v>54</v>
      </c>
      <c r="E254" s="7">
        <v>8</v>
      </c>
      <c r="F254" s="7">
        <f t="shared" si="0"/>
        <v>53</v>
      </c>
      <c r="G254" s="8">
        <v>30</v>
      </c>
      <c r="H254" s="8">
        <v>0</v>
      </c>
      <c r="I254" s="8">
        <v>3</v>
      </c>
      <c r="J254" s="8">
        <v>3</v>
      </c>
      <c r="K254" s="8">
        <v>0</v>
      </c>
      <c r="L254" s="8">
        <v>14</v>
      </c>
      <c r="M254" s="8">
        <v>0</v>
      </c>
      <c r="N254" s="8">
        <v>0</v>
      </c>
      <c r="O254" s="8">
        <v>0</v>
      </c>
      <c r="P254" s="8">
        <f t="shared" si="1"/>
        <v>14</v>
      </c>
      <c r="Q254" s="10">
        <f t="shared" si="2"/>
        <v>14</v>
      </c>
      <c r="R254" s="11">
        <v>16</v>
      </c>
      <c r="S254" s="15">
        <v>8.11</v>
      </c>
      <c r="T254" s="8">
        <v>2</v>
      </c>
      <c r="U254" s="8">
        <v>1</v>
      </c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</row>
    <row r="255" spans="1:38" ht="15.75" customHeight="1" x14ac:dyDescent="0.35">
      <c r="A255" s="42"/>
      <c r="B255" s="8">
        <v>254</v>
      </c>
      <c r="C255" s="33" t="s">
        <v>355</v>
      </c>
      <c r="D255" s="20" t="s">
        <v>79</v>
      </c>
      <c r="E255" s="7">
        <v>6</v>
      </c>
      <c r="F255" s="7">
        <f t="shared" si="0"/>
        <v>22</v>
      </c>
      <c r="G255" s="8">
        <v>13</v>
      </c>
      <c r="H255" s="8">
        <v>50</v>
      </c>
      <c r="I255" s="8">
        <v>2</v>
      </c>
      <c r="J255" s="8">
        <v>0</v>
      </c>
      <c r="K255" s="8">
        <v>1</v>
      </c>
      <c r="L255" s="8">
        <v>13</v>
      </c>
      <c r="M255" s="8">
        <v>0</v>
      </c>
      <c r="N255" s="8">
        <v>0</v>
      </c>
      <c r="O255" s="8">
        <v>0</v>
      </c>
      <c r="P255" s="8">
        <f t="shared" si="1"/>
        <v>13</v>
      </c>
      <c r="Q255" s="10">
        <f t="shared" si="2"/>
        <v>13</v>
      </c>
      <c r="R255" s="11">
        <v>10.4</v>
      </c>
      <c r="S255" s="15">
        <v>7.1999999999999995E-2</v>
      </c>
      <c r="T255" s="8">
        <v>1</v>
      </c>
      <c r="U255" s="8">
        <v>1</v>
      </c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</row>
    <row r="256" spans="1:38" ht="15.75" customHeight="1" x14ac:dyDescent="0.35">
      <c r="A256" s="42"/>
      <c r="B256" s="8">
        <v>255</v>
      </c>
      <c r="C256" s="33" t="s">
        <v>356</v>
      </c>
      <c r="D256" s="20" t="s">
        <v>107</v>
      </c>
      <c r="E256" s="7">
        <v>3</v>
      </c>
      <c r="F256" s="7">
        <f t="shared" si="0"/>
        <v>0</v>
      </c>
      <c r="G256" s="8">
        <v>2</v>
      </c>
      <c r="H256" s="8">
        <v>91</v>
      </c>
      <c r="I256" s="8">
        <v>1</v>
      </c>
      <c r="J256" s="8">
        <v>0</v>
      </c>
      <c r="K256" s="8">
        <v>1</v>
      </c>
      <c r="L256" s="8">
        <v>6</v>
      </c>
      <c r="M256" s="8">
        <v>0</v>
      </c>
      <c r="N256" s="8">
        <v>0</v>
      </c>
      <c r="O256" s="8">
        <v>0</v>
      </c>
      <c r="P256" s="8">
        <f t="shared" si="1"/>
        <v>6</v>
      </c>
      <c r="Q256" s="10">
        <f t="shared" si="2"/>
        <v>6</v>
      </c>
      <c r="R256" s="11">
        <v>11.2</v>
      </c>
      <c r="S256" s="15">
        <v>0.16400000000000001</v>
      </c>
      <c r="T256" s="8">
        <v>1</v>
      </c>
      <c r="U256" s="8">
        <v>1</v>
      </c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</row>
    <row r="257" spans="1:38" ht="15.75" customHeight="1" x14ac:dyDescent="0.35">
      <c r="A257" s="42"/>
      <c r="B257" s="8">
        <v>256</v>
      </c>
      <c r="C257" s="33" t="s">
        <v>357</v>
      </c>
      <c r="D257" s="7" t="s">
        <v>54</v>
      </c>
      <c r="E257" s="7">
        <v>8</v>
      </c>
      <c r="F257" s="7">
        <f t="shared" ref="F257:F280" si="3">100-G257-H257-I257-L257-M257</f>
        <v>63</v>
      </c>
      <c r="G257" s="8">
        <v>16</v>
      </c>
      <c r="H257" s="8">
        <v>0</v>
      </c>
      <c r="I257" s="8">
        <v>3</v>
      </c>
      <c r="J257" s="8">
        <v>0</v>
      </c>
      <c r="K257" s="8">
        <v>1</v>
      </c>
      <c r="L257" s="8">
        <v>16</v>
      </c>
      <c r="M257" s="8">
        <v>2</v>
      </c>
      <c r="N257" s="8">
        <v>0</v>
      </c>
      <c r="O257" s="8">
        <v>0</v>
      </c>
      <c r="P257" s="8">
        <f t="shared" ref="P257:P280" si="4">L257+M257</f>
        <v>18</v>
      </c>
      <c r="Q257" s="10">
        <f t="shared" ref="Q257:Q280" si="5">L257</f>
        <v>16</v>
      </c>
      <c r="R257" s="11">
        <v>16</v>
      </c>
      <c r="S257" s="15">
        <v>7.36</v>
      </c>
      <c r="T257" s="8">
        <v>1</v>
      </c>
      <c r="U257" s="8">
        <v>1</v>
      </c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</row>
    <row r="258" spans="1:38" ht="15.75" customHeight="1" x14ac:dyDescent="0.35">
      <c r="A258" s="42"/>
      <c r="B258" s="8">
        <v>257</v>
      </c>
      <c r="C258" s="33" t="s">
        <v>358</v>
      </c>
      <c r="D258" s="20" t="s">
        <v>107</v>
      </c>
      <c r="E258" s="7">
        <v>3</v>
      </c>
      <c r="F258" s="7">
        <f t="shared" si="3"/>
        <v>0</v>
      </c>
      <c r="G258" s="8">
        <v>79</v>
      </c>
      <c r="H258" s="8">
        <v>5</v>
      </c>
      <c r="I258" s="8">
        <v>2</v>
      </c>
      <c r="J258" s="8">
        <v>0</v>
      </c>
      <c r="K258" s="8">
        <v>1</v>
      </c>
      <c r="L258" s="8">
        <v>12</v>
      </c>
      <c r="M258" s="8">
        <v>2</v>
      </c>
      <c r="N258" s="8">
        <v>0</v>
      </c>
      <c r="O258" s="8">
        <v>0</v>
      </c>
      <c r="P258" s="8">
        <f t="shared" si="4"/>
        <v>14</v>
      </c>
      <c r="Q258" s="10">
        <f t="shared" si="5"/>
        <v>12</v>
      </c>
      <c r="R258" s="11">
        <v>16.8</v>
      </c>
      <c r="S258" s="15">
        <v>2.12</v>
      </c>
      <c r="T258" s="8">
        <v>1</v>
      </c>
      <c r="U258" s="8">
        <v>1</v>
      </c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</row>
    <row r="259" spans="1:38" ht="15.75" customHeight="1" x14ac:dyDescent="0.35">
      <c r="A259" s="42"/>
      <c r="B259" s="8">
        <v>258</v>
      </c>
      <c r="C259" s="33" t="s">
        <v>359</v>
      </c>
      <c r="D259" s="7" t="s">
        <v>54</v>
      </c>
      <c r="E259" s="7">
        <v>8</v>
      </c>
      <c r="F259" s="7">
        <f t="shared" si="3"/>
        <v>63</v>
      </c>
      <c r="G259" s="8">
        <v>19</v>
      </c>
      <c r="H259" s="8">
        <v>0</v>
      </c>
      <c r="I259" s="8">
        <v>3</v>
      </c>
      <c r="J259" s="8">
        <v>0</v>
      </c>
      <c r="K259" s="8">
        <v>1</v>
      </c>
      <c r="L259" s="8">
        <v>14</v>
      </c>
      <c r="M259" s="8">
        <v>1</v>
      </c>
      <c r="N259" s="8">
        <v>0</v>
      </c>
      <c r="O259" s="8">
        <v>0</v>
      </c>
      <c r="P259" s="8">
        <f t="shared" si="4"/>
        <v>15</v>
      </c>
      <c r="Q259" s="10">
        <f t="shared" si="5"/>
        <v>14</v>
      </c>
      <c r="R259" s="11">
        <v>16.7</v>
      </c>
      <c r="S259" s="15">
        <v>11.1</v>
      </c>
      <c r="T259" s="8">
        <v>1</v>
      </c>
      <c r="U259" s="8">
        <v>1</v>
      </c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</row>
    <row r="260" spans="1:38" ht="15.75" customHeight="1" x14ac:dyDescent="0.35">
      <c r="A260" s="42"/>
      <c r="B260" s="8">
        <v>259</v>
      </c>
      <c r="C260" s="33" t="s">
        <v>360</v>
      </c>
      <c r="D260" s="7" t="s">
        <v>45</v>
      </c>
      <c r="E260" s="7">
        <v>9</v>
      </c>
      <c r="F260" s="7">
        <f t="shared" si="3"/>
        <v>31</v>
      </c>
      <c r="G260" s="8">
        <v>33</v>
      </c>
      <c r="H260" s="8">
        <v>17</v>
      </c>
      <c r="I260" s="8">
        <v>3</v>
      </c>
      <c r="J260" s="8">
        <v>3</v>
      </c>
      <c r="K260" s="8">
        <v>0</v>
      </c>
      <c r="L260" s="8">
        <v>14</v>
      </c>
      <c r="M260" s="8">
        <v>2</v>
      </c>
      <c r="N260" s="8">
        <v>0</v>
      </c>
      <c r="O260" s="8">
        <v>0</v>
      </c>
      <c r="P260" s="8">
        <f t="shared" si="4"/>
        <v>16</v>
      </c>
      <c r="Q260" s="10">
        <f t="shared" si="5"/>
        <v>14</v>
      </c>
      <c r="R260" s="11">
        <v>19.2</v>
      </c>
      <c r="S260" s="15">
        <v>1.1100000000000001</v>
      </c>
      <c r="T260" s="8">
        <v>1</v>
      </c>
      <c r="U260" s="8">
        <v>1</v>
      </c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</row>
    <row r="261" spans="1:38" ht="15.75" customHeight="1" x14ac:dyDescent="0.35">
      <c r="A261" s="42"/>
      <c r="B261" s="8">
        <v>260</v>
      </c>
      <c r="C261" s="33" t="s">
        <v>361</v>
      </c>
      <c r="D261" s="7" t="s">
        <v>54</v>
      </c>
      <c r="E261" s="7">
        <v>8</v>
      </c>
      <c r="F261" s="7">
        <f t="shared" si="3"/>
        <v>69</v>
      </c>
      <c r="G261" s="8">
        <v>14</v>
      </c>
      <c r="H261" s="8">
        <v>0</v>
      </c>
      <c r="I261" s="8">
        <v>6</v>
      </c>
      <c r="J261" s="8">
        <v>0</v>
      </c>
      <c r="K261" s="8">
        <v>1</v>
      </c>
      <c r="L261" s="8">
        <v>9</v>
      </c>
      <c r="M261" s="8">
        <v>2</v>
      </c>
      <c r="N261" s="8">
        <v>0</v>
      </c>
      <c r="O261" s="8">
        <v>0</v>
      </c>
      <c r="P261" s="8">
        <f t="shared" si="4"/>
        <v>11</v>
      </c>
      <c r="Q261" s="10">
        <f t="shared" si="5"/>
        <v>9</v>
      </c>
      <c r="R261" s="11">
        <v>13.3</v>
      </c>
      <c r="S261" s="15">
        <v>2.57</v>
      </c>
      <c r="T261" s="8">
        <v>1</v>
      </c>
      <c r="U261" s="8">
        <v>1</v>
      </c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</row>
    <row r="262" spans="1:38" ht="15.75" customHeight="1" x14ac:dyDescent="0.35">
      <c r="A262" s="42"/>
      <c r="B262" s="8">
        <v>261</v>
      </c>
      <c r="C262" s="33" t="s">
        <v>362</v>
      </c>
      <c r="D262" s="7" t="s">
        <v>45</v>
      </c>
      <c r="E262" s="7">
        <v>9</v>
      </c>
      <c r="F262" s="7">
        <f t="shared" si="3"/>
        <v>51</v>
      </c>
      <c r="G262" s="8">
        <v>12</v>
      </c>
      <c r="H262" s="8">
        <v>30</v>
      </c>
      <c r="I262" s="8">
        <v>2</v>
      </c>
      <c r="J262" s="8">
        <v>0</v>
      </c>
      <c r="K262" s="8">
        <v>1</v>
      </c>
      <c r="L262" s="8">
        <v>3</v>
      </c>
      <c r="M262" s="8">
        <v>2</v>
      </c>
      <c r="N262" s="8">
        <v>0</v>
      </c>
      <c r="O262" s="8">
        <v>0</v>
      </c>
      <c r="P262" s="8">
        <f t="shared" si="4"/>
        <v>5</v>
      </c>
      <c r="Q262" s="10">
        <f t="shared" si="5"/>
        <v>3</v>
      </c>
      <c r="R262" s="11">
        <v>7.4</v>
      </c>
      <c r="S262" s="15">
        <v>7.8E-2</v>
      </c>
      <c r="T262" s="8">
        <v>1</v>
      </c>
      <c r="U262" s="8">
        <v>1</v>
      </c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</row>
    <row r="263" spans="1:38" ht="15.75" customHeight="1" x14ac:dyDescent="0.35">
      <c r="A263" s="42"/>
      <c r="B263" s="8">
        <v>262</v>
      </c>
      <c r="C263" s="33" t="s">
        <v>363</v>
      </c>
      <c r="D263" s="20" t="s">
        <v>107</v>
      </c>
      <c r="E263" s="7">
        <v>3</v>
      </c>
      <c r="F263" s="7">
        <f t="shared" si="3"/>
        <v>0</v>
      </c>
      <c r="G263" s="8">
        <v>7</v>
      </c>
      <c r="H263" s="8">
        <v>85</v>
      </c>
      <c r="I263" s="8">
        <v>2</v>
      </c>
      <c r="J263" s="8">
        <v>0</v>
      </c>
      <c r="K263" s="8">
        <v>1</v>
      </c>
      <c r="L263" s="8">
        <v>1</v>
      </c>
      <c r="M263" s="8">
        <v>5</v>
      </c>
      <c r="N263" s="8">
        <v>0</v>
      </c>
      <c r="O263" s="8">
        <v>0</v>
      </c>
      <c r="P263" s="8">
        <f t="shared" si="4"/>
        <v>6</v>
      </c>
      <c r="Q263" s="10">
        <f t="shared" si="5"/>
        <v>1</v>
      </c>
      <c r="R263" s="11">
        <v>8.6999999999999993</v>
      </c>
      <c r="S263" s="15">
        <v>7.0999999999999994E-2</v>
      </c>
      <c r="T263" s="8">
        <v>1</v>
      </c>
      <c r="U263" s="8">
        <v>1</v>
      </c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</row>
    <row r="264" spans="1:38" ht="15.75" customHeight="1" x14ac:dyDescent="0.35">
      <c r="A264" s="42"/>
      <c r="B264" s="8">
        <v>263</v>
      </c>
      <c r="C264" s="33" t="s">
        <v>364</v>
      </c>
      <c r="D264" s="20" t="s">
        <v>107</v>
      </c>
      <c r="E264" s="7">
        <v>3</v>
      </c>
      <c r="F264" s="7">
        <f t="shared" si="3"/>
        <v>0</v>
      </c>
      <c r="G264" s="8">
        <v>3</v>
      </c>
      <c r="H264" s="8">
        <v>96</v>
      </c>
      <c r="I264" s="8">
        <v>1</v>
      </c>
      <c r="J264" s="8">
        <v>0</v>
      </c>
      <c r="K264" s="8">
        <v>1</v>
      </c>
      <c r="L264" s="8">
        <v>0</v>
      </c>
      <c r="M264" s="8">
        <v>0</v>
      </c>
      <c r="N264" s="8">
        <v>0</v>
      </c>
      <c r="O264" s="8">
        <v>0</v>
      </c>
      <c r="P264" s="8">
        <f t="shared" si="4"/>
        <v>0</v>
      </c>
      <c r="Q264" s="10">
        <f t="shared" si="5"/>
        <v>0</v>
      </c>
      <c r="R264" s="11">
        <v>7.2</v>
      </c>
      <c r="S264" s="15">
        <v>8.0000000000000002E-3</v>
      </c>
      <c r="T264" s="8">
        <v>1</v>
      </c>
      <c r="U264" s="8">
        <v>1</v>
      </c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</row>
    <row r="265" spans="1:38" ht="15.75" customHeight="1" x14ac:dyDescent="0.35">
      <c r="A265" s="42"/>
      <c r="B265" s="8">
        <v>264</v>
      </c>
      <c r="C265" s="33" t="s">
        <v>365</v>
      </c>
      <c r="D265" s="20" t="s">
        <v>107</v>
      </c>
      <c r="E265" s="7">
        <v>3</v>
      </c>
      <c r="F265" s="7">
        <f t="shared" si="3"/>
        <v>0</v>
      </c>
      <c r="G265" s="8">
        <v>6</v>
      </c>
      <c r="H265" s="8">
        <v>92</v>
      </c>
      <c r="I265" s="8">
        <v>1</v>
      </c>
      <c r="J265" s="8">
        <v>0</v>
      </c>
      <c r="K265" s="8">
        <v>1</v>
      </c>
      <c r="L265" s="8">
        <v>1</v>
      </c>
      <c r="M265" s="8">
        <v>0</v>
      </c>
      <c r="N265" s="8">
        <v>0</v>
      </c>
      <c r="O265" s="8">
        <v>0</v>
      </c>
      <c r="P265" s="8">
        <f t="shared" si="4"/>
        <v>1</v>
      </c>
      <c r="Q265" s="10">
        <f t="shared" si="5"/>
        <v>1</v>
      </c>
      <c r="R265" s="11">
        <v>10.4</v>
      </c>
      <c r="S265" s="15">
        <v>0.40500000000000003</v>
      </c>
      <c r="T265" s="8">
        <v>1</v>
      </c>
      <c r="U265" s="8">
        <v>1</v>
      </c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</row>
    <row r="266" spans="1:38" ht="15.75" customHeight="1" x14ac:dyDescent="0.35">
      <c r="A266" s="42"/>
      <c r="B266" s="8">
        <v>265</v>
      </c>
      <c r="C266" s="33" t="s">
        <v>366</v>
      </c>
      <c r="D266" s="20" t="s">
        <v>107</v>
      </c>
      <c r="E266" s="7">
        <v>3</v>
      </c>
      <c r="F266" s="7">
        <f t="shared" si="3"/>
        <v>0</v>
      </c>
      <c r="G266" s="8">
        <v>35</v>
      </c>
      <c r="H266" s="8">
        <v>50</v>
      </c>
      <c r="I266" s="8">
        <v>0</v>
      </c>
      <c r="J266" s="8">
        <v>0</v>
      </c>
      <c r="K266" s="8">
        <v>1</v>
      </c>
      <c r="L266" s="8">
        <v>2</v>
      </c>
      <c r="M266" s="8">
        <v>13</v>
      </c>
      <c r="N266" s="8">
        <v>0</v>
      </c>
      <c r="O266" s="8">
        <v>0</v>
      </c>
      <c r="P266" s="8">
        <f t="shared" si="4"/>
        <v>15</v>
      </c>
      <c r="Q266" s="10">
        <f t="shared" si="5"/>
        <v>2</v>
      </c>
      <c r="R266" s="11">
        <v>18.3</v>
      </c>
      <c r="S266" s="15">
        <v>1.22</v>
      </c>
      <c r="T266" s="8">
        <v>1</v>
      </c>
      <c r="U266" s="8">
        <v>1</v>
      </c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</row>
    <row r="267" spans="1:38" ht="15.75" customHeight="1" x14ac:dyDescent="0.35">
      <c r="A267" s="42"/>
      <c r="B267" s="8">
        <v>266</v>
      </c>
      <c r="C267" s="33" t="s">
        <v>367</v>
      </c>
      <c r="D267" s="20" t="s">
        <v>107</v>
      </c>
      <c r="E267" s="7">
        <v>3</v>
      </c>
      <c r="F267" s="7">
        <f t="shared" si="3"/>
        <v>0</v>
      </c>
      <c r="G267" s="8">
        <v>23</v>
      </c>
      <c r="H267" s="8">
        <v>60</v>
      </c>
      <c r="I267" s="8">
        <v>0</v>
      </c>
      <c r="J267" s="8">
        <v>0</v>
      </c>
      <c r="K267" s="8">
        <v>1</v>
      </c>
      <c r="L267" s="8">
        <v>5</v>
      </c>
      <c r="M267" s="8">
        <v>12</v>
      </c>
      <c r="N267" s="8">
        <v>0</v>
      </c>
      <c r="O267" s="8">
        <v>0</v>
      </c>
      <c r="P267" s="8">
        <f t="shared" si="4"/>
        <v>17</v>
      </c>
      <c r="Q267" s="10">
        <f t="shared" si="5"/>
        <v>5</v>
      </c>
      <c r="R267" s="11">
        <v>17.100000000000001</v>
      </c>
      <c r="S267" s="15">
        <v>0.28599999999999998</v>
      </c>
      <c r="T267" s="8">
        <v>1</v>
      </c>
      <c r="U267" s="8">
        <v>1</v>
      </c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</row>
    <row r="268" spans="1:38" ht="15.75" customHeight="1" x14ac:dyDescent="0.35">
      <c r="A268" s="42"/>
      <c r="B268" s="8">
        <v>267</v>
      </c>
      <c r="C268" s="33" t="s">
        <v>368</v>
      </c>
      <c r="D268" s="20" t="s">
        <v>107</v>
      </c>
      <c r="E268" s="7">
        <v>3</v>
      </c>
      <c r="F268" s="7">
        <f t="shared" si="3"/>
        <v>0</v>
      </c>
      <c r="G268" s="8">
        <v>0</v>
      </c>
      <c r="H268" s="8">
        <v>90</v>
      </c>
      <c r="I268" s="8">
        <v>0</v>
      </c>
      <c r="J268" s="8">
        <v>0</v>
      </c>
      <c r="K268" s="8">
        <v>1</v>
      </c>
      <c r="L268" s="8">
        <v>2</v>
      </c>
      <c r="M268" s="8">
        <v>8</v>
      </c>
      <c r="N268" s="8">
        <v>0</v>
      </c>
      <c r="O268" s="8">
        <v>0</v>
      </c>
      <c r="P268" s="8">
        <f t="shared" si="4"/>
        <v>10</v>
      </c>
      <c r="Q268" s="10">
        <f t="shared" si="5"/>
        <v>2</v>
      </c>
      <c r="R268" s="11">
        <v>11.6</v>
      </c>
      <c r="S268" s="15">
        <v>0.154</v>
      </c>
      <c r="T268" s="8">
        <v>1</v>
      </c>
      <c r="U268" s="8">
        <v>1</v>
      </c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</row>
    <row r="269" spans="1:38" ht="15.75" customHeight="1" x14ac:dyDescent="0.35">
      <c r="A269" s="42"/>
      <c r="B269" s="8">
        <v>268</v>
      </c>
      <c r="C269" s="33" t="s">
        <v>369</v>
      </c>
      <c r="D269" s="20" t="s">
        <v>107</v>
      </c>
      <c r="E269" s="7">
        <v>3</v>
      </c>
      <c r="F269" s="7">
        <f t="shared" si="3"/>
        <v>0</v>
      </c>
      <c r="G269" s="8">
        <v>0</v>
      </c>
      <c r="H269" s="8">
        <v>98</v>
      </c>
      <c r="I269" s="8">
        <v>0</v>
      </c>
      <c r="J269" s="8">
        <v>0</v>
      </c>
      <c r="K269" s="8">
        <v>1</v>
      </c>
      <c r="L269" s="8">
        <v>2</v>
      </c>
      <c r="M269" s="8">
        <v>0</v>
      </c>
      <c r="N269" s="8">
        <v>0</v>
      </c>
      <c r="O269" s="8">
        <v>0</v>
      </c>
      <c r="P269" s="8">
        <f t="shared" si="4"/>
        <v>2</v>
      </c>
      <c r="Q269" s="10">
        <f t="shared" si="5"/>
        <v>2</v>
      </c>
      <c r="R269" s="11">
        <v>11.7</v>
      </c>
      <c r="S269" s="15">
        <v>9.7000000000000003E-2</v>
      </c>
      <c r="T269" s="8">
        <v>1</v>
      </c>
      <c r="U269" s="8">
        <v>1</v>
      </c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</row>
    <row r="270" spans="1:38" ht="15.75" customHeight="1" x14ac:dyDescent="0.35">
      <c r="A270" s="42"/>
      <c r="B270" s="8">
        <v>269</v>
      </c>
      <c r="C270" s="33" t="s">
        <v>370</v>
      </c>
      <c r="D270" s="7" t="s">
        <v>45</v>
      </c>
      <c r="E270" s="7">
        <v>9</v>
      </c>
      <c r="F270" s="7">
        <f t="shared" si="3"/>
        <v>34</v>
      </c>
      <c r="G270" s="8">
        <v>30</v>
      </c>
      <c r="H270" s="8">
        <v>20</v>
      </c>
      <c r="I270" s="8">
        <v>1</v>
      </c>
      <c r="J270" s="8">
        <v>0</v>
      </c>
      <c r="K270" s="8">
        <v>1</v>
      </c>
      <c r="L270" s="8">
        <v>4</v>
      </c>
      <c r="M270" s="8">
        <v>11</v>
      </c>
      <c r="N270" s="8">
        <v>0</v>
      </c>
      <c r="O270" s="8">
        <v>0</v>
      </c>
      <c r="P270" s="8">
        <f t="shared" si="4"/>
        <v>15</v>
      </c>
      <c r="Q270" s="10">
        <f t="shared" si="5"/>
        <v>4</v>
      </c>
      <c r="R270" s="11">
        <v>18.8</v>
      </c>
      <c r="S270" s="15">
        <v>3.07</v>
      </c>
      <c r="T270" s="8">
        <v>1</v>
      </c>
      <c r="U270" s="8">
        <v>1</v>
      </c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</row>
    <row r="271" spans="1:38" ht="15.75" customHeight="1" x14ac:dyDescent="0.35">
      <c r="A271" s="42"/>
      <c r="B271" s="8">
        <v>270</v>
      </c>
      <c r="C271" s="33" t="s">
        <v>371</v>
      </c>
      <c r="D271" s="7" t="s">
        <v>45</v>
      </c>
      <c r="E271" s="7">
        <v>9</v>
      </c>
      <c r="F271" s="7">
        <f t="shared" si="3"/>
        <v>48</v>
      </c>
      <c r="G271" s="8">
        <v>20</v>
      </c>
      <c r="H271" s="8">
        <v>16</v>
      </c>
      <c r="I271" s="8">
        <v>2</v>
      </c>
      <c r="J271" s="8">
        <v>0</v>
      </c>
      <c r="K271" s="8">
        <v>1</v>
      </c>
      <c r="L271" s="8">
        <v>6</v>
      </c>
      <c r="M271" s="8">
        <v>8</v>
      </c>
      <c r="N271" s="8">
        <v>0</v>
      </c>
      <c r="O271" s="8">
        <v>0</v>
      </c>
      <c r="P271" s="8">
        <f t="shared" si="4"/>
        <v>14</v>
      </c>
      <c r="Q271" s="10">
        <f t="shared" si="5"/>
        <v>6</v>
      </c>
      <c r="R271" s="11">
        <v>15</v>
      </c>
      <c r="S271" s="15">
        <v>0.82399999999999995</v>
      </c>
      <c r="T271" s="8">
        <v>1</v>
      </c>
      <c r="U271" s="8">
        <v>1</v>
      </c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</row>
    <row r="272" spans="1:38" ht="15.75" customHeight="1" x14ac:dyDescent="0.35">
      <c r="A272" s="42"/>
      <c r="B272" s="8">
        <v>271</v>
      </c>
      <c r="C272" s="33" t="s">
        <v>372</v>
      </c>
      <c r="D272" s="7" t="s">
        <v>45</v>
      </c>
      <c r="E272" s="7">
        <v>9</v>
      </c>
      <c r="F272" s="7">
        <f t="shared" si="3"/>
        <v>46</v>
      </c>
      <c r="G272" s="8">
        <v>22</v>
      </c>
      <c r="H272" s="8">
        <v>18</v>
      </c>
      <c r="I272" s="8">
        <v>3</v>
      </c>
      <c r="J272" s="8">
        <v>0</v>
      </c>
      <c r="K272" s="8">
        <v>1</v>
      </c>
      <c r="L272" s="8">
        <v>4</v>
      </c>
      <c r="M272" s="8">
        <v>7</v>
      </c>
      <c r="N272" s="8">
        <v>0</v>
      </c>
      <c r="O272" s="8">
        <v>0</v>
      </c>
      <c r="P272" s="8">
        <f t="shared" si="4"/>
        <v>11</v>
      </c>
      <c r="Q272" s="10">
        <f t="shared" si="5"/>
        <v>4</v>
      </c>
      <c r="R272" s="11">
        <v>10.3</v>
      </c>
      <c r="S272" s="15">
        <v>0.20599999999999999</v>
      </c>
      <c r="T272" s="8">
        <v>1</v>
      </c>
      <c r="U272" s="8">
        <v>1</v>
      </c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</row>
    <row r="273" spans="1:38" ht="15.75" customHeight="1" x14ac:dyDescent="0.35">
      <c r="A273" s="42"/>
      <c r="B273" s="8">
        <v>272</v>
      </c>
      <c r="C273" s="33" t="s">
        <v>373</v>
      </c>
      <c r="D273" s="20" t="s">
        <v>107</v>
      </c>
      <c r="E273" s="7">
        <v>3</v>
      </c>
      <c r="F273" s="7">
        <f t="shared" si="3"/>
        <v>3</v>
      </c>
      <c r="G273" s="8">
        <v>49</v>
      </c>
      <c r="H273" s="8">
        <v>38</v>
      </c>
      <c r="I273" s="8">
        <v>0</v>
      </c>
      <c r="J273" s="8">
        <v>0</v>
      </c>
      <c r="K273" s="8">
        <v>1</v>
      </c>
      <c r="L273" s="8">
        <v>3</v>
      </c>
      <c r="M273" s="8">
        <v>7</v>
      </c>
      <c r="N273" s="8">
        <v>0</v>
      </c>
      <c r="O273" s="8">
        <v>0</v>
      </c>
      <c r="P273" s="8">
        <f t="shared" si="4"/>
        <v>10</v>
      </c>
      <c r="Q273" s="10">
        <f t="shared" si="5"/>
        <v>3</v>
      </c>
      <c r="R273" s="11">
        <v>12.8</v>
      </c>
      <c r="S273" s="15">
        <v>0.45900000000000002</v>
      </c>
      <c r="T273" s="8">
        <v>1</v>
      </c>
      <c r="U273" s="8">
        <v>1</v>
      </c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</row>
    <row r="274" spans="1:38" ht="15.75" customHeight="1" x14ac:dyDescent="0.35">
      <c r="A274" s="42"/>
      <c r="B274" s="8">
        <v>273</v>
      </c>
      <c r="C274" s="33" t="s">
        <v>374</v>
      </c>
      <c r="D274" s="7" t="s">
        <v>45</v>
      </c>
      <c r="E274" s="7">
        <v>9</v>
      </c>
      <c r="F274" s="7">
        <f t="shared" si="3"/>
        <v>41</v>
      </c>
      <c r="G274" s="8">
        <v>28</v>
      </c>
      <c r="H274" s="8">
        <v>19</v>
      </c>
      <c r="I274" s="8">
        <v>2</v>
      </c>
      <c r="J274" s="8">
        <v>0</v>
      </c>
      <c r="K274" s="8">
        <v>1</v>
      </c>
      <c r="L274" s="8">
        <v>4</v>
      </c>
      <c r="M274" s="8">
        <v>6</v>
      </c>
      <c r="N274" s="8">
        <v>0</v>
      </c>
      <c r="O274" s="8">
        <v>0</v>
      </c>
      <c r="P274" s="8">
        <f t="shared" si="4"/>
        <v>10</v>
      </c>
      <c r="Q274" s="10">
        <f t="shared" si="5"/>
        <v>4</v>
      </c>
      <c r="R274" s="11">
        <v>11.3</v>
      </c>
      <c r="S274" s="15">
        <v>0.23100000000000001</v>
      </c>
      <c r="T274" s="8">
        <v>2</v>
      </c>
      <c r="U274" s="8">
        <v>1</v>
      </c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</row>
    <row r="275" spans="1:38" ht="15.75" customHeight="1" x14ac:dyDescent="0.35">
      <c r="A275" s="42"/>
      <c r="B275" s="8">
        <v>274</v>
      </c>
      <c r="C275" s="33" t="s">
        <v>375</v>
      </c>
      <c r="D275" s="20" t="s">
        <v>107</v>
      </c>
      <c r="E275" s="7">
        <v>3</v>
      </c>
      <c r="F275" s="7">
        <f t="shared" si="3"/>
        <v>0</v>
      </c>
      <c r="G275" s="8">
        <v>10</v>
      </c>
      <c r="H275" s="8">
        <v>89</v>
      </c>
      <c r="I275" s="8">
        <v>1</v>
      </c>
      <c r="J275" s="8">
        <v>0</v>
      </c>
      <c r="K275" s="8">
        <v>1</v>
      </c>
      <c r="L275" s="8">
        <v>0</v>
      </c>
      <c r="M275" s="8">
        <v>0</v>
      </c>
      <c r="N275" s="8">
        <v>0</v>
      </c>
      <c r="O275" s="8">
        <v>0</v>
      </c>
      <c r="P275" s="8">
        <f t="shared" si="4"/>
        <v>0</v>
      </c>
      <c r="Q275" s="10">
        <f t="shared" si="5"/>
        <v>0</v>
      </c>
      <c r="R275" s="11">
        <v>5.3</v>
      </c>
      <c r="S275" s="15">
        <v>0</v>
      </c>
      <c r="T275" s="8">
        <v>1</v>
      </c>
      <c r="U275" s="8">
        <v>1</v>
      </c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</row>
    <row r="276" spans="1:38" ht="15.75" customHeight="1" x14ac:dyDescent="0.35">
      <c r="A276" s="42"/>
      <c r="B276" s="8">
        <v>275</v>
      </c>
      <c r="C276" s="33" t="s">
        <v>376</v>
      </c>
      <c r="D276" s="20" t="s">
        <v>107</v>
      </c>
      <c r="E276" s="7">
        <v>3</v>
      </c>
      <c r="F276" s="7">
        <f t="shared" si="3"/>
        <v>0</v>
      </c>
      <c r="G276" s="8">
        <v>0</v>
      </c>
      <c r="H276" s="8">
        <v>97</v>
      </c>
      <c r="I276" s="8">
        <v>3</v>
      </c>
      <c r="J276" s="8">
        <v>0</v>
      </c>
      <c r="K276" s="8">
        <v>1</v>
      </c>
      <c r="L276" s="8">
        <v>0</v>
      </c>
      <c r="M276" s="8">
        <v>0</v>
      </c>
      <c r="N276" s="8">
        <v>0</v>
      </c>
      <c r="O276" s="8">
        <v>0</v>
      </c>
      <c r="P276" s="8">
        <f t="shared" si="4"/>
        <v>0</v>
      </c>
      <c r="Q276" s="10">
        <f t="shared" si="5"/>
        <v>0</v>
      </c>
      <c r="R276" s="11">
        <v>3</v>
      </c>
      <c r="S276" s="15">
        <v>1E-3</v>
      </c>
      <c r="T276" s="8">
        <v>1</v>
      </c>
      <c r="U276" s="8">
        <v>1</v>
      </c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</row>
    <row r="277" spans="1:38" ht="15.75" customHeight="1" x14ac:dyDescent="0.35">
      <c r="A277" s="42"/>
      <c r="B277" s="8">
        <v>276</v>
      </c>
      <c r="C277" s="33" t="s">
        <v>377</v>
      </c>
      <c r="D277" s="20" t="s">
        <v>107</v>
      </c>
      <c r="E277" s="8">
        <v>3</v>
      </c>
      <c r="F277" s="7">
        <f t="shared" si="3"/>
        <v>0</v>
      </c>
      <c r="G277" s="8">
        <v>60</v>
      </c>
      <c r="H277" s="8">
        <v>38</v>
      </c>
      <c r="I277" s="8">
        <v>2</v>
      </c>
      <c r="J277" s="8">
        <v>0</v>
      </c>
      <c r="K277" s="8">
        <v>1</v>
      </c>
      <c r="L277" s="8">
        <v>0</v>
      </c>
      <c r="M277" s="8">
        <v>0</v>
      </c>
      <c r="N277" s="8">
        <v>0</v>
      </c>
      <c r="O277" s="8">
        <v>0</v>
      </c>
      <c r="P277" s="8">
        <f t="shared" si="4"/>
        <v>0</v>
      </c>
      <c r="Q277" s="10">
        <f t="shared" si="5"/>
        <v>0</v>
      </c>
      <c r="R277" s="11">
        <v>5.5</v>
      </c>
      <c r="S277" s="15">
        <v>0</v>
      </c>
      <c r="T277" s="8">
        <v>1</v>
      </c>
      <c r="U277" s="8">
        <v>1</v>
      </c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</row>
    <row r="278" spans="1:38" ht="15.75" customHeight="1" x14ac:dyDescent="0.35">
      <c r="A278" s="42"/>
      <c r="B278" s="8">
        <v>277</v>
      </c>
      <c r="C278" s="33" t="s">
        <v>378</v>
      </c>
      <c r="D278" s="7" t="s">
        <v>45</v>
      </c>
      <c r="E278" s="8">
        <v>9</v>
      </c>
      <c r="F278" s="7">
        <f t="shared" si="3"/>
        <v>38</v>
      </c>
      <c r="G278" s="8">
        <v>26</v>
      </c>
      <c r="H278" s="8">
        <v>10</v>
      </c>
      <c r="I278" s="8">
        <v>6</v>
      </c>
      <c r="J278" s="8">
        <v>0</v>
      </c>
      <c r="K278" s="8">
        <v>1</v>
      </c>
      <c r="L278" s="8">
        <v>5</v>
      </c>
      <c r="M278" s="8">
        <v>15</v>
      </c>
      <c r="N278" s="8">
        <v>0</v>
      </c>
      <c r="O278" s="8">
        <v>0</v>
      </c>
      <c r="P278" s="8">
        <f t="shared" si="4"/>
        <v>20</v>
      </c>
      <c r="Q278" s="10">
        <f t="shared" si="5"/>
        <v>5</v>
      </c>
      <c r="R278" s="11">
        <v>21.8</v>
      </c>
      <c r="S278" s="18">
        <v>59.5</v>
      </c>
      <c r="T278" s="8">
        <v>1</v>
      </c>
      <c r="U278" s="8">
        <v>2</v>
      </c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</row>
    <row r="279" spans="1:38" ht="15.75" customHeight="1" x14ac:dyDescent="0.35">
      <c r="A279" s="42"/>
      <c r="B279" s="8">
        <v>278</v>
      </c>
      <c r="C279" s="33" t="s">
        <v>379</v>
      </c>
      <c r="D279" s="20" t="s">
        <v>107</v>
      </c>
      <c r="E279" s="8">
        <v>3</v>
      </c>
      <c r="F279" s="7">
        <f t="shared" si="3"/>
        <v>0</v>
      </c>
      <c r="G279" s="8">
        <v>80</v>
      </c>
      <c r="H279" s="8">
        <v>1</v>
      </c>
      <c r="I279" s="8">
        <v>1</v>
      </c>
      <c r="J279" s="8">
        <v>0</v>
      </c>
      <c r="K279" s="8">
        <v>1</v>
      </c>
      <c r="L279" s="8">
        <v>2</v>
      </c>
      <c r="M279" s="8">
        <v>16</v>
      </c>
      <c r="N279" s="8">
        <v>0</v>
      </c>
      <c r="O279" s="8">
        <v>0</v>
      </c>
      <c r="P279" s="8">
        <f t="shared" si="4"/>
        <v>18</v>
      </c>
      <c r="Q279" s="10">
        <f t="shared" si="5"/>
        <v>2</v>
      </c>
      <c r="R279" s="11">
        <v>20.7</v>
      </c>
      <c r="S279" s="15">
        <v>20.7</v>
      </c>
      <c r="T279" s="8">
        <v>1</v>
      </c>
      <c r="U279" s="8">
        <v>1</v>
      </c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</row>
    <row r="280" spans="1:38" ht="15.75" customHeight="1" x14ac:dyDescent="0.35">
      <c r="A280" s="42"/>
      <c r="B280" s="8">
        <v>279</v>
      </c>
      <c r="C280" s="33" t="s">
        <v>380</v>
      </c>
      <c r="D280" s="20" t="s">
        <v>107</v>
      </c>
      <c r="E280" s="8">
        <v>3</v>
      </c>
      <c r="F280" s="7">
        <f t="shared" si="3"/>
        <v>0</v>
      </c>
      <c r="G280" s="8">
        <v>75</v>
      </c>
      <c r="H280" s="8">
        <v>2</v>
      </c>
      <c r="I280" s="8">
        <v>1</v>
      </c>
      <c r="J280" s="8">
        <v>0</v>
      </c>
      <c r="K280" s="8">
        <v>1</v>
      </c>
      <c r="L280" s="8">
        <v>10</v>
      </c>
      <c r="M280" s="8">
        <v>12</v>
      </c>
      <c r="N280" s="8">
        <v>0</v>
      </c>
      <c r="O280" s="8">
        <v>0</v>
      </c>
      <c r="P280" s="8">
        <f t="shared" si="4"/>
        <v>22</v>
      </c>
      <c r="Q280" s="10">
        <f t="shared" si="5"/>
        <v>10</v>
      </c>
      <c r="R280" s="11">
        <v>23.4</v>
      </c>
      <c r="S280" s="15">
        <v>13</v>
      </c>
      <c r="T280" s="8">
        <v>1</v>
      </c>
      <c r="U280" s="8">
        <v>1</v>
      </c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</row>
    <row r="281" spans="1:38" ht="15.75" customHeight="1" x14ac:dyDescent="0.35">
      <c r="A281" s="14"/>
      <c r="B281" s="14"/>
      <c r="C281" s="9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34"/>
      <c r="Q281" s="34"/>
      <c r="R281" s="35"/>
      <c r="S281" s="36"/>
      <c r="T281" s="8"/>
      <c r="U281" s="8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</row>
    <row r="282" spans="1:38" ht="15.75" customHeight="1" x14ac:dyDescent="0.35">
      <c r="A282" s="14"/>
      <c r="B282" s="14"/>
      <c r="C282" s="9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1"/>
      <c r="S282" s="36"/>
      <c r="T282" s="8"/>
      <c r="U282" s="8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</row>
    <row r="283" spans="1:38" ht="15.75" customHeight="1" x14ac:dyDescent="0.35">
      <c r="A283" s="14"/>
      <c r="B283" s="14"/>
      <c r="C283" s="9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1"/>
      <c r="S283" s="36"/>
      <c r="T283" s="8"/>
      <c r="U283" s="8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</row>
    <row r="284" spans="1:38" ht="15.75" customHeight="1" x14ac:dyDescent="0.35">
      <c r="A284" s="14"/>
      <c r="B284" s="14"/>
      <c r="C284" s="9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1"/>
      <c r="S284" s="36"/>
      <c r="T284" s="8"/>
      <c r="U284" s="8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</row>
    <row r="285" spans="1:38" ht="15.75" customHeight="1" x14ac:dyDescent="0.35">
      <c r="A285" s="14"/>
      <c r="B285" s="14"/>
      <c r="C285" s="9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1"/>
      <c r="S285" s="36"/>
      <c r="T285" s="8"/>
      <c r="U285" s="8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</row>
    <row r="286" spans="1:38" ht="15.75" customHeight="1" x14ac:dyDescent="0.35">
      <c r="A286" s="14"/>
      <c r="B286" s="14"/>
      <c r="C286" s="9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1"/>
      <c r="S286" s="36"/>
      <c r="T286" s="8"/>
      <c r="U286" s="8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</row>
    <row r="287" spans="1:38" ht="15.75" customHeight="1" x14ac:dyDescent="0.35">
      <c r="A287" s="14"/>
      <c r="B287" s="14"/>
      <c r="C287" s="9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1"/>
      <c r="S287" s="36"/>
      <c r="T287" s="8"/>
      <c r="U287" s="8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</row>
    <row r="288" spans="1:38" ht="15.75" customHeight="1" x14ac:dyDescent="0.35">
      <c r="A288" s="14"/>
      <c r="B288" s="14"/>
      <c r="C288" s="9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1"/>
      <c r="S288" s="36"/>
      <c r="T288" s="8"/>
      <c r="U288" s="8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</row>
    <row r="289" spans="1:38" ht="15.75" customHeight="1" x14ac:dyDescent="0.35">
      <c r="A289" s="14"/>
      <c r="B289" s="14"/>
      <c r="C289" s="9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1"/>
      <c r="S289" s="36"/>
      <c r="T289" s="8"/>
      <c r="U289" s="8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</row>
    <row r="290" spans="1:38" ht="15.75" customHeight="1" x14ac:dyDescent="0.35">
      <c r="A290" s="14"/>
      <c r="B290" s="14"/>
      <c r="C290" s="9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1"/>
      <c r="S290" s="36"/>
      <c r="T290" s="8"/>
      <c r="U290" s="8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</row>
    <row r="291" spans="1:38" ht="15.75" customHeight="1" x14ac:dyDescent="0.35">
      <c r="A291" s="14"/>
      <c r="B291" s="14"/>
      <c r="C291" s="9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1"/>
      <c r="S291" s="36"/>
      <c r="T291" s="8"/>
      <c r="U291" s="8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</row>
    <row r="292" spans="1:38" ht="15.75" customHeight="1" x14ac:dyDescent="0.35">
      <c r="A292" s="14"/>
      <c r="B292" s="14"/>
      <c r="C292" s="9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1"/>
      <c r="S292" s="36"/>
      <c r="T292" s="8"/>
      <c r="U292" s="8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</row>
    <row r="293" spans="1:38" ht="15.75" customHeight="1" x14ac:dyDescent="0.35">
      <c r="A293" s="14"/>
      <c r="B293" s="14"/>
      <c r="C293" s="9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1"/>
      <c r="S293" s="36"/>
      <c r="T293" s="8"/>
      <c r="U293" s="8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</row>
    <row r="294" spans="1:38" ht="15.75" customHeight="1" x14ac:dyDescent="0.35">
      <c r="A294" s="14"/>
      <c r="B294" s="14"/>
      <c r="C294" s="9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1"/>
      <c r="S294" s="36"/>
      <c r="T294" s="8"/>
      <c r="U294" s="8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</row>
    <row r="295" spans="1:38" ht="15.75" customHeight="1" x14ac:dyDescent="0.35">
      <c r="A295" s="14"/>
      <c r="B295" s="14"/>
      <c r="C295" s="9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1"/>
      <c r="S295" s="36"/>
      <c r="T295" s="8"/>
      <c r="U295" s="8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</row>
    <row r="296" spans="1:38" ht="15.75" customHeight="1" x14ac:dyDescent="0.35">
      <c r="A296" s="14"/>
      <c r="B296" s="14"/>
      <c r="C296" s="9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1"/>
      <c r="S296" s="36"/>
      <c r="T296" s="8"/>
      <c r="U296" s="8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</row>
    <row r="297" spans="1:38" ht="15.75" customHeight="1" x14ac:dyDescent="0.35">
      <c r="A297" s="14"/>
      <c r="B297" s="14"/>
      <c r="C297" s="9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1"/>
      <c r="S297" s="36"/>
      <c r="T297" s="8"/>
      <c r="U297" s="8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</row>
    <row r="298" spans="1:38" ht="15.75" customHeight="1" x14ac:dyDescent="0.35">
      <c r="A298" s="14"/>
      <c r="B298" s="14"/>
      <c r="C298" s="9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1"/>
      <c r="S298" s="36"/>
      <c r="T298" s="8"/>
      <c r="U298" s="8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</row>
    <row r="299" spans="1:38" ht="15.75" customHeight="1" x14ac:dyDescent="0.35">
      <c r="A299" s="14"/>
      <c r="B299" s="14"/>
      <c r="C299" s="9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1"/>
      <c r="S299" s="36"/>
      <c r="T299" s="8"/>
      <c r="U299" s="8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</row>
    <row r="300" spans="1:38" ht="15.75" customHeight="1" x14ac:dyDescent="0.35">
      <c r="A300" s="14"/>
      <c r="B300" s="14"/>
      <c r="C300" s="9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1"/>
      <c r="S300" s="36"/>
      <c r="T300" s="8"/>
      <c r="U300" s="8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</row>
    <row r="301" spans="1:38" ht="15.75" customHeight="1" x14ac:dyDescent="0.35">
      <c r="A301" s="14"/>
      <c r="B301" s="14"/>
      <c r="C301" s="9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1"/>
      <c r="S301" s="36"/>
      <c r="T301" s="8"/>
      <c r="U301" s="8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</row>
    <row r="302" spans="1:38" ht="15.75" customHeight="1" x14ac:dyDescent="0.35">
      <c r="A302" s="14"/>
      <c r="B302" s="14"/>
      <c r="C302" s="9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1"/>
      <c r="S302" s="36"/>
      <c r="T302" s="8"/>
      <c r="U302" s="8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</row>
    <row r="303" spans="1:38" ht="15.75" customHeight="1" x14ac:dyDescent="0.35">
      <c r="A303" s="14"/>
      <c r="B303" s="14"/>
      <c r="C303" s="9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1"/>
      <c r="S303" s="36"/>
      <c r="T303" s="8"/>
      <c r="U303" s="8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</row>
    <row r="304" spans="1:38" ht="15.75" customHeight="1" x14ac:dyDescent="0.35">
      <c r="A304" s="14"/>
      <c r="B304" s="14"/>
      <c r="C304" s="9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1"/>
      <c r="S304" s="36"/>
      <c r="T304" s="8"/>
      <c r="U304" s="8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</row>
    <row r="305" spans="1:38" ht="15.75" customHeight="1" x14ac:dyDescent="0.35">
      <c r="A305" s="14"/>
      <c r="B305" s="14"/>
      <c r="C305" s="9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1"/>
      <c r="S305" s="36"/>
      <c r="T305" s="8"/>
      <c r="U305" s="8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</row>
    <row r="306" spans="1:38" ht="15.75" customHeight="1" x14ac:dyDescent="0.35">
      <c r="A306" s="14"/>
      <c r="B306" s="14"/>
      <c r="C306" s="9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1"/>
      <c r="S306" s="36"/>
      <c r="T306" s="8"/>
      <c r="U306" s="8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</row>
    <row r="307" spans="1:38" ht="15.75" customHeight="1" x14ac:dyDescent="0.35">
      <c r="A307" s="14"/>
      <c r="B307" s="14"/>
      <c r="C307" s="9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1"/>
      <c r="S307" s="36"/>
      <c r="T307" s="8"/>
      <c r="U307" s="8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</row>
    <row r="308" spans="1:38" ht="15.75" customHeight="1" x14ac:dyDescent="0.35">
      <c r="A308" s="14"/>
      <c r="B308" s="14"/>
      <c r="C308" s="9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1"/>
      <c r="S308" s="36"/>
      <c r="T308" s="8"/>
      <c r="U308" s="8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</row>
    <row r="309" spans="1:38" ht="15.75" customHeight="1" x14ac:dyDescent="0.35">
      <c r="A309" s="14"/>
      <c r="B309" s="14"/>
      <c r="C309" s="9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1"/>
      <c r="S309" s="36"/>
      <c r="T309" s="8"/>
      <c r="U309" s="8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</row>
    <row r="310" spans="1:38" ht="15.75" customHeight="1" x14ac:dyDescent="0.35">
      <c r="A310" s="14"/>
      <c r="B310" s="14"/>
      <c r="C310" s="9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1"/>
      <c r="S310" s="36"/>
      <c r="T310" s="8"/>
      <c r="U310" s="8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</row>
    <row r="311" spans="1:38" ht="15.75" customHeight="1" x14ac:dyDescent="0.35">
      <c r="A311" s="14"/>
      <c r="B311" s="14"/>
      <c r="C311" s="9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1"/>
      <c r="S311" s="36"/>
      <c r="T311" s="8"/>
      <c r="U311" s="8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</row>
    <row r="312" spans="1:38" ht="15.75" customHeight="1" x14ac:dyDescent="0.35">
      <c r="A312" s="14"/>
      <c r="B312" s="14"/>
      <c r="C312" s="9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1"/>
      <c r="S312" s="36"/>
      <c r="T312" s="8"/>
      <c r="U312" s="8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</row>
    <row r="313" spans="1:38" ht="15.75" customHeight="1" x14ac:dyDescent="0.35">
      <c r="A313" s="14"/>
      <c r="B313" s="14"/>
      <c r="C313" s="9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1"/>
      <c r="S313" s="36"/>
      <c r="T313" s="8"/>
      <c r="U313" s="8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</row>
    <row r="314" spans="1:38" ht="15.75" customHeight="1" x14ac:dyDescent="0.35">
      <c r="A314" s="14"/>
      <c r="B314" s="14"/>
      <c r="C314" s="9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1"/>
      <c r="S314" s="36"/>
      <c r="T314" s="8"/>
      <c r="U314" s="8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</row>
    <row r="315" spans="1:38" ht="15.75" customHeight="1" x14ac:dyDescent="0.35">
      <c r="A315" s="14"/>
      <c r="B315" s="14"/>
      <c r="C315" s="9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1"/>
      <c r="S315" s="36"/>
      <c r="T315" s="8"/>
      <c r="U315" s="8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</row>
    <row r="316" spans="1:38" ht="15.75" customHeight="1" x14ac:dyDescent="0.35">
      <c r="A316" s="14"/>
      <c r="B316" s="14"/>
      <c r="C316" s="9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1"/>
      <c r="S316" s="36"/>
      <c r="T316" s="8"/>
      <c r="U316" s="8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</row>
    <row r="317" spans="1:38" ht="15.75" customHeight="1" x14ac:dyDescent="0.35">
      <c r="A317" s="14"/>
      <c r="B317" s="14"/>
      <c r="C317" s="9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1"/>
      <c r="S317" s="36"/>
      <c r="T317" s="8"/>
      <c r="U317" s="8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</row>
    <row r="318" spans="1:38" ht="15.75" customHeight="1" x14ac:dyDescent="0.35">
      <c r="A318" s="14"/>
      <c r="B318" s="14"/>
      <c r="C318" s="9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1"/>
      <c r="S318" s="36"/>
      <c r="T318" s="8"/>
      <c r="U318" s="8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</row>
    <row r="319" spans="1:38" ht="15.75" customHeight="1" x14ac:dyDescent="0.35">
      <c r="A319" s="14"/>
      <c r="B319" s="14"/>
      <c r="C319" s="9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1"/>
      <c r="S319" s="36"/>
      <c r="T319" s="8"/>
      <c r="U319" s="8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</row>
    <row r="320" spans="1:38" ht="15.75" customHeight="1" x14ac:dyDescent="0.35">
      <c r="A320" s="14"/>
      <c r="B320" s="14"/>
      <c r="C320" s="9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1"/>
      <c r="S320" s="36"/>
      <c r="T320" s="8"/>
      <c r="U320" s="8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</row>
    <row r="321" spans="1:38" ht="15.75" customHeight="1" x14ac:dyDescent="0.35">
      <c r="A321" s="14"/>
      <c r="B321" s="14"/>
      <c r="C321" s="9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1"/>
      <c r="S321" s="36"/>
      <c r="T321" s="8"/>
      <c r="U321" s="8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</row>
    <row r="322" spans="1:38" ht="15.75" customHeight="1" x14ac:dyDescent="0.35">
      <c r="A322" s="14"/>
      <c r="B322" s="14"/>
      <c r="C322" s="9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1"/>
      <c r="S322" s="36"/>
      <c r="T322" s="8"/>
      <c r="U322" s="8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</row>
    <row r="323" spans="1:38" ht="15.75" customHeight="1" x14ac:dyDescent="0.35">
      <c r="A323" s="14"/>
      <c r="B323" s="14"/>
      <c r="C323" s="9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1"/>
      <c r="S323" s="36"/>
      <c r="T323" s="8"/>
      <c r="U323" s="8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</row>
    <row r="324" spans="1:38" ht="15.75" customHeight="1" x14ac:dyDescent="0.35">
      <c r="A324" s="14"/>
      <c r="B324" s="14"/>
      <c r="C324" s="9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1"/>
      <c r="S324" s="36"/>
      <c r="T324" s="8"/>
      <c r="U324" s="8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</row>
    <row r="325" spans="1:38" ht="15.75" customHeight="1" x14ac:dyDescent="0.35">
      <c r="A325" s="14"/>
      <c r="B325" s="14"/>
      <c r="C325" s="9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1"/>
      <c r="S325" s="36"/>
      <c r="T325" s="8"/>
      <c r="U325" s="8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</row>
    <row r="326" spans="1:38" ht="15.75" customHeight="1" x14ac:dyDescent="0.35">
      <c r="A326" s="14"/>
      <c r="B326" s="14"/>
      <c r="C326" s="9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1"/>
      <c r="S326" s="36"/>
      <c r="T326" s="8"/>
      <c r="U326" s="8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</row>
    <row r="327" spans="1:38" ht="15.75" customHeight="1" x14ac:dyDescent="0.35">
      <c r="A327" s="14"/>
      <c r="B327" s="14"/>
      <c r="C327" s="9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1"/>
      <c r="S327" s="36"/>
      <c r="T327" s="8"/>
      <c r="U327" s="8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</row>
    <row r="328" spans="1:38" ht="15.75" customHeight="1" x14ac:dyDescent="0.35">
      <c r="A328" s="14"/>
      <c r="B328" s="14"/>
      <c r="C328" s="9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1"/>
      <c r="S328" s="36"/>
      <c r="T328" s="8"/>
      <c r="U328" s="8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</row>
    <row r="329" spans="1:38" ht="15.75" customHeight="1" x14ac:dyDescent="0.35">
      <c r="A329" s="14"/>
      <c r="B329" s="14"/>
      <c r="C329" s="9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1"/>
      <c r="S329" s="36"/>
      <c r="T329" s="8"/>
      <c r="U329" s="8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</row>
    <row r="330" spans="1:38" ht="15.75" customHeight="1" x14ac:dyDescent="0.35">
      <c r="A330" s="14"/>
      <c r="B330" s="14"/>
      <c r="C330" s="9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1"/>
      <c r="S330" s="36"/>
      <c r="T330" s="8"/>
      <c r="U330" s="8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</row>
    <row r="331" spans="1:38" ht="15.75" customHeight="1" x14ac:dyDescent="0.35">
      <c r="A331" s="14"/>
      <c r="B331" s="14"/>
      <c r="C331" s="9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1"/>
      <c r="S331" s="36"/>
      <c r="T331" s="8"/>
      <c r="U331" s="8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</row>
    <row r="332" spans="1:38" ht="15.75" customHeight="1" x14ac:dyDescent="0.35">
      <c r="A332" s="14"/>
      <c r="B332" s="14"/>
      <c r="C332" s="9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1"/>
      <c r="S332" s="36"/>
      <c r="T332" s="8"/>
      <c r="U332" s="8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</row>
    <row r="333" spans="1:38" ht="15.75" customHeight="1" x14ac:dyDescent="0.35">
      <c r="A333" s="14"/>
      <c r="B333" s="14"/>
      <c r="C333" s="9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1"/>
      <c r="S333" s="36"/>
      <c r="T333" s="8"/>
      <c r="U333" s="8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</row>
    <row r="334" spans="1:38" ht="15.75" customHeight="1" x14ac:dyDescent="0.35">
      <c r="A334" s="14"/>
      <c r="B334" s="14"/>
      <c r="C334" s="9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1"/>
      <c r="S334" s="36"/>
      <c r="T334" s="8"/>
      <c r="U334" s="8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</row>
    <row r="335" spans="1:38" ht="15.75" customHeight="1" x14ac:dyDescent="0.35">
      <c r="A335" s="14"/>
      <c r="B335" s="14"/>
      <c r="C335" s="9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1"/>
      <c r="S335" s="36"/>
      <c r="T335" s="8"/>
      <c r="U335" s="8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</row>
    <row r="336" spans="1:38" ht="15.75" customHeight="1" x14ac:dyDescent="0.35">
      <c r="A336" s="14"/>
      <c r="B336" s="14"/>
      <c r="C336" s="9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1"/>
      <c r="S336" s="36"/>
      <c r="T336" s="8"/>
      <c r="U336" s="8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</row>
    <row r="337" spans="1:38" ht="15.75" customHeight="1" x14ac:dyDescent="0.35">
      <c r="A337" s="14"/>
      <c r="B337" s="14"/>
      <c r="C337" s="9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1"/>
      <c r="S337" s="36"/>
      <c r="T337" s="8"/>
      <c r="U337" s="8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</row>
    <row r="338" spans="1:38" ht="15.75" customHeight="1" x14ac:dyDescent="0.35">
      <c r="A338" s="14"/>
      <c r="B338" s="14"/>
      <c r="C338" s="9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1"/>
      <c r="S338" s="36"/>
      <c r="T338" s="8"/>
      <c r="U338" s="8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</row>
    <row r="339" spans="1:38" ht="15.75" customHeight="1" x14ac:dyDescent="0.35">
      <c r="A339" s="14"/>
      <c r="B339" s="14"/>
      <c r="C339" s="9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1"/>
      <c r="S339" s="36"/>
      <c r="T339" s="8"/>
      <c r="U339" s="8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</row>
    <row r="340" spans="1:38" ht="15.75" customHeight="1" x14ac:dyDescent="0.35">
      <c r="A340" s="14"/>
      <c r="B340" s="14"/>
      <c r="C340" s="9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1"/>
      <c r="S340" s="36"/>
      <c r="T340" s="8"/>
      <c r="U340" s="8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</row>
    <row r="341" spans="1:38" ht="15.75" customHeight="1" x14ac:dyDescent="0.35">
      <c r="A341" s="14"/>
      <c r="B341" s="14"/>
      <c r="C341" s="9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1"/>
      <c r="S341" s="36"/>
      <c r="T341" s="8"/>
      <c r="U341" s="8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</row>
    <row r="342" spans="1:38" ht="15.75" customHeight="1" x14ac:dyDescent="0.35">
      <c r="A342" s="14"/>
      <c r="B342" s="14"/>
      <c r="C342" s="9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1"/>
      <c r="S342" s="36"/>
      <c r="T342" s="8"/>
      <c r="U342" s="8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</row>
    <row r="343" spans="1:38" ht="15.75" customHeight="1" x14ac:dyDescent="0.35">
      <c r="A343" s="14"/>
      <c r="B343" s="14"/>
      <c r="C343" s="9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1"/>
      <c r="S343" s="36"/>
      <c r="T343" s="8"/>
      <c r="U343" s="8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</row>
    <row r="344" spans="1:38" ht="15.75" customHeight="1" x14ac:dyDescent="0.35">
      <c r="A344" s="14"/>
      <c r="B344" s="14"/>
      <c r="C344" s="9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1"/>
      <c r="S344" s="36"/>
      <c r="T344" s="8"/>
      <c r="U344" s="8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</row>
    <row r="345" spans="1:38" ht="15.75" customHeight="1" x14ac:dyDescent="0.35">
      <c r="A345" s="14"/>
      <c r="B345" s="14"/>
      <c r="C345" s="9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1"/>
      <c r="S345" s="36"/>
      <c r="T345" s="8"/>
      <c r="U345" s="8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</row>
    <row r="346" spans="1:38" ht="15.75" customHeight="1" x14ac:dyDescent="0.35">
      <c r="A346" s="14"/>
      <c r="B346" s="14"/>
      <c r="C346" s="9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1"/>
      <c r="S346" s="36"/>
      <c r="T346" s="8"/>
      <c r="U346" s="8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</row>
    <row r="347" spans="1:38" ht="15.75" customHeight="1" x14ac:dyDescent="0.35">
      <c r="A347" s="14"/>
      <c r="B347" s="14"/>
      <c r="C347" s="9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1"/>
      <c r="S347" s="36"/>
      <c r="T347" s="8"/>
      <c r="U347" s="8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</row>
    <row r="348" spans="1:38" ht="15.75" customHeight="1" x14ac:dyDescent="0.35">
      <c r="A348" s="14"/>
      <c r="B348" s="14"/>
      <c r="C348" s="9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1"/>
      <c r="S348" s="36"/>
      <c r="T348" s="8"/>
      <c r="U348" s="8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</row>
    <row r="349" spans="1:38" ht="15.75" customHeight="1" x14ac:dyDescent="0.35">
      <c r="A349" s="14"/>
      <c r="B349" s="14"/>
      <c r="C349" s="9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1"/>
      <c r="S349" s="36"/>
      <c r="T349" s="8"/>
      <c r="U349" s="8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</row>
    <row r="350" spans="1:38" ht="15.75" customHeight="1" x14ac:dyDescent="0.35">
      <c r="A350" s="14"/>
      <c r="B350" s="14"/>
      <c r="C350" s="9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1"/>
      <c r="S350" s="36"/>
      <c r="T350" s="8"/>
      <c r="U350" s="8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</row>
    <row r="351" spans="1:38" ht="15.75" customHeight="1" x14ac:dyDescent="0.35">
      <c r="A351" s="14"/>
      <c r="B351" s="14"/>
      <c r="C351" s="9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1"/>
      <c r="S351" s="36"/>
      <c r="T351" s="8"/>
      <c r="U351" s="8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</row>
    <row r="352" spans="1:38" ht="15.75" customHeight="1" x14ac:dyDescent="0.35">
      <c r="A352" s="14"/>
      <c r="B352" s="14"/>
      <c r="C352" s="9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1"/>
      <c r="S352" s="36"/>
      <c r="T352" s="8"/>
      <c r="U352" s="8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</row>
    <row r="353" spans="1:38" ht="15.75" customHeight="1" x14ac:dyDescent="0.35">
      <c r="A353" s="14"/>
      <c r="B353" s="14"/>
      <c r="C353" s="9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1"/>
      <c r="S353" s="36"/>
      <c r="T353" s="8"/>
      <c r="U353" s="8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</row>
    <row r="354" spans="1:38" ht="15.75" customHeight="1" x14ac:dyDescent="0.35">
      <c r="A354" s="14"/>
      <c r="B354" s="14"/>
      <c r="C354" s="9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1"/>
      <c r="S354" s="36"/>
      <c r="T354" s="8"/>
      <c r="U354" s="8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</row>
    <row r="355" spans="1:38" ht="15.75" customHeight="1" x14ac:dyDescent="0.35">
      <c r="A355" s="14"/>
      <c r="B355" s="14"/>
      <c r="C355" s="9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1"/>
      <c r="S355" s="36"/>
      <c r="T355" s="8"/>
      <c r="U355" s="8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</row>
    <row r="356" spans="1:38" ht="15.75" customHeight="1" x14ac:dyDescent="0.35">
      <c r="A356" s="14"/>
      <c r="B356" s="14"/>
      <c r="C356" s="9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1"/>
      <c r="S356" s="36"/>
      <c r="T356" s="8"/>
      <c r="U356" s="8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</row>
    <row r="357" spans="1:38" ht="15.75" customHeight="1" x14ac:dyDescent="0.35">
      <c r="A357" s="14"/>
      <c r="B357" s="14"/>
      <c r="C357" s="9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1"/>
      <c r="S357" s="36"/>
      <c r="T357" s="8"/>
      <c r="U357" s="8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</row>
    <row r="358" spans="1:38" ht="15.75" customHeight="1" x14ac:dyDescent="0.35">
      <c r="A358" s="14"/>
      <c r="B358" s="14"/>
      <c r="C358" s="9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1"/>
      <c r="S358" s="36"/>
      <c r="T358" s="8"/>
      <c r="U358" s="8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</row>
    <row r="359" spans="1:38" ht="15.75" customHeight="1" x14ac:dyDescent="0.35">
      <c r="A359" s="14"/>
      <c r="B359" s="14"/>
      <c r="C359" s="9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1"/>
      <c r="S359" s="36"/>
      <c r="T359" s="8"/>
      <c r="U359" s="8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</row>
    <row r="360" spans="1:38" ht="15.75" customHeight="1" x14ac:dyDescent="0.35">
      <c r="A360" s="14"/>
      <c r="B360" s="14"/>
      <c r="C360" s="9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1"/>
      <c r="S360" s="36"/>
      <c r="T360" s="8"/>
      <c r="U360" s="8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</row>
    <row r="361" spans="1:38" ht="15.75" customHeight="1" x14ac:dyDescent="0.35">
      <c r="A361" s="14"/>
      <c r="B361" s="14"/>
      <c r="C361" s="9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1"/>
      <c r="S361" s="36"/>
      <c r="T361" s="8"/>
      <c r="U361" s="8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</row>
    <row r="362" spans="1:38" ht="15.75" customHeight="1" x14ac:dyDescent="0.35">
      <c r="A362" s="14"/>
      <c r="B362" s="14"/>
      <c r="C362" s="9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1"/>
      <c r="S362" s="36"/>
      <c r="T362" s="8"/>
      <c r="U362" s="8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</row>
    <row r="363" spans="1:38" ht="15.75" customHeight="1" x14ac:dyDescent="0.35">
      <c r="A363" s="14"/>
      <c r="B363" s="14"/>
      <c r="C363" s="9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1"/>
      <c r="S363" s="36"/>
      <c r="T363" s="8"/>
      <c r="U363" s="8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</row>
    <row r="364" spans="1:38" ht="15.75" customHeight="1" x14ac:dyDescent="0.35">
      <c r="A364" s="14"/>
      <c r="B364" s="14"/>
      <c r="C364" s="9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1"/>
      <c r="S364" s="36"/>
      <c r="T364" s="8"/>
      <c r="U364" s="8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</row>
    <row r="365" spans="1:38" ht="15.75" customHeight="1" x14ac:dyDescent="0.35">
      <c r="A365" s="14"/>
      <c r="B365" s="14"/>
      <c r="C365" s="9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1"/>
      <c r="S365" s="36"/>
      <c r="T365" s="8"/>
      <c r="U365" s="8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</row>
    <row r="366" spans="1:38" ht="15.75" customHeight="1" x14ac:dyDescent="0.35">
      <c r="A366" s="14"/>
      <c r="B366" s="14"/>
      <c r="C366" s="9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1"/>
      <c r="S366" s="36"/>
      <c r="T366" s="8"/>
      <c r="U366" s="8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</row>
    <row r="367" spans="1:38" ht="15.75" customHeight="1" x14ac:dyDescent="0.35">
      <c r="A367" s="14"/>
      <c r="B367" s="14"/>
      <c r="C367" s="9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1"/>
      <c r="S367" s="36"/>
      <c r="T367" s="8"/>
      <c r="U367" s="8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</row>
    <row r="368" spans="1:38" ht="15.75" customHeight="1" x14ac:dyDescent="0.35">
      <c r="A368" s="14"/>
      <c r="B368" s="14"/>
      <c r="C368" s="9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1"/>
      <c r="S368" s="36"/>
      <c r="T368" s="8"/>
      <c r="U368" s="8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</row>
    <row r="369" spans="1:38" ht="15.75" customHeight="1" x14ac:dyDescent="0.35">
      <c r="A369" s="14"/>
      <c r="B369" s="14"/>
      <c r="C369" s="9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1"/>
      <c r="S369" s="36"/>
      <c r="T369" s="8"/>
      <c r="U369" s="8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</row>
    <row r="370" spans="1:38" ht="15.75" customHeight="1" x14ac:dyDescent="0.35">
      <c r="A370" s="14"/>
      <c r="B370" s="14"/>
      <c r="C370" s="9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1"/>
      <c r="S370" s="36"/>
      <c r="T370" s="8"/>
      <c r="U370" s="8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</row>
    <row r="371" spans="1:38" ht="15.75" customHeight="1" x14ac:dyDescent="0.35">
      <c r="A371" s="14"/>
      <c r="B371" s="14"/>
      <c r="C371" s="9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1"/>
      <c r="S371" s="36"/>
      <c r="T371" s="8"/>
      <c r="U371" s="8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</row>
    <row r="372" spans="1:38" ht="15.75" customHeight="1" x14ac:dyDescent="0.35">
      <c r="A372" s="14"/>
      <c r="B372" s="14"/>
      <c r="C372" s="9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1"/>
      <c r="S372" s="36"/>
      <c r="T372" s="8"/>
      <c r="U372" s="8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</row>
    <row r="373" spans="1:38" ht="15.75" customHeight="1" x14ac:dyDescent="0.35">
      <c r="A373" s="14"/>
      <c r="B373" s="14"/>
      <c r="C373" s="9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1"/>
      <c r="S373" s="36"/>
      <c r="T373" s="8"/>
      <c r="U373" s="8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</row>
    <row r="374" spans="1:38" ht="15.75" customHeight="1" x14ac:dyDescent="0.35">
      <c r="A374" s="14"/>
      <c r="B374" s="14"/>
      <c r="C374" s="9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1"/>
      <c r="S374" s="36"/>
      <c r="T374" s="8"/>
      <c r="U374" s="8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</row>
    <row r="375" spans="1:38" ht="15.75" customHeight="1" x14ac:dyDescent="0.35">
      <c r="A375" s="14"/>
      <c r="B375" s="14"/>
      <c r="C375" s="9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1"/>
      <c r="S375" s="36"/>
      <c r="T375" s="8"/>
      <c r="U375" s="8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</row>
    <row r="376" spans="1:38" ht="15.75" customHeight="1" x14ac:dyDescent="0.35">
      <c r="A376" s="14"/>
      <c r="B376" s="14"/>
      <c r="C376" s="9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1"/>
      <c r="S376" s="36"/>
      <c r="T376" s="8"/>
      <c r="U376" s="8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</row>
    <row r="377" spans="1:38" ht="15.75" customHeight="1" x14ac:dyDescent="0.35">
      <c r="A377" s="14"/>
      <c r="B377" s="14"/>
      <c r="C377" s="9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1"/>
      <c r="S377" s="36"/>
      <c r="T377" s="8"/>
      <c r="U377" s="8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</row>
    <row r="378" spans="1:38" ht="15.75" customHeight="1" x14ac:dyDescent="0.35">
      <c r="A378" s="14"/>
      <c r="B378" s="14"/>
      <c r="C378" s="9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1"/>
      <c r="S378" s="36"/>
      <c r="T378" s="8"/>
      <c r="U378" s="8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</row>
    <row r="379" spans="1:38" ht="15.75" customHeight="1" x14ac:dyDescent="0.35">
      <c r="A379" s="14"/>
      <c r="B379" s="14"/>
      <c r="C379" s="9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1"/>
      <c r="S379" s="36"/>
      <c r="T379" s="8"/>
      <c r="U379" s="8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</row>
    <row r="380" spans="1:38" ht="15.75" customHeight="1" x14ac:dyDescent="0.35">
      <c r="A380" s="14"/>
      <c r="B380" s="14"/>
      <c r="C380" s="9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1"/>
      <c r="S380" s="36"/>
      <c r="T380" s="8"/>
      <c r="U380" s="8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</row>
    <row r="381" spans="1:38" ht="15.75" customHeight="1" x14ac:dyDescent="0.35">
      <c r="A381" s="14"/>
      <c r="B381" s="14"/>
      <c r="C381" s="9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1"/>
      <c r="S381" s="36"/>
      <c r="T381" s="8"/>
      <c r="U381" s="8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</row>
    <row r="382" spans="1:38" ht="15.75" customHeight="1" x14ac:dyDescent="0.35">
      <c r="A382" s="14"/>
      <c r="B382" s="14"/>
      <c r="C382" s="9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1"/>
      <c r="S382" s="36"/>
      <c r="T382" s="8"/>
      <c r="U382" s="8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</row>
    <row r="383" spans="1:38" ht="15.75" customHeight="1" x14ac:dyDescent="0.35">
      <c r="A383" s="14"/>
      <c r="B383" s="14"/>
      <c r="C383" s="9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1"/>
      <c r="S383" s="36"/>
      <c r="T383" s="8"/>
      <c r="U383" s="8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</row>
    <row r="384" spans="1:38" ht="15.75" customHeight="1" x14ac:dyDescent="0.35">
      <c r="A384" s="14"/>
      <c r="B384" s="14"/>
      <c r="C384" s="9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1"/>
      <c r="S384" s="36"/>
      <c r="T384" s="8"/>
      <c r="U384" s="8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</row>
    <row r="385" spans="1:38" ht="15.75" customHeight="1" x14ac:dyDescent="0.35">
      <c r="A385" s="14"/>
      <c r="B385" s="14"/>
      <c r="C385" s="9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1"/>
      <c r="S385" s="36"/>
      <c r="T385" s="8"/>
      <c r="U385" s="8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</row>
    <row r="386" spans="1:38" ht="15.75" customHeight="1" x14ac:dyDescent="0.35">
      <c r="A386" s="14"/>
      <c r="B386" s="14"/>
      <c r="C386" s="9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1"/>
      <c r="S386" s="36"/>
      <c r="T386" s="8"/>
      <c r="U386" s="8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</row>
    <row r="387" spans="1:38" ht="15.75" customHeight="1" x14ac:dyDescent="0.35">
      <c r="A387" s="14"/>
      <c r="B387" s="14"/>
      <c r="C387" s="9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1"/>
      <c r="S387" s="36"/>
      <c r="T387" s="8"/>
      <c r="U387" s="8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</row>
    <row r="388" spans="1:38" ht="15.75" customHeight="1" x14ac:dyDescent="0.35">
      <c r="A388" s="14"/>
      <c r="B388" s="14"/>
      <c r="C388" s="9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1"/>
      <c r="S388" s="36"/>
      <c r="T388" s="8"/>
      <c r="U388" s="8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</row>
    <row r="389" spans="1:38" ht="15.75" customHeight="1" x14ac:dyDescent="0.35">
      <c r="A389" s="14"/>
      <c r="B389" s="14"/>
      <c r="C389" s="9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1"/>
      <c r="S389" s="36"/>
      <c r="T389" s="8"/>
      <c r="U389" s="8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</row>
    <row r="390" spans="1:38" ht="15.75" customHeight="1" x14ac:dyDescent="0.35">
      <c r="A390" s="14"/>
      <c r="B390" s="14"/>
      <c r="C390" s="9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1"/>
      <c r="S390" s="36"/>
      <c r="T390" s="8"/>
      <c r="U390" s="8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</row>
    <row r="391" spans="1:38" ht="15.75" customHeight="1" x14ac:dyDescent="0.35">
      <c r="A391" s="14"/>
      <c r="B391" s="14"/>
      <c r="C391" s="9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1"/>
      <c r="S391" s="36"/>
      <c r="T391" s="8"/>
      <c r="U391" s="8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</row>
    <row r="392" spans="1:38" ht="15.75" customHeight="1" x14ac:dyDescent="0.35">
      <c r="A392" s="14"/>
      <c r="B392" s="14"/>
      <c r="C392" s="9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1"/>
      <c r="S392" s="36"/>
      <c r="T392" s="8"/>
      <c r="U392" s="8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</row>
    <row r="393" spans="1:38" ht="15.75" customHeight="1" x14ac:dyDescent="0.35">
      <c r="A393" s="14"/>
      <c r="B393" s="14"/>
      <c r="C393" s="9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1"/>
      <c r="S393" s="36"/>
      <c r="T393" s="8"/>
      <c r="U393" s="8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</row>
    <row r="394" spans="1:38" ht="15.75" customHeight="1" x14ac:dyDescent="0.35">
      <c r="A394" s="14"/>
      <c r="B394" s="14"/>
      <c r="C394" s="9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1"/>
      <c r="S394" s="36"/>
      <c r="T394" s="8"/>
      <c r="U394" s="8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</row>
    <row r="395" spans="1:38" ht="15.75" customHeight="1" x14ac:dyDescent="0.35">
      <c r="A395" s="14"/>
      <c r="B395" s="14"/>
      <c r="C395" s="9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1"/>
      <c r="S395" s="36"/>
      <c r="T395" s="8"/>
      <c r="U395" s="8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</row>
    <row r="396" spans="1:38" ht="15.75" customHeight="1" x14ac:dyDescent="0.35">
      <c r="A396" s="14"/>
      <c r="B396" s="14"/>
      <c r="C396" s="9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1"/>
      <c r="S396" s="36"/>
      <c r="T396" s="8"/>
      <c r="U396" s="8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</row>
    <row r="397" spans="1:38" ht="15.75" customHeight="1" x14ac:dyDescent="0.35">
      <c r="A397" s="14"/>
      <c r="B397" s="14"/>
      <c r="C397" s="9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1"/>
      <c r="S397" s="36"/>
      <c r="T397" s="8"/>
      <c r="U397" s="8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</row>
    <row r="398" spans="1:38" ht="15.75" customHeight="1" x14ac:dyDescent="0.35">
      <c r="A398" s="14"/>
      <c r="B398" s="14"/>
      <c r="C398" s="9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1"/>
      <c r="S398" s="36"/>
      <c r="T398" s="8"/>
      <c r="U398" s="8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</row>
    <row r="399" spans="1:38" ht="15.75" customHeight="1" x14ac:dyDescent="0.35">
      <c r="A399" s="14"/>
      <c r="B399" s="14"/>
      <c r="C399" s="9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1"/>
      <c r="S399" s="36"/>
      <c r="T399" s="8"/>
      <c r="U399" s="8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</row>
    <row r="400" spans="1:38" ht="15.75" customHeight="1" x14ac:dyDescent="0.35">
      <c r="A400" s="14"/>
      <c r="B400" s="14"/>
      <c r="C400" s="9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1"/>
      <c r="S400" s="36"/>
      <c r="T400" s="8"/>
      <c r="U400" s="8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</row>
    <row r="401" spans="1:38" ht="15.75" customHeight="1" x14ac:dyDescent="0.35">
      <c r="A401" s="14"/>
      <c r="B401" s="14"/>
      <c r="C401" s="9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1"/>
      <c r="S401" s="36"/>
      <c r="T401" s="8"/>
      <c r="U401" s="8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</row>
    <row r="402" spans="1:38" ht="15.75" customHeight="1" x14ac:dyDescent="0.35">
      <c r="A402" s="14"/>
      <c r="B402" s="14"/>
      <c r="C402" s="9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1"/>
      <c r="S402" s="36"/>
      <c r="T402" s="8"/>
      <c r="U402" s="8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</row>
    <row r="403" spans="1:38" ht="15.75" customHeight="1" x14ac:dyDescent="0.35">
      <c r="A403" s="14"/>
      <c r="B403" s="14"/>
      <c r="C403" s="9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1"/>
      <c r="S403" s="36"/>
      <c r="T403" s="8"/>
      <c r="U403" s="8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</row>
    <row r="404" spans="1:38" ht="15.75" customHeight="1" x14ac:dyDescent="0.35">
      <c r="A404" s="14"/>
      <c r="B404" s="14"/>
      <c r="C404" s="9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1"/>
      <c r="S404" s="36"/>
      <c r="T404" s="8"/>
      <c r="U404" s="8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</row>
    <row r="405" spans="1:38" ht="15.75" customHeight="1" x14ac:dyDescent="0.35">
      <c r="A405" s="14"/>
      <c r="B405" s="14"/>
      <c r="C405" s="9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1"/>
      <c r="S405" s="36"/>
      <c r="T405" s="8"/>
      <c r="U405" s="8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</row>
    <row r="406" spans="1:38" ht="15.75" customHeight="1" x14ac:dyDescent="0.35">
      <c r="A406" s="14"/>
      <c r="B406" s="14"/>
      <c r="C406" s="9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1"/>
      <c r="S406" s="36"/>
      <c r="T406" s="8"/>
      <c r="U406" s="8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</row>
    <row r="407" spans="1:38" ht="15.75" customHeight="1" x14ac:dyDescent="0.35">
      <c r="A407" s="14"/>
      <c r="B407" s="14"/>
      <c r="C407" s="9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1"/>
      <c r="S407" s="36"/>
      <c r="T407" s="8"/>
      <c r="U407" s="8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</row>
    <row r="408" spans="1:38" ht="15.75" customHeight="1" x14ac:dyDescent="0.35">
      <c r="A408" s="14"/>
      <c r="B408" s="14"/>
      <c r="C408" s="9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1"/>
      <c r="S408" s="36"/>
      <c r="T408" s="8"/>
      <c r="U408" s="8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</row>
    <row r="409" spans="1:38" ht="15.75" customHeight="1" x14ac:dyDescent="0.35">
      <c r="A409" s="14"/>
      <c r="B409" s="14"/>
      <c r="C409" s="9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1"/>
      <c r="S409" s="36"/>
      <c r="T409" s="8"/>
      <c r="U409" s="8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</row>
    <row r="410" spans="1:38" ht="15.75" customHeight="1" x14ac:dyDescent="0.35">
      <c r="A410" s="14"/>
      <c r="B410" s="14"/>
      <c r="C410" s="9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1"/>
      <c r="S410" s="36"/>
      <c r="T410" s="8"/>
      <c r="U410" s="8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</row>
    <row r="411" spans="1:38" ht="15.75" customHeight="1" x14ac:dyDescent="0.35">
      <c r="A411" s="14"/>
      <c r="B411" s="14"/>
      <c r="C411" s="9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1"/>
      <c r="S411" s="36"/>
      <c r="T411" s="8"/>
      <c r="U411" s="8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</row>
    <row r="412" spans="1:38" ht="15.75" customHeight="1" x14ac:dyDescent="0.35">
      <c r="A412" s="14"/>
      <c r="B412" s="14"/>
      <c r="C412" s="9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1"/>
      <c r="S412" s="36"/>
      <c r="T412" s="8"/>
      <c r="U412" s="8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</row>
    <row r="413" spans="1:38" ht="15.75" customHeight="1" x14ac:dyDescent="0.35">
      <c r="A413" s="14"/>
      <c r="B413" s="14"/>
      <c r="C413" s="9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1"/>
      <c r="S413" s="36"/>
      <c r="T413" s="8"/>
      <c r="U413" s="8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</row>
    <row r="414" spans="1:38" ht="15.75" customHeight="1" x14ac:dyDescent="0.35">
      <c r="A414" s="14"/>
      <c r="B414" s="14"/>
      <c r="C414" s="9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1"/>
      <c r="S414" s="36"/>
      <c r="T414" s="8"/>
      <c r="U414" s="8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</row>
    <row r="415" spans="1:38" ht="15.75" customHeight="1" x14ac:dyDescent="0.35">
      <c r="A415" s="14"/>
      <c r="B415" s="14"/>
      <c r="C415" s="9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1"/>
      <c r="S415" s="36"/>
      <c r="T415" s="8"/>
      <c r="U415" s="8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</row>
    <row r="416" spans="1:38" ht="15.75" customHeight="1" x14ac:dyDescent="0.35">
      <c r="A416" s="14"/>
      <c r="B416" s="14"/>
      <c r="C416" s="9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1"/>
      <c r="S416" s="36"/>
      <c r="T416" s="8"/>
      <c r="U416" s="8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</row>
    <row r="417" spans="1:38" ht="15.75" customHeight="1" x14ac:dyDescent="0.35">
      <c r="A417" s="14"/>
      <c r="B417" s="14"/>
      <c r="C417" s="9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1"/>
      <c r="S417" s="36"/>
      <c r="T417" s="8"/>
      <c r="U417" s="8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</row>
    <row r="418" spans="1:38" ht="15.75" customHeight="1" x14ac:dyDescent="0.35">
      <c r="A418" s="14"/>
      <c r="B418" s="14"/>
      <c r="C418" s="9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1"/>
      <c r="S418" s="36"/>
      <c r="T418" s="8"/>
      <c r="U418" s="8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</row>
    <row r="419" spans="1:38" ht="15.75" customHeight="1" x14ac:dyDescent="0.35">
      <c r="A419" s="14"/>
      <c r="B419" s="14"/>
      <c r="C419" s="9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1"/>
      <c r="S419" s="36"/>
      <c r="T419" s="8"/>
      <c r="U419" s="8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</row>
    <row r="420" spans="1:38" ht="15.75" customHeight="1" x14ac:dyDescent="0.35">
      <c r="A420" s="14"/>
      <c r="B420" s="14"/>
      <c r="C420" s="9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1"/>
      <c r="S420" s="36"/>
      <c r="T420" s="8"/>
      <c r="U420" s="8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</row>
    <row r="421" spans="1:38" ht="15.75" customHeight="1" x14ac:dyDescent="0.35">
      <c r="A421" s="14"/>
      <c r="B421" s="14"/>
      <c r="C421" s="9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1"/>
      <c r="S421" s="36"/>
      <c r="T421" s="8"/>
      <c r="U421" s="8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</row>
    <row r="422" spans="1:38" ht="15.75" customHeight="1" x14ac:dyDescent="0.35">
      <c r="A422" s="14"/>
      <c r="B422" s="14"/>
      <c r="C422" s="9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1"/>
      <c r="S422" s="36"/>
      <c r="T422" s="8"/>
      <c r="U422" s="8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</row>
    <row r="423" spans="1:38" ht="15.75" customHeight="1" x14ac:dyDescent="0.35">
      <c r="A423" s="14"/>
      <c r="B423" s="14"/>
      <c r="C423" s="9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1"/>
      <c r="S423" s="36"/>
      <c r="T423" s="8"/>
      <c r="U423" s="8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</row>
    <row r="424" spans="1:38" ht="15.75" customHeight="1" x14ac:dyDescent="0.35">
      <c r="A424" s="14"/>
      <c r="B424" s="14"/>
      <c r="C424" s="9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1"/>
      <c r="S424" s="36"/>
      <c r="T424" s="8"/>
      <c r="U424" s="8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</row>
    <row r="425" spans="1:38" ht="15.75" customHeight="1" x14ac:dyDescent="0.35">
      <c r="A425" s="14"/>
      <c r="B425" s="14"/>
      <c r="C425" s="9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1"/>
      <c r="S425" s="36"/>
      <c r="T425" s="8"/>
      <c r="U425" s="8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</row>
    <row r="426" spans="1:38" ht="15.75" customHeight="1" x14ac:dyDescent="0.35">
      <c r="A426" s="14"/>
      <c r="B426" s="14"/>
      <c r="C426" s="9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1"/>
      <c r="S426" s="36"/>
      <c r="T426" s="8"/>
      <c r="U426" s="8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</row>
    <row r="427" spans="1:38" ht="15.75" customHeight="1" x14ac:dyDescent="0.35">
      <c r="A427" s="14"/>
      <c r="B427" s="14"/>
      <c r="C427" s="9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1"/>
      <c r="S427" s="36"/>
      <c r="T427" s="8"/>
      <c r="U427" s="8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</row>
    <row r="428" spans="1:38" ht="15.75" customHeight="1" x14ac:dyDescent="0.35">
      <c r="A428" s="14"/>
      <c r="B428" s="14"/>
      <c r="C428" s="9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1"/>
      <c r="S428" s="36"/>
      <c r="T428" s="8"/>
      <c r="U428" s="8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</row>
    <row r="429" spans="1:38" ht="15.75" customHeight="1" x14ac:dyDescent="0.35">
      <c r="A429" s="14"/>
      <c r="B429" s="14"/>
      <c r="C429" s="9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1"/>
      <c r="S429" s="36"/>
      <c r="T429" s="8"/>
      <c r="U429" s="8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</row>
    <row r="430" spans="1:38" ht="15.75" customHeight="1" x14ac:dyDescent="0.35">
      <c r="A430" s="14"/>
      <c r="B430" s="14"/>
      <c r="C430" s="9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1"/>
      <c r="S430" s="36"/>
      <c r="T430" s="8"/>
      <c r="U430" s="8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</row>
    <row r="431" spans="1:38" ht="15.75" customHeight="1" x14ac:dyDescent="0.35">
      <c r="A431" s="14"/>
      <c r="B431" s="14"/>
      <c r="C431" s="9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1"/>
      <c r="S431" s="36"/>
      <c r="T431" s="8"/>
      <c r="U431" s="8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</row>
    <row r="432" spans="1:38" ht="15.75" customHeight="1" x14ac:dyDescent="0.35">
      <c r="A432" s="14"/>
      <c r="B432" s="14"/>
      <c r="C432" s="9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1"/>
      <c r="S432" s="36"/>
      <c r="T432" s="8"/>
      <c r="U432" s="8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</row>
    <row r="433" spans="1:38" ht="15.75" customHeight="1" x14ac:dyDescent="0.35">
      <c r="A433" s="14"/>
      <c r="B433" s="14"/>
      <c r="C433" s="9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1"/>
      <c r="S433" s="36"/>
      <c r="T433" s="8"/>
      <c r="U433" s="8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</row>
    <row r="434" spans="1:38" ht="15.75" customHeight="1" x14ac:dyDescent="0.35">
      <c r="A434" s="14"/>
      <c r="B434" s="14"/>
      <c r="C434" s="9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1"/>
      <c r="S434" s="36"/>
      <c r="T434" s="8"/>
      <c r="U434" s="8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</row>
    <row r="435" spans="1:38" ht="15.75" customHeight="1" x14ac:dyDescent="0.35">
      <c r="A435" s="14"/>
      <c r="B435" s="14"/>
      <c r="C435" s="9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1"/>
      <c r="S435" s="36"/>
      <c r="T435" s="8"/>
      <c r="U435" s="8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</row>
    <row r="436" spans="1:38" ht="15.75" customHeight="1" x14ac:dyDescent="0.35">
      <c r="A436" s="14"/>
      <c r="B436" s="14"/>
      <c r="C436" s="9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1"/>
      <c r="S436" s="36"/>
      <c r="T436" s="8"/>
      <c r="U436" s="8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</row>
    <row r="437" spans="1:38" ht="15.75" customHeight="1" x14ac:dyDescent="0.35">
      <c r="A437" s="14"/>
      <c r="B437" s="14"/>
      <c r="C437" s="9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1"/>
      <c r="S437" s="36"/>
      <c r="T437" s="8"/>
      <c r="U437" s="8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</row>
    <row r="438" spans="1:38" ht="15.75" customHeight="1" x14ac:dyDescent="0.35">
      <c r="A438" s="14"/>
      <c r="B438" s="14"/>
      <c r="C438" s="9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1"/>
      <c r="S438" s="36"/>
      <c r="T438" s="8"/>
      <c r="U438" s="8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</row>
    <row r="439" spans="1:38" ht="15.75" customHeight="1" x14ac:dyDescent="0.35">
      <c r="A439" s="14"/>
      <c r="B439" s="14"/>
      <c r="C439" s="9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1"/>
      <c r="S439" s="36"/>
      <c r="T439" s="8"/>
      <c r="U439" s="8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</row>
    <row r="440" spans="1:38" ht="15.75" customHeight="1" x14ac:dyDescent="0.35">
      <c r="A440" s="14"/>
      <c r="B440" s="14"/>
      <c r="C440" s="9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1"/>
      <c r="S440" s="36"/>
      <c r="T440" s="8"/>
      <c r="U440" s="8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</row>
    <row r="441" spans="1:38" ht="15.75" customHeight="1" x14ac:dyDescent="0.35">
      <c r="A441" s="14"/>
      <c r="B441" s="14"/>
      <c r="C441" s="9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1"/>
      <c r="S441" s="36"/>
      <c r="T441" s="8"/>
      <c r="U441" s="8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</row>
    <row r="442" spans="1:38" ht="15.75" customHeight="1" x14ac:dyDescent="0.35">
      <c r="A442" s="14"/>
      <c r="B442" s="14"/>
      <c r="C442" s="9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1"/>
      <c r="S442" s="36"/>
      <c r="T442" s="8"/>
      <c r="U442" s="8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</row>
    <row r="443" spans="1:38" ht="15.75" customHeight="1" x14ac:dyDescent="0.35">
      <c r="A443" s="14"/>
      <c r="B443" s="14"/>
      <c r="C443" s="9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1"/>
      <c r="S443" s="36"/>
      <c r="T443" s="8"/>
      <c r="U443" s="8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</row>
    <row r="444" spans="1:38" ht="15.75" customHeight="1" x14ac:dyDescent="0.35">
      <c r="A444" s="14"/>
      <c r="B444" s="14"/>
      <c r="C444" s="9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1"/>
      <c r="S444" s="36"/>
      <c r="T444" s="8"/>
      <c r="U444" s="8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</row>
    <row r="445" spans="1:38" ht="15.75" customHeight="1" x14ac:dyDescent="0.35">
      <c r="A445" s="14"/>
      <c r="B445" s="14"/>
      <c r="C445" s="9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1"/>
      <c r="S445" s="36"/>
      <c r="T445" s="8"/>
      <c r="U445" s="8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</row>
    <row r="446" spans="1:38" ht="15.75" customHeight="1" x14ac:dyDescent="0.35">
      <c r="A446" s="14"/>
      <c r="B446" s="14"/>
      <c r="C446" s="9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1"/>
      <c r="S446" s="36"/>
      <c r="T446" s="8"/>
      <c r="U446" s="8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</row>
    <row r="447" spans="1:38" ht="15.75" customHeight="1" x14ac:dyDescent="0.35">
      <c r="A447" s="14"/>
      <c r="B447" s="14"/>
      <c r="C447" s="9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1"/>
      <c r="S447" s="36"/>
      <c r="T447" s="8"/>
      <c r="U447" s="8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</row>
    <row r="448" spans="1:38" ht="15.75" customHeight="1" x14ac:dyDescent="0.35">
      <c r="A448" s="14"/>
      <c r="B448" s="14"/>
      <c r="C448" s="9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1"/>
      <c r="S448" s="36"/>
      <c r="T448" s="8"/>
      <c r="U448" s="8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</row>
    <row r="449" spans="1:38" ht="15.75" customHeight="1" x14ac:dyDescent="0.35">
      <c r="A449" s="14"/>
      <c r="B449" s="14"/>
      <c r="C449" s="9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1"/>
      <c r="S449" s="36"/>
      <c r="T449" s="8"/>
      <c r="U449" s="8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</row>
    <row r="450" spans="1:38" ht="15.75" customHeight="1" x14ac:dyDescent="0.35">
      <c r="A450" s="14"/>
      <c r="B450" s="14"/>
      <c r="C450" s="9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1"/>
      <c r="S450" s="36"/>
      <c r="T450" s="8"/>
      <c r="U450" s="8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</row>
    <row r="451" spans="1:38" ht="15.75" customHeight="1" x14ac:dyDescent="0.35">
      <c r="A451" s="14"/>
      <c r="B451" s="14"/>
      <c r="C451" s="9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1"/>
      <c r="S451" s="36"/>
      <c r="T451" s="8"/>
      <c r="U451" s="8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</row>
    <row r="452" spans="1:38" ht="15.75" customHeight="1" x14ac:dyDescent="0.35">
      <c r="A452" s="14"/>
      <c r="B452" s="14"/>
      <c r="C452" s="9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1"/>
      <c r="S452" s="36"/>
      <c r="T452" s="8"/>
      <c r="U452" s="8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</row>
    <row r="453" spans="1:38" ht="15.75" customHeight="1" x14ac:dyDescent="0.35">
      <c r="A453" s="14"/>
      <c r="B453" s="14"/>
      <c r="C453" s="9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1"/>
      <c r="S453" s="36"/>
      <c r="T453" s="8"/>
      <c r="U453" s="8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</row>
    <row r="454" spans="1:38" ht="15.75" customHeight="1" x14ac:dyDescent="0.35">
      <c r="A454" s="14"/>
      <c r="B454" s="14"/>
      <c r="C454" s="9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1"/>
      <c r="S454" s="36"/>
      <c r="T454" s="8"/>
      <c r="U454" s="8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</row>
    <row r="455" spans="1:38" ht="15.75" customHeight="1" x14ac:dyDescent="0.35">
      <c r="A455" s="14"/>
      <c r="B455" s="14"/>
      <c r="C455" s="9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1"/>
      <c r="S455" s="36"/>
      <c r="T455" s="8"/>
      <c r="U455" s="8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</row>
    <row r="456" spans="1:38" ht="15.75" customHeight="1" x14ac:dyDescent="0.35">
      <c r="A456" s="14"/>
      <c r="B456" s="14"/>
      <c r="C456" s="9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1"/>
      <c r="S456" s="36"/>
      <c r="T456" s="8"/>
      <c r="U456" s="8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</row>
    <row r="457" spans="1:38" ht="15.75" customHeight="1" x14ac:dyDescent="0.35">
      <c r="A457" s="14"/>
      <c r="B457" s="14"/>
      <c r="C457" s="9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1"/>
      <c r="S457" s="36"/>
      <c r="T457" s="8"/>
      <c r="U457" s="8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</row>
    <row r="458" spans="1:38" ht="15.75" customHeight="1" x14ac:dyDescent="0.35">
      <c r="A458" s="14"/>
      <c r="B458" s="14"/>
      <c r="C458" s="9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1"/>
      <c r="S458" s="36"/>
      <c r="T458" s="8"/>
      <c r="U458" s="8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</row>
    <row r="459" spans="1:38" ht="15.75" customHeight="1" x14ac:dyDescent="0.35">
      <c r="A459" s="14"/>
      <c r="B459" s="14"/>
      <c r="C459" s="9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1"/>
      <c r="S459" s="36"/>
      <c r="T459" s="8"/>
      <c r="U459" s="8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</row>
    <row r="460" spans="1:38" ht="15.75" customHeight="1" x14ac:dyDescent="0.35">
      <c r="A460" s="14"/>
      <c r="B460" s="14"/>
      <c r="C460" s="9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1"/>
      <c r="S460" s="36"/>
      <c r="T460" s="8"/>
      <c r="U460" s="8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</row>
    <row r="461" spans="1:38" ht="15.75" customHeight="1" x14ac:dyDescent="0.35">
      <c r="A461" s="14"/>
      <c r="B461" s="14"/>
      <c r="C461" s="9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1"/>
      <c r="S461" s="36"/>
      <c r="T461" s="8"/>
      <c r="U461" s="8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</row>
    <row r="462" spans="1:38" ht="15.75" customHeight="1" x14ac:dyDescent="0.35">
      <c r="A462" s="14"/>
      <c r="B462" s="14"/>
      <c r="C462" s="9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1"/>
      <c r="S462" s="36"/>
      <c r="T462" s="8"/>
      <c r="U462" s="8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</row>
    <row r="463" spans="1:38" ht="15.75" customHeight="1" x14ac:dyDescent="0.35">
      <c r="A463" s="14"/>
      <c r="B463" s="14"/>
      <c r="C463" s="9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1"/>
      <c r="S463" s="36"/>
      <c r="T463" s="8"/>
      <c r="U463" s="8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</row>
    <row r="464" spans="1:38" ht="15.75" customHeight="1" x14ac:dyDescent="0.35">
      <c r="A464" s="14"/>
      <c r="B464" s="14"/>
      <c r="C464" s="9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1"/>
      <c r="S464" s="36"/>
      <c r="T464" s="8"/>
      <c r="U464" s="8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</row>
    <row r="465" spans="1:38" ht="15.75" customHeight="1" x14ac:dyDescent="0.35">
      <c r="A465" s="14"/>
      <c r="B465" s="14"/>
      <c r="C465" s="9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1"/>
      <c r="S465" s="36"/>
      <c r="T465" s="8"/>
      <c r="U465" s="8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</row>
    <row r="466" spans="1:38" ht="15.75" customHeight="1" x14ac:dyDescent="0.35">
      <c r="A466" s="14"/>
      <c r="B466" s="14"/>
      <c r="C466" s="9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1"/>
      <c r="S466" s="36"/>
      <c r="T466" s="8"/>
      <c r="U466" s="8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</row>
    <row r="467" spans="1:38" ht="15.75" customHeight="1" x14ac:dyDescent="0.35">
      <c r="A467" s="14"/>
      <c r="B467" s="14"/>
      <c r="C467" s="9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1"/>
      <c r="S467" s="36"/>
      <c r="T467" s="8"/>
      <c r="U467" s="8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</row>
    <row r="468" spans="1:38" ht="15.75" customHeight="1" x14ac:dyDescent="0.35">
      <c r="A468" s="14"/>
      <c r="B468" s="14"/>
      <c r="C468" s="9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1"/>
      <c r="S468" s="36"/>
      <c r="T468" s="8"/>
      <c r="U468" s="8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</row>
    <row r="469" spans="1:38" ht="15.75" customHeight="1" x14ac:dyDescent="0.35">
      <c r="A469" s="14"/>
      <c r="B469" s="14"/>
      <c r="C469" s="9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1"/>
      <c r="S469" s="36"/>
      <c r="T469" s="8"/>
      <c r="U469" s="8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</row>
    <row r="470" spans="1:38" ht="15.75" customHeight="1" x14ac:dyDescent="0.35">
      <c r="A470" s="14"/>
      <c r="B470" s="14"/>
      <c r="C470" s="9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1"/>
      <c r="S470" s="36"/>
      <c r="T470" s="8"/>
      <c r="U470" s="8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</row>
    <row r="471" spans="1:38" ht="15.75" customHeight="1" x14ac:dyDescent="0.35">
      <c r="A471" s="14"/>
      <c r="B471" s="14"/>
      <c r="C471" s="9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1"/>
      <c r="S471" s="36"/>
      <c r="T471" s="8"/>
      <c r="U471" s="8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</row>
    <row r="472" spans="1:38" ht="15.75" customHeight="1" x14ac:dyDescent="0.35">
      <c r="A472" s="14"/>
      <c r="B472" s="14"/>
      <c r="C472" s="9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1"/>
      <c r="S472" s="36"/>
      <c r="T472" s="8"/>
      <c r="U472" s="8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</row>
    <row r="473" spans="1:38" ht="15.75" customHeight="1" x14ac:dyDescent="0.35">
      <c r="A473" s="14"/>
      <c r="B473" s="14"/>
      <c r="C473" s="9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1"/>
      <c r="S473" s="36"/>
      <c r="T473" s="8"/>
      <c r="U473" s="8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</row>
    <row r="474" spans="1:38" ht="15.75" customHeight="1" x14ac:dyDescent="0.35">
      <c r="A474" s="14"/>
      <c r="B474" s="14"/>
      <c r="C474" s="9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1"/>
      <c r="S474" s="36"/>
      <c r="T474" s="8"/>
      <c r="U474" s="8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</row>
    <row r="475" spans="1:38" ht="15.75" customHeight="1" x14ac:dyDescent="0.35">
      <c r="A475" s="14"/>
      <c r="B475" s="14"/>
      <c r="C475" s="9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1"/>
      <c r="S475" s="36"/>
      <c r="T475" s="8"/>
      <c r="U475" s="8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</row>
    <row r="476" spans="1:38" ht="15.75" customHeight="1" x14ac:dyDescent="0.35">
      <c r="A476" s="14"/>
      <c r="B476" s="14"/>
      <c r="C476" s="9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1"/>
      <c r="S476" s="36"/>
      <c r="T476" s="8"/>
      <c r="U476" s="8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</row>
    <row r="477" spans="1:38" ht="15.75" customHeight="1" x14ac:dyDescent="0.35">
      <c r="A477" s="14"/>
      <c r="B477" s="14"/>
      <c r="C477" s="9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1"/>
      <c r="S477" s="36"/>
      <c r="T477" s="8"/>
      <c r="U477" s="8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</row>
    <row r="478" spans="1:38" ht="15.75" customHeight="1" x14ac:dyDescent="0.35">
      <c r="A478" s="14"/>
      <c r="B478" s="14"/>
      <c r="C478" s="9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1"/>
      <c r="S478" s="36"/>
      <c r="T478" s="8"/>
      <c r="U478" s="8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</row>
    <row r="479" spans="1:38" ht="15.75" customHeight="1" x14ac:dyDescent="0.35">
      <c r="A479" s="14"/>
      <c r="B479" s="14"/>
      <c r="C479" s="9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1"/>
      <c r="S479" s="36"/>
      <c r="T479" s="8"/>
      <c r="U479" s="8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</row>
    <row r="480" spans="1:38" ht="15.75" customHeight="1" x14ac:dyDescent="0.35">
      <c r="A480" s="14"/>
      <c r="B480" s="14"/>
      <c r="C480" s="9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1"/>
      <c r="S480" s="36"/>
      <c r="T480" s="8"/>
      <c r="U480" s="8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</row>
    <row r="481" spans="1:38" ht="15.75" customHeight="1" x14ac:dyDescent="0.35">
      <c r="A481" s="14"/>
      <c r="B481" s="14"/>
      <c r="C481" s="9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1"/>
      <c r="S481" s="36"/>
      <c r="T481" s="8"/>
      <c r="U481" s="8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</row>
    <row r="482" spans="1:38" ht="15.75" customHeight="1" x14ac:dyDescent="0.35">
      <c r="A482" s="14"/>
      <c r="B482" s="14"/>
      <c r="C482" s="9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1"/>
      <c r="S482" s="36"/>
      <c r="T482" s="8"/>
      <c r="U482" s="8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</row>
    <row r="483" spans="1:38" ht="15.75" customHeight="1" x14ac:dyDescent="0.35">
      <c r="A483" s="14"/>
      <c r="B483" s="14"/>
      <c r="C483" s="9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1"/>
      <c r="S483" s="36"/>
      <c r="T483" s="8"/>
      <c r="U483" s="8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</row>
    <row r="484" spans="1:38" ht="15.75" customHeight="1" x14ac:dyDescent="0.35">
      <c r="A484" s="14"/>
      <c r="B484" s="14"/>
      <c r="C484" s="9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1"/>
      <c r="S484" s="36"/>
      <c r="T484" s="8"/>
      <c r="U484" s="8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</row>
    <row r="485" spans="1:38" ht="15.75" customHeight="1" x14ac:dyDescent="0.35">
      <c r="A485" s="14"/>
      <c r="B485" s="14"/>
      <c r="C485" s="9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1"/>
      <c r="S485" s="36"/>
      <c r="T485" s="8"/>
      <c r="U485" s="8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</row>
    <row r="486" spans="1:38" ht="15.75" customHeight="1" x14ac:dyDescent="0.35">
      <c r="A486" s="14"/>
      <c r="B486" s="14"/>
      <c r="C486" s="9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1"/>
      <c r="S486" s="36"/>
      <c r="T486" s="8"/>
      <c r="U486" s="8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</row>
    <row r="487" spans="1:38" ht="15.75" customHeight="1" x14ac:dyDescent="0.35">
      <c r="A487" s="14"/>
      <c r="B487" s="14"/>
      <c r="C487" s="9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1"/>
      <c r="S487" s="36"/>
      <c r="T487" s="8"/>
      <c r="U487" s="8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</row>
    <row r="488" spans="1:38" ht="15.75" customHeight="1" x14ac:dyDescent="0.35">
      <c r="A488" s="14"/>
      <c r="B488" s="14"/>
      <c r="C488" s="9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1"/>
      <c r="S488" s="36"/>
      <c r="T488" s="8"/>
      <c r="U488" s="8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</row>
    <row r="489" spans="1:38" ht="15.75" customHeight="1" x14ac:dyDescent="0.35">
      <c r="A489" s="14"/>
      <c r="B489" s="14"/>
      <c r="C489" s="9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1"/>
      <c r="S489" s="36"/>
      <c r="T489" s="8"/>
      <c r="U489" s="8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</row>
    <row r="490" spans="1:38" ht="15.75" customHeight="1" x14ac:dyDescent="0.35">
      <c r="A490" s="14"/>
      <c r="B490" s="14"/>
      <c r="C490" s="9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1"/>
      <c r="S490" s="36"/>
      <c r="T490" s="8"/>
      <c r="U490" s="8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</row>
    <row r="491" spans="1:38" ht="15.75" customHeight="1" x14ac:dyDescent="0.35">
      <c r="A491" s="14"/>
      <c r="B491" s="14"/>
      <c r="C491" s="9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1"/>
      <c r="S491" s="36"/>
      <c r="T491" s="8"/>
      <c r="U491" s="8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</row>
    <row r="492" spans="1:38" ht="15.75" customHeight="1" x14ac:dyDescent="0.35">
      <c r="A492" s="14"/>
      <c r="B492" s="14"/>
      <c r="C492" s="9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1"/>
      <c r="S492" s="36"/>
      <c r="T492" s="8"/>
      <c r="U492" s="8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</row>
    <row r="493" spans="1:38" ht="15.75" customHeight="1" x14ac:dyDescent="0.35">
      <c r="A493" s="14"/>
      <c r="B493" s="14"/>
      <c r="C493" s="9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1"/>
      <c r="S493" s="36"/>
      <c r="T493" s="8"/>
      <c r="U493" s="8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</row>
    <row r="494" spans="1:38" ht="15.75" customHeight="1" x14ac:dyDescent="0.35">
      <c r="A494" s="14"/>
      <c r="B494" s="14"/>
      <c r="C494" s="9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1"/>
      <c r="S494" s="36"/>
      <c r="T494" s="8"/>
      <c r="U494" s="8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</row>
    <row r="495" spans="1:38" ht="15.75" customHeight="1" x14ac:dyDescent="0.35">
      <c r="A495" s="14"/>
      <c r="B495" s="14"/>
      <c r="C495" s="9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1"/>
      <c r="S495" s="36"/>
      <c r="T495" s="8"/>
      <c r="U495" s="8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</row>
    <row r="496" spans="1:38" ht="15.75" customHeight="1" x14ac:dyDescent="0.35">
      <c r="A496" s="14"/>
      <c r="B496" s="14"/>
      <c r="C496" s="9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1"/>
      <c r="S496" s="36"/>
      <c r="T496" s="8"/>
      <c r="U496" s="8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</row>
    <row r="497" spans="1:38" ht="15.75" customHeight="1" x14ac:dyDescent="0.35">
      <c r="A497" s="14"/>
      <c r="B497" s="14"/>
      <c r="C497" s="9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1"/>
      <c r="S497" s="36"/>
      <c r="T497" s="8"/>
      <c r="U497" s="8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</row>
    <row r="498" spans="1:38" ht="15.75" customHeight="1" x14ac:dyDescent="0.35">
      <c r="A498" s="14"/>
      <c r="B498" s="14"/>
      <c r="C498" s="9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1"/>
      <c r="S498" s="36"/>
      <c r="T498" s="8"/>
      <c r="U498" s="8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</row>
    <row r="499" spans="1:38" ht="15.75" customHeight="1" x14ac:dyDescent="0.35">
      <c r="A499" s="14"/>
      <c r="B499" s="14"/>
      <c r="C499" s="9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1"/>
      <c r="S499" s="36"/>
      <c r="T499" s="8"/>
      <c r="U499" s="8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</row>
    <row r="500" spans="1:38" ht="15.75" customHeight="1" x14ac:dyDescent="0.35">
      <c r="A500" s="14"/>
      <c r="B500" s="14"/>
      <c r="C500" s="9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1"/>
      <c r="S500" s="36"/>
      <c r="T500" s="8"/>
      <c r="U500" s="8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</row>
    <row r="501" spans="1:38" ht="15.75" customHeight="1" x14ac:dyDescent="0.35">
      <c r="A501" s="14"/>
      <c r="B501" s="14"/>
      <c r="C501" s="9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1"/>
      <c r="S501" s="36"/>
      <c r="T501" s="8"/>
      <c r="U501" s="8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</row>
    <row r="502" spans="1:38" ht="15.75" customHeight="1" x14ac:dyDescent="0.35">
      <c r="A502" s="14"/>
      <c r="B502" s="14"/>
      <c r="C502" s="9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1"/>
      <c r="S502" s="36"/>
      <c r="T502" s="8"/>
      <c r="U502" s="8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</row>
    <row r="503" spans="1:38" ht="15.75" customHeight="1" x14ac:dyDescent="0.35">
      <c r="A503" s="14"/>
      <c r="B503" s="14"/>
      <c r="C503" s="9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1"/>
      <c r="S503" s="36"/>
      <c r="T503" s="8"/>
      <c r="U503" s="8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</row>
    <row r="504" spans="1:38" ht="15.75" customHeight="1" x14ac:dyDescent="0.35">
      <c r="A504" s="14"/>
      <c r="B504" s="14"/>
      <c r="C504" s="9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1"/>
      <c r="S504" s="36"/>
      <c r="T504" s="8"/>
      <c r="U504" s="8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</row>
    <row r="505" spans="1:38" ht="15.75" customHeight="1" x14ac:dyDescent="0.35">
      <c r="A505" s="14"/>
      <c r="B505" s="14"/>
      <c r="C505" s="9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1"/>
      <c r="S505" s="36"/>
      <c r="T505" s="8"/>
      <c r="U505" s="8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</row>
    <row r="506" spans="1:38" ht="15.75" customHeight="1" x14ac:dyDescent="0.35">
      <c r="A506" s="14"/>
      <c r="B506" s="14"/>
      <c r="C506" s="9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1"/>
      <c r="S506" s="36"/>
      <c r="T506" s="8"/>
      <c r="U506" s="8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</row>
    <row r="507" spans="1:38" ht="15.75" customHeight="1" x14ac:dyDescent="0.35">
      <c r="A507" s="14"/>
      <c r="B507" s="14"/>
      <c r="C507" s="9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1"/>
      <c r="S507" s="36"/>
      <c r="T507" s="8"/>
      <c r="U507" s="8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</row>
    <row r="508" spans="1:38" ht="15.75" customHeight="1" x14ac:dyDescent="0.35">
      <c r="A508" s="14"/>
      <c r="B508" s="14"/>
      <c r="C508" s="9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1"/>
      <c r="S508" s="36"/>
      <c r="T508" s="8"/>
      <c r="U508" s="8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</row>
    <row r="509" spans="1:38" ht="15.75" customHeight="1" x14ac:dyDescent="0.35">
      <c r="A509" s="14"/>
      <c r="B509" s="14"/>
      <c r="C509" s="9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1"/>
      <c r="S509" s="36"/>
      <c r="T509" s="8"/>
      <c r="U509" s="8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</row>
    <row r="510" spans="1:38" ht="15.75" customHeight="1" x14ac:dyDescent="0.35">
      <c r="A510" s="14"/>
      <c r="B510" s="14"/>
      <c r="C510" s="9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1"/>
      <c r="S510" s="36"/>
      <c r="T510" s="8"/>
      <c r="U510" s="8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</row>
    <row r="511" spans="1:38" ht="15.75" customHeight="1" x14ac:dyDescent="0.35">
      <c r="A511" s="14"/>
      <c r="B511" s="14"/>
      <c r="C511" s="9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1"/>
      <c r="S511" s="36"/>
      <c r="T511" s="8"/>
      <c r="U511" s="8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</row>
    <row r="512" spans="1:38" ht="15.75" customHeight="1" x14ac:dyDescent="0.35">
      <c r="A512" s="14"/>
      <c r="B512" s="14"/>
      <c r="C512" s="9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1"/>
      <c r="S512" s="36"/>
      <c r="T512" s="8"/>
      <c r="U512" s="8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</row>
    <row r="513" spans="1:38" ht="15.75" customHeight="1" x14ac:dyDescent="0.35">
      <c r="A513" s="14"/>
      <c r="B513" s="14"/>
      <c r="C513" s="9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1"/>
      <c r="S513" s="36"/>
      <c r="T513" s="8"/>
      <c r="U513" s="8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</row>
    <row r="514" spans="1:38" ht="15.75" customHeight="1" x14ac:dyDescent="0.35">
      <c r="A514" s="14"/>
      <c r="B514" s="14"/>
      <c r="C514" s="9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1"/>
      <c r="S514" s="36"/>
      <c r="T514" s="8"/>
      <c r="U514" s="8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</row>
    <row r="515" spans="1:38" ht="15.75" customHeight="1" x14ac:dyDescent="0.35">
      <c r="A515" s="14"/>
      <c r="B515" s="14"/>
      <c r="C515" s="9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1"/>
      <c r="S515" s="36"/>
      <c r="T515" s="8"/>
      <c r="U515" s="8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</row>
    <row r="516" spans="1:38" ht="15.75" customHeight="1" x14ac:dyDescent="0.35">
      <c r="A516" s="14"/>
      <c r="B516" s="14"/>
      <c r="C516" s="9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1"/>
      <c r="S516" s="36"/>
      <c r="T516" s="8"/>
      <c r="U516" s="8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</row>
    <row r="517" spans="1:38" ht="15.75" customHeight="1" x14ac:dyDescent="0.35">
      <c r="A517" s="14"/>
      <c r="B517" s="14"/>
      <c r="C517" s="9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1"/>
      <c r="S517" s="36"/>
      <c r="T517" s="8"/>
      <c r="U517" s="8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</row>
    <row r="518" spans="1:38" ht="15.75" customHeight="1" x14ac:dyDescent="0.35">
      <c r="A518" s="14"/>
      <c r="B518" s="14"/>
      <c r="C518" s="9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1"/>
      <c r="S518" s="36"/>
      <c r="T518" s="8"/>
      <c r="U518" s="8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</row>
    <row r="519" spans="1:38" ht="15.75" customHeight="1" x14ac:dyDescent="0.35">
      <c r="A519" s="14"/>
      <c r="B519" s="14"/>
      <c r="C519" s="9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1"/>
      <c r="S519" s="36"/>
      <c r="T519" s="8"/>
      <c r="U519" s="8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</row>
    <row r="520" spans="1:38" ht="15.75" customHeight="1" x14ac:dyDescent="0.35">
      <c r="A520" s="14"/>
      <c r="B520" s="14"/>
      <c r="C520" s="9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1"/>
      <c r="S520" s="36"/>
      <c r="T520" s="8"/>
      <c r="U520" s="8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</row>
    <row r="521" spans="1:38" ht="15.75" customHeight="1" x14ac:dyDescent="0.35">
      <c r="A521" s="14"/>
      <c r="B521" s="14"/>
      <c r="C521" s="9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1"/>
      <c r="S521" s="36"/>
      <c r="T521" s="8"/>
      <c r="U521" s="8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</row>
    <row r="522" spans="1:38" ht="15.75" customHeight="1" x14ac:dyDescent="0.35">
      <c r="A522" s="14"/>
      <c r="B522" s="14"/>
      <c r="C522" s="9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1"/>
      <c r="S522" s="36"/>
      <c r="T522" s="8"/>
      <c r="U522" s="8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</row>
    <row r="523" spans="1:38" ht="15.75" customHeight="1" x14ac:dyDescent="0.35">
      <c r="A523" s="14"/>
      <c r="B523" s="14"/>
      <c r="C523" s="9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1"/>
      <c r="S523" s="36"/>
      <c r="T523" s="8"/>
      <c r="U523" s="8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</row>
    <row r="524" spans="1:38" ht="15.75" customHeight="1" x14ac:dyDescent="0.35">
      <c r="A524" s="14"/>
      <c r="B524" s="14"/>
      <c r="C524" s="9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1"/>
      <c r="S524" s="36"/>
      <c r="T524" s="8"/>
      <c r="U524" s="8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</row>
    <row r="525" spans="1:38" ht="15.75" customHeight="1" x14ac:dyDescent="0.35">
      <c r="A525" s="14"/>
      <c r="B525" s="14"/>
      <c r="C525" s="9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1"/>
      <c r="S525" s="36"/>
      <c r="T525" s="8"/>
      <c r="U525" s="8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</row>
    <row r="526" spans="1:38" ht="15.75" customHeight="1" x14ac:dyDescent="0.35">
      <c r="A526" s="14"/>
      <c r="B526" s="14"/>
      <c r="C526" s="9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1"/>
      <c r="S526" s="36"/>
      <c r="T526" s="8"/>
      <c r="U526" s="8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</row>
    <row r="527" spans="1:38" ht="15.75" customHeight="1" x14ac:dyDescent="0.35">
      <c r="A527" s="14"/>
      <c r="B527" s="14"/>
      <c r="C527" s="9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1"/>
      <c r="S527" s="36"/>
      <c r="T527" s="8"/>
      <c r="U527" s="8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</row>
    <row r="528" spans="1:38" ht="15.75" customHeight="1" x14ac:dyDescent="0.35">
      <c r="A528" s="14"/>
      <c r="B528" s="14"/>
      <c r="C528" s="9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1"/>
      <c r="S528" s="36"/>
      <c r="T528" s="8"/>
      <c r="U528" s="8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</row>
    <row r="529" spans="1:38" ht="15.75" customHeight="1" x14ac:dyDescent="0.35">
      <c r="A529" s="14"/>
      <c r="B529" s="14"/>
      <c r="C529" s="9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1"/>
      <c r="S529" s="36"/>
      <c r="T529" s="8"/>
      <c r="U529" s="8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</row>
    <row r="530" spans="1:38" ht="15.75" customHeight="1" x14ac:dyDescent="0.35">
      <c r="A530" s="14"/>
      <c r="B530" s="14"/>
      <c r="C530" s="9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1"/>
      <c r="S530" s="36"/>
      <c r="T530" s="8"/>
      <c r="U530" s="8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</row>
    <row r="531" spans="1:38" ht="15.75" customHeight="1" x14ac:dyDescent="0.35">
      <c r="A531" s="14"/>
      <c r="B531" s="14"/>
      <c r="C531" s="9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1"/>
      <c r="S531" s="36"/>
      <c r="T531" s="8"/>
      <c r="U531" s="8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</row>
    <row r="532" spans="1:38" ht="15.75" customHeight="1" x14ac:dyDescent="0.35">
      <c r="A532" s="14"/>
      <c r="B532" s="14"/>
      <c r="C532" s="9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1"/>
      <c r="S532" s="36"/>
      <c r="T532" s="8"/>
      <c r="U532" s="8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</row>
    <row r="533" spans="1:38" ht="15.75" customHeight="1" x14ac:dyDescent="0.35">
      <c r="A533" s="14"/>
      <c r="B533" s="14"/>
      <c r="C533" s="9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1"/>
      <c r="S533" s="36"/>
      <c r="T533" s="8"/>
      <c r="U533" s="8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</row>
    <row r="534" spans="1:38" ht="15.75" customHeight="1" x14ac:dyDescent="0.35">
      <c r="A534" s="14"/>
      <c r="B534" s="14"/>
      <c r="C534" s="9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1"/>
      <c r="S534" s="36"/>
      <c r="T534" s="8"/>
      <c r="U534" s="8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</row>
    <row r="535" spans="1:38" ht="15.75" customHeight="1" x14ac:dyDescent="0.35">
      <c r="A535" s="14"/>
      <c r="B535" s="14"/>
      <c r="C535" s="9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1"/>
      <c r="S535" s="36"/>
      <c r="T535" s="8"/>
      <c r="U535" s="8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</row>
    <row r="536" spans="1:38" ht="15.75" customHeight="1" x14ac:dyDescent="0.35">
      <c r="A536" s="14"/>
      <c r="B536" s="14"/>
      <c r="C536" s="9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1"/>
      <c r="S536" s="36"/>
      <c r="T536" s="8"/>
      <c r="U536" s="8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</row>
    <row r="537" spans="1:38" ht="15.75" customHeight="1" x14ac:dyDescent="0.35">
      <c r="A537" s="14"/>
      <c r="B537" s="14"/>
      <c r="C537" s="9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1"/>
      <c r="S537" s="36"/>
      <c r="T537" s="8"/>
      <c r="U537" s="8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</row>
    <row r="538" spans="1:38" ht="15.75" customHeight="1" x14ac:dyDescent="0.35">
      <c r="A538" s="14"/>
      <c r="B538" s="14"/>
      <c r="C538" s="9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1"/>
      <c r="S538" s="36"/>
      <c r="T538" s="8"/>
      <c r="U538" s="8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</row>
    <row r="539" spans="1:38" ht="15.75" customHeight="1" x14ac:dyDescent="0.35">
      <c r="A539" s="14"/>
      <c r="B539" s="14"/>
      <c r="C539" s="9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1"/>
      <c r="S539" s="36"/>
      <c r="T539" s="8"/>
      <c r="U539" s="8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</row>
    <row r="540" spans="1:38" ht="15.75" customHeight="1" x14ac:dyDescent="0.35">
      <c r="A540" s="14"/>
      <c r="B540" s="14"/>
      <c r="C540" s="9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1"/>
      <c r="S540" s="36"/>
      <c r="T540" s="8"/>
      <c r="U540" s="8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</row>
    <row r="541" spans="1:38" ht="15.75" customHeight="1" x14ac:dyDescent="0.35">
      <c r="A541" s="14"/>
      <c r="B541" s="14"/>
      <c r="C541" s="9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1"/>
      <c r="S541" s="36"/>
      <c r="T541" s="8"/>
      <c r="U541" s="8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</row>
    <row r="542" spans="1:38" ht="15.75" customHeight="1" x14ac:dyDescent="0.35">
      <c r="A542" s="14"/>
      <c r="B542" s="14"/>
      <c r="C542" s="9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1"/>
      <c r="S542" s="36"/>
      <c r="T542" s="8"/>
      <c r="U542" s="8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</row>
    <row r="543" spans="1:38" ht="15.75" customHeight="1" x14ac:dyDescent="0.35">
      <c r="A543" s="14"/>
      <c r="B543" s="14"/>
      <c r="C543" s="9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1"/>
      <c r="S543" s="36"/>
      <c r="T543" s="8"/>
      <c r="U543" s="8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</row>
    <row r="544" spans="1:38" ht="15.75" customHeight="1" x14ac:dyDescent="0.35">
      <c r="A544" s="14"/>
      <c r="B544" s="14"/>
      <c r="C544" s="9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1"/>
      <c r="S544" s="36"/>
      <c r="T544" s="8"/>
      <c r="U544" s="8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</row>
    <row r="545" spans="1:38" ht="15.75" customHeight="1" x14ac:dyDescent="0.35">
      <c r="A545" s="14"/>
      <c r="B545" s="14"/>
      <c r="C545" s="9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1"/>
      <c r="S545" s="36"/>
      <c r="T545" s="8"/>
      <c r="U545" s="8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</row>
    <row r="546" spans="1:38" ht="15.75" customHeight="1" x14ac:dyDescent="0.35">
      <c r="A546" s="14"/>
      <c r="B546" s="14"/>
      <c r="C546" s="9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1"/>
      <c r="S546" s="36"/>
      <c r="T546" s="8"/>
      <c r="U546" s="8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</row>
    <row r="547" spans="1:38" ht="15.75" customHeight="1" x14ac:dyDescent="0.35">
      <c r="A547" s="14"/>
      <c r="B547" s="14"/>
      <c r="C547" s="9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1"/>
      <c r="S547" s="36"/>
      <c r="T547" s="8"/>
      <c r="U547" s="8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</row>
    <row r="548" spans="1:38" ht="15.75" customHeight="1" x14ac:dyDescent="0.35">
      <c r="A548" s="14"/>
      <c r="B548" s="14"/>
      <c r="C548" s="9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1"/>
      <c r="S548" s="36"/>
      <c r="T548" s="8"/>
      <c r="U548" s="8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</row>
    <row r="549" spans="1:38" ht="15.75" customHeight="1" x14ac:dyDescent="0.35">
      <c r="A549" s="14"/>
      <c r="B549" s="14"/>
      <c r="C549" s="9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1"/>
      <c r="S549" s="36"/>
      <c r="T549" s="8"/>
      <c r="U549" s="8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</row>
    <row r="550" spans="1:38" ht="15.75" customHeight="1" x14ac:dyDescent="0.35">
      <c r="A550" s="14"/>
      <c r="B550" s="14"/>
      <c r="C550" s="9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1"/>
      <c r="S550" s="36"/>
      <c r="T550" s="8"/>
      <c r="U550" s="8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</row>
    <row r="551" spans="1:38" ht="15.75" customHeight="1" x14ac:dyDescent="0.35">
      <c r="A551" s="14"/>
      <c r="B551" s="14"/>
      <c r="C551" s="9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1"/>
      <c r="S551" s="36"/>
      <c r="T551" s="8"/>
      <c r="U551" s="8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</row>
    <row r="552" spans="1:38" ht="15.75" customHeight="1" x14ac:dyDescent="0.35">
      <c r="A552" s="14"/>
      <c r="B552" s="14"/>
      <c r="C552" s="9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1"/>
      <c r="S552" s="36"/>
      <c r="T552" s="8"/>
      <c r="U552" s="8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</row>
    <row r="553" spans="1:38" ht="15.75" customHeight="1" x14ac:dyDescent="0.35">
      <c r="A553" s="14"/>
      <c r="B553" s="14"/>
      <c r="C553" s="9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1"/>
      <c r="S553" s="36"/>
      <c r="T553" s="8"/>
      <c r="U553" s="8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</row>
    <row r="554" spans="1:38" ht="15.75" customHeight="1" x14ac:dyDescent="0.35">
      <c r="A554" s="14"/>
      <c r="B554" s="14"/>
      <c r="C554" s="9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1"/>
      <c r="S554" s="36"/>
      <c r="T554" s="8"/>
      <c r="U554" s="8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</row>
    <row r="555" spans="1:38" ht="15.75" customHeight="1" x14ac:dyDescent="0.35">
      <c r="A555" s="14"/>
      <c r="B555" s="14"/>
      <c r="C555" s="9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1"/>
      <c r="S555" s="36"/>
      <c r="T555" s="8"/>
      <c r="U555" s="8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</row>
    <row r="556" spans="1:38" ht="15.75" customHeight="1" x14ac:dyDescent="0.35">
      <c r="A556" s="14"/>
      <c r="B556" s="14"/>
      <c r="C556" s="9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1"/>
      <c r="S556" s="36"/>
      <c r="T556" s="8"/>
      <c r="U556" s="8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</row>
    <row r="557" spans="1:38" ht="15.75" customHeight="1" x14ac:dyDescent="0.35">
      <c r="A557" s="14"/>
      <c r="B557" s="14"/>
      <c r="C557" s="9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1"/>
      <c r="S557" s="36"/>
      <c r="T557" s="8"/>
      <c r="U557" s="8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</row>
    <row r="558" spans="1:38" ht="15.75" customHeight="1" x14ac:dyDescent="0.35">
      <c r="A558" s="14"/>
      <c r="B558" s="14"/>
      <c r="C558" s="9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1"/>
      <c r="S558" s="36"/>
      <c r="T558" s="8"/>
      <c r="U558" s="8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</row>
    <row r="559" spans="1:38" ht="15.75" customHeight="1" x14ac:dyDescent="0.35">
      <c r="A559" s="14"/>
      <c r="B559" s="14"/>
      <c r="C559" s="9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1"/>
      <c r="S559" s="36"/>
      <c r="T559" s="8"/>
      <c r="U559" s="8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</row>
    <row r="560" spans="1:38" ht="15.75" customHeight="1" x14ac:dyDescent="0.35">
      <c r="A560" s="14"/>
      <c r="B560" s="14"/>
      <c r="C560" s="9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1"/>
      <c r="S560" s="36"/>
      <c r="T560" s="8"/>
      <c r="U560" s="8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</row>
    <row r="561" spans="1:38" ht="15.75" customHeight="1" x14ac:dyDescent="0.35">
      <c r="A561" s="14"/>
      <c r="B561" s="14"/>
      <c r="C561" s="9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1"/>
      <c r="S561" s="36"/>
      <c r="T561" s="8"/>
      <c r="U561" s="8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</row>
    <row r="562" spans="1:38" ht="15.75" customHeight="1" x14ac:dyDescent="0.35">
      <c r="A562" s="14"/>
      <c r="B562" s="14"/>
      <c r="C562" s="9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1"/>
      <c r="S562" s="36"/>
      <c r="T562" s="8"/>
      <c r="U562" s="8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</row>
    <row r="563" spans="1:38" ht="15.75" customHeight="1" x14ac:dyDescent="0.35">
      <c r="A563" s="14"/>
      <c r="B563" s="14"/>
      <c r="C563" s="9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1"/>
      <c r="S563" s="36"/>
      <c r="T563" s="8"/>
      <c r="U563" s="8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</row>
    <row r="564" spans="1:38" ht="15.75" customHeight="1" x14ac:dyDescent="0.35">
      <c r="A564" s="14"/>
      <c r="B564" s="14"/>
      <c r="C564" s="9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1"/>
      <c r="S564" s="36"/>
      <c r="T564" s="8"/>
      <c r="U564" s="8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</row>
    <row r="565" spans="1:38" ht="15.75" customHeight="1" x14ac:dyDescent="0.35">
      <c r="A565" s="14"/>
      <c r="B565" s="14"/>
      <c r="C565" s="9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1"/>
      <c r="S565" s="36"/>
      <c r="T565" s="8"/>
      <c r="U565" s="8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</row>
    <row r="566" spans="1:38" ht="15.75" customHeight="1" x14ac:dyDescent="0.35">
      <c r="A566" s="14"/>
      <c r="B566" s="14"/>
      <c r="C566" s="9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1"/>
      <c r="S566" s="36"/>
      <c r="T566" s="8"/>
      <c r="U566" s="8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</row>
    <row r="567" spans="1:38" ht="15.75" customHeight="1" x14ac:dyDescent="0.35">
      <c r="A567" s="14"/>
      <c r="B567" s="14"/>
      <c r="C567" s="9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1"/>
      <c r="S567" s="36"/>
      <c r="T567" s="8"/>
      <c r="U567" s="8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</row>
    <row r="568" spans="1:38" ht="15.75" customHeight="1" x14ac:dyDescent="0.35">
      <c r="A568" s="14"/>
      <c r="B568" s="14"/>
      <c r="C568" s="9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1"/>
      <c r="S568" s="36"/>
      <c r="T568" s="8"/>
      <c r="U568" s="8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</row>
    <row r="569" spans="1:38" ht="15.75" customHeight="1" x14ac:dyDescent="0.35">
      <c r="A569" s="14"/>
      <c r="B569" s="14"/>
      <c r="C569" s="9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1"/>
      <c r="S569" s="36"/>
      <c r="T569" s="8"/>
      <c r="U569" s="8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</row>
    <row r="570" spans="1:38" ht="15.75" customHeight="1" x14ac:dyDescent="0.35">
      <c r="A570" s="14"/>
      <c r="B570" s="14"/>
      <c r="C570" s="9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1"/>
      <c r="S570" s="36"/>
      <c r="T570" s="8"/>
      <c r="U570" s="8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</row>
    <row r="571" spans="1:38" ht="15.75" customHeight="1" x14ac:dyDescent="0.35">
      <c r="A571" s="14"/>
      <c r="B571" s="14"/>
      <c r="C571" s="9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1"/>
      <c r="S571" s="36"/>
      <c r="T571" s="8"/>
      <c r="U571" s="8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</row>
    <row r="572" spans="1:38" ht="15.75" customHeight="1" x14ac:dyDescent="0.35">
      <c r="A572" s="14"/>
      <c r="B572" s="14"/>
      <c r="C572" s="9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1"/>
      <c r="S572" s="36"/>
      <c r="T572" s="8"/>
      <c r="U572" s="8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</row>
    <row r="573" spans="1:38" ht="15.75" customHeight="1" x14ac:dyDescent="0.35">
      <c r="A573" s="14"/>
      <c r="B573" s="14"/>
      <c r="C573" s="9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1"/>
      <c r="S573" s="36"/>
      <c r="T573" s="8"/>
      <c r="U573" s="8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</row>
    <row r="574" spans="1:38" ht="15.75" customHeight="1" x14ac:dyDescent="0.35">
      <c r="A574" s="14"/>
      <c r="B574" s="14"/>
      <c r="C574" s="9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1"/>
      <c r="S574" s="36"/>
      <c r="T574" s="8"/>
      <c r="U574" s="8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</row>
    <row r="575" spans="1:38" ht="15.75" customHeight="1" x14ac:dyDescent="0.35">
      <c r="A575" s="14"/>
      <c r="B575" s="14"/>
      <c r="C575" s="9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1"/>
      <c r="S575" s="36"/>
      <c r="T575" s="8"/>
      <c r="U575" s="8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</row>
    <row r="576" spans="1:38" ht="15.75" customHeight="1" x14ac:dyDescent="0.35">
      <c r="A576" s="14"/>
      <c r="B576" s="14"/>
      <c r="C576" s="9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1"/>
      <c r="S576" s="36"/>
      <c r="T576" s="8"/>
      <c r="U576" s="8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</row>
    <row r="577" spans="1:38" ht="15.75" customHeight="1" x14ac:dyDescent="0.35">
      <c r="A577" s="14"/>
      <c r="B577" s="14"/>
      <c r="C577" s="9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1"/>
      <c r="S577" s="36"/>
      <c r="T577" s="8"/>
      <c r="U577" s="8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</row>
    <row r="578" spans="1:38" ht="15.75" customHeight="1" x14ac:dyDescent="0.35">
      <c r="A578" s="14"/>
      <c r="B578" s="14"/>
      <c r="C578" s="9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1"/>
      <c r="S578" s="36"/>
      <c r="T578" s="8"/>
      <c r="U578" s="8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</row>
    <row r="579" spans="1:38" ht="15.75" customHeight="1" x14ac:dyDescent="0.35">
      <c r="A579" s="14"/>
      <c r="B579" s="14"/>
      <c r="C579" s="9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1"/>
      <c r="S579" s="36"/>
      <c r="T579" s="8"/>
      <c r="U579" s="8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</row>
    <row r="580" spans="1:38" ht="15.75" customHeight="1" x14ac:dyDescent="0.35">
      <c r="A580" s="14"/>
      <c r="B580" s="14"/>
      <c r="C580" s="9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1"/>
      <c r="S580" s="36"/>
      <c r="T580" s="8"/>
      <c r="U580" s="8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</row>
    <row r="581" spans="1:38" ht="15.75" customHeight="1" x14ac:dyDescent="0.35">
      <c r="A581" s="14"/>
      <c r="B581" s="14"/>
      <c r="C581" s="9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1"/>
      <c r="S581" s="36"/>
      <c r="T581" s="8"/>
      <c r="U581" s="8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</row>
    <row r="582" spans="1:38" ht="15.75" customHeight="1" x14ac:dyDescent="0.35">
      <c r="A582" s="14"/>
      <c r="B582" s="14"/>
      <c r="C582" s="9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1"/>
      <c r="S582" s="36"/>
      <c r="T582" s="8"/>
      <c r="U582" s="8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</row>
    <row r="583" spans="1:38" ht="15.75" customHeight="1" x14ac:dyDescent="0.35">
      <c r="A583" s="14"/>
      <c r="B583" s="14"/>
      <c r="C583" s="9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1"/>
      <c r="S583" s="36"/>
      <c r="T583" s="8"/>
      <c r="U583" s="8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</row>
    <row r="584" spans="1:38" ht="15.75" customHeight="1" x14ac:dyDescent="0.35">
      <c r="A584" s="14"/>
      <c r="B584" s="14"/>
      <c r="C584" s="9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1"/>
      <c r="S584" s="36"/>
      <c r="T584" s="8"/>
      <c r="U584" s="8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</row>
    <row r="585" spans="1:38" ht="15.75" customHeight="1" x14ac:dyDescent="0.35">
      <c r="A585" s="14"/>
      <c r="B585" s="14"/>
      <c r="C585" s="9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1"/>
      <c r="S585" s="36"/>
      <c r="T585" s="8"/>
      <c r="U585" s="8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</row>
    <row r="586" spans="1:38" ht="15.75" customHeight="1" x14ac:dyDescent="0.35">
      <c r="A586" s="14"/>
      <c r="B586" s="14"/>
      <c r="C586" s="9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1"/>
      <c r="S586" s="36"/>
      <c r="T586" s="8"/>
      <c r="U586" s="8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</row>
    <row r="587" spans="1:38" ht="15.75" customHeight="1" x14ac:dyDescent="0.35">
      <c r="A587" s="14"/>
      <c r="B587" s="14"/>
      <c r="C587" s="9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1"/>
      <c r="S587" s="36"/>
      <c r="T587" s="8"/>
      <c r="U587" s="8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</row>
    <row r="588" spans="1:38" ht="15.75" customHeight="1" x14ac:dyDescent="0.35">
      <c r="A588" s="14"/>
      <c r="B588" s="14"/>
      <c r="C588" s="9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1"/>
      <c r="S588" s="36"/>
      <c r="T588" s="8"/>
      <c r="U588" s="8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</row>
    <row r="589" spans="1:38" ht="15.75" customHeight="1" x14ac:dyDescent="0.35">
      <c r="A589" s="14"/>
      <c r="B589" s="14"/>
      <c r="C589" s="9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1"/>
      <c r="S589" s="36"/>
      <c r="T589" s="8"/>
      <c r="U589" s="8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</row>
    <row r="590" spans="1:38" ht="15.75" customHeight="1" x14ac:dyDescent="0.35">
      <c r="A590" s="14"/>
      <c r="B590" s="14"/>
      <c r="C590" s="9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1"/>
      <c r="S590" s="36"/>
      <c r="T590" s="8"/>
      <c r="U590" s="8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</row>
    <row r="591" spans="1:38" ht="15.75" customHeight="1" x14ac:dyDescent="0.35">
      <c r="A591" s="14"/>
      <c r="B591" s="14"/>
      <c r="C591" s="9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1"/>
      <c r="S591" s="36"/>
      <c r="T591" s="8"/>
      <c r="U591" s="8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</row>
    <row r="592" spans="1:38" ht="15.75" customHeight="1" x14ac:dyDescent="0.35">
      <c r="A592" s="14"/>
      <c r="B592" s="14"/>
      <c r="C592" s="9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1"/>
      <c r="S592" s="36"/>
      <c r="T592" s="8"/>
      <c r="U592" s="8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</row>
    <row r="593" spans="1:38" ht="15.75" customHeight="1" x14ac:dyDescent="0.35">
      <c r="A593" s="14"/>
      <c r="B593" s="14"/>
      <c r="C593" s="9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1"/>
      <c r="S593" s="36"/>
      <c r="T593" s="8"/>
      <c r="U593" s="8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</row>
    <row r="594" spans="1:38" ht="15.75" customHeight="1" x14ac:dyDescent="0.35">
      <c r="A594" s="14"/>
      <c r="B594" s="14"/>
      <c r="C594" s="9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1"/>
      <c r="S594" s="36"/>
      <c r="T594" s="8"/>
      <c r="U594" s="8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</row>
    <row r="595" spans="1:38" ht="15.75" customHeight="1" x14ac:dyDescent="0.35">
      <c r="A595" s="14"/>
      <c r="B595" s="14"/>
      <c r="C595" s="9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1"/>
      <c r="S595" s="36"/>
      <c r="T595" s="8"/>
      <c r="U595" s="8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</row>
    <row r="596" spans="1:38" ht="15.75" customHeight="1" x14ac:dyDescent="0.35">
      <c r="A596" s="14"/>
      <c r="B596" s="14"/>
      <c r="C596" s="9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1"/>
      <c r="S596" s="36"/>
      <c r="T596" s="8"/>
      <c r="U596" s="8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</row>
    <row r="597" spans="1:38" ht="15.75" customHeight="1" x14ac:dyDescent="0.35">
      <c r="A597" s="14"/>
      <c r="B597" s="14"/>
      <c r="C597" s="9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1"/>
      <c r="S597" s="36"/>
      <c r="T597" s="8"/>
      <c r="U597" s="8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</row>
    <row r="598" spans="1:38" ht="15.75" customHeight="1" x14ac:dyDescent="0.35">
      <c r="A598" s="14"/>
      <c r="B598" s="14"/>
      <c r="C598" s="9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1"/>
      <c r="S598" s="36"/>
      <c r="T598" s="8"/>
      <c r="U598" s="8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</row>
    <row r="599" spans="1:38" ht="15.75" customHeight="1" x14ac:dyDescent="0.35">
      <c r="A599" s="14"/>
      <c r="B599" s="14"/>
      <c r="C599" s="9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1"/>
      <c r="S599" s="36"/>
      <c r="T599" s="8"/>
      <c r="U599" s="8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</row>
    <row r="600" spans="1:38" ht="15.75" customHeight="1" x14ac:dyDescent="0.35">
      <c r="A600" s="14"/>
      <c r="B600" s="14"/>
      <c r="C600" s="9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1"/>
      <c r="S600" s="36"/>
      <c r="T600" s="8"/>
      <c r="U600" s="8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</row>
    <row r="601" spans="1:38" ht="15.75" customHeight="1" x14ac:dyDescent="0.35">
      <c r="A601" s="14"/>
      <c r="B601" s="14"/>
      <c r="C601" s="9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1"/>
      <c r="S601" s="36"/>
      <c r="T601" s="8"/>
      <c r="U601" s="8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</row>
    <row r="602" spans="1:38" ht="15.75" customHeight="1" x14ac:dyDescent="0.35">
      <c r="A602" s="14"/>
      <c r="B602" s="14"/>
      <c r="C602" s="9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1"/>
      <c r="S602" s="36"/>
      <c r="T602" s="8"/>
      <c r="U602" s="8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</row>
    <row r="603" spans="1:38" ht="15.75" customHeight="1" x14ac:dyDescent="0.35">
      <c r="A603" s="14"/>
      <c r="B603" s="14"/>
      <c r="C603" s="9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1"/>
      <c r="S603" s="36"/>
      <c r="T603" s="8"/>
      <c r="U603" s="8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</row>
    <row r="604" spans="1:38" ht="15.75" customHeight="1" x14ac:dyDescent="0.35">
      <c r="A604" s="14"/>
      <c r="B604" s="14"/>
      <c r="C604" s="9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1"/>
      <c r="S604" s="36"/>
      <c r="T604" s="8"/>
      <c r="U604" s="8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</row>
    <row r="605" spans="1:38" ht="15.75" customHeight="1" x14ac:dyDescent="0.35">
      <c r="A605" s="14"/>
      <c r="B605" s="14"/>
      <c r="C605" s="9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1"/>
      <c r="S605" s="36"/>
      <c r="T605" s="8"/>
      <c r="U605" s="8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</row>
    <row r="606" spans="1:38" ht="15.75" customHeight="1" x14ac:dyDescent="0.35">
      <c r="A606" s="14"/>
      <c r="B606" s="14"/>
      <c r="C606" s="9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1"/>
      <c r="S606" s="36"/>
      <c r="T606" s="8"/>
      <c r="U606" s="8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</row>
    <row r="607" spans="1:38" ht="15.75" customHeight="1" x14ac:dyDescent="0.35">
      <c r="A607" s="14"/>
      <c r="B607" s="14"/>
      <c r="C607" s="9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1"/>
      <c r="S607" s="36"/>
      <c r="T607" s="8"/>
      <c r="U607" s="8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</row>
    <row r="608" spans="1:38" ht="15.75" customHeight="1" x14ac:dyDescent="0.35">
      <c r="A608" s="14"/>
      <c r="B608" s="14"/>
      <c r="C608" s="9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1"/>
      <c r="S608" s="36"/>
      <c r="T608" s="8"/>
      <c r="U608" s="8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</row>
    <row r="609" spans="1:38" ht="15.75" customHeight="1" x14ac:dyDescent="0.35">
      <c r="A609" s="14"/>
      <c r="B609" s="14"/>
      <c r="C609" s="9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1"/>
      <c r="S609" s="36"/>
      <c r="T609" s="8"/>
      <c r="U609" s="8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</row>
    <row r="610" spans="1:38" ht="15.75" customHeight="1" x14ac:dyDescent="0.35">
      <c r="A610" s="14"/>
      <c r="B610" s="14"/>
      <c r="C610" s="9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1"/>
      <c r="S610" s="36"/>
      <c r="T610" s="8"/>
      <c r="U610" s="8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</row>
    <row r="611" spans="1:38" ht="15.75" customHeight="1" x14ac:dyDescent="0.35">
      <c r="A611" s="14"/>
      <c r="B611" s="14"/>
      <c r="C611" s="9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1"/>
      <c r="S611" s="36"/>
      <c r="T611" s="8"/>
      <c r="U611" s="8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</row>
    <row r="612" spans="1:38" ht="15.75" customHeight="1" x14ac:dyDescent="0.35">
      <c r="A612" s="14"/>
      <c r="B612" s="14"/>
      <c r="C612" s="9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1"/>
      <c r="S612" s="36"/>
      <c r="T612" s="8"/>
      <c r="U612" s="8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</row>
    <row r="613" spans="1:38" ht="15.75" customHeight="1" x14ac:dyDescent="0.35">
      <c r="A613" s="14"/>
      <c r="B613" s="14"/>
      <c r="C613" s="9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1"/>
      <c r="S613" s="36"/>
      <c r="T613" s="8"/>
      <c r="U613" s="8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</row>
    <row r="614" spans="1:38" ht="15.75" customHeight="1" x14ac:dyDescent="0.35">
      <c r="A614" s="14"/>
      <c r="B614" s="14"/>
      <c r="C614" s="9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1"/>
      <c r="S614" s="36"/>
      <c r="T614" s="8"/>
      <c r="U614" s="8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</row>
    <row r="615" spans="1:38" ht="15.75" customHeight="1" x14ac:dyDescent="0.35">
      <c r="A615" s="14"/>
      <c r="B615" s="14"/>
      <c r="C615" s="9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1"/>
      <c r="S615" s="36"/>
      <c r="T615" s="8"/>
      <c r="U615" s="8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</row>
    <row r="616" spans="1:38" ht="15.75" customHeight="1" x14ac:dyDescent="0.35">
      <c r="A616" s="14"/>
      <c r="B616" s="14"/>
      <c r="C616" s="9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1"/>
      <c r="S616" s="36"/>
      <c r="T616" s="8"/>
      <c r="U616" s="8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</row>
    <row r="617" spans="1:38" ht="15.75" customHeight="1" x14ac:dyDescent="0.35">
      <c r="A617" s="14"/>
      <c r="B617" s="14"/>
      <c r="C617" s="9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1"/>
      <c r="S617" s="36"/>
      <c r="T617" s="8"/>
      <c r="U617" s="8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</row>
    <row r="618" spans="1:38" ht="15.75" customHeight="1" x14ac:dyDescent="0.35">
      <c r="A618" s="14"/>
      <c r="B618" s="14"/>
      <c r="C618" s="9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1"/>
      <c r="S618" s="36"/>
      <c r="T618" s="8"/>
      <c r="U618" s="8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</row>
    <row r="619" spans="1:38" ht="15.75" customHeight="1" x14ac:dyDescent="0.35">
      <c r="A619" s="14"/>
      <c r="B619" s="14"/>
      <c r="C619" s="9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1"/>
      <c r="S619" s="36"/>
      <c r="T619" s="8"/>
      <c r="U619" s="8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</row>
    <row r="620" spans="1:38" ht="15.75" customHeight="1" x14ac:dyDescent="0.35">
      <c r="A620" s="14"/>
      <c r="B620" s="14"/>
      <c r="C620" s="9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1"/>
      <c r="S620" s="36"/>
      <c r="T620" s="8"/>
      <c r="U620" s="8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</row>
    <row r="621" spans="1:38" ht="15.75" customHeight="1" x14ac:dyDescent="0.35">
      <c r="A621" s="14"/>
      <c r="B621" s="14"/>
      <c r="C621" s="9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1"/>
      <c r="S621" s="36"/>
      <c r="T621" s="8"/>
      <c r="U621" s="8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</row>
    <row r="622" spans="1:38" ht="15.75" customHeight="1" x14ac:dyDescent="0.35">
      <c r="A622" s="14"/>
      <c r="B622" s="14"/>
      <c r="C622" s="9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1"/>
      <c r="S622" s="36"/>
      <c r="T622" s="8"/>
      <c r="U622" s="8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</row>
    <row r="623" spans="1:38" ht="15.75" customHeight="1" x14ac:dyDescent="0.35">
      <c r="A623" s="14"/>
      <c r="B623" s="14"/>
      <c r="C623" s="9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1"/>
      <c r="S623" s="36"/>
      <c r="T623" s="8"/>
      <c r="U623" s="8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</row>
    <row r="624" spans="1:38" ht="15.75" customHeight="1" x14ac:dyDescent="0.35">
      <c r="A624" s="14"/>
      <c r="B624" s="14"/>
      <c r="C624" s="9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1"/>
      <c r="S624" s="36"/>
      <c r="T624" s="8"/>
      <c r="U624" s="8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</row>
    <row r="625" spans="1:38" ht="15.75" customHeight="1" x14ac:dyDescent="0.35">
      <c r="A625" s="14"/>
      <c r="B625" s="14"/>
      <c r="C625" s="9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1"/>
      <c r="S625" s="36"/>
      <c r="T625" s="8"/>
      <c r="U625" s="8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</row>
    <row r="626" spans="1:38" ht="15.75" customHeight="1" x14ac:dyDescent="0.35">
      <c r="A626" s="14"/>
      <c r="B626" s="14"/>
      <c r="C626" s="9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1"/>
      <c r="S626" s="36"/>
      <c r="T626" s="8"/>
      <c r="U626" s="8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</row>
    <row r="627" spans="1:38" ht="15.75" customHeight="1" x14ac:dyDescent="0.35">
      <c r="A627" s="14"/>
      <c r="B627" s="14"/>
      <c r="C627" s="9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1"/>
      <c r="S627" s="36"/>
      <c r="T627" s="8"/>
      <c r="U627" s="8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</row>
    <row r="628" spans="1:38" ht="15.75" customHeight="1" x14ac:dyDescent="0.35">
      <c r="A628" s="14"/>
      <c r="B628" s="14"/>
      <c r="C628" s="9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1"/>
      <c r="S628" s="36"/>
      <c r="T628" s="8"/>
      <c r="U628" s="8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</row>
    <row r="629" spans="1:38" ht="15.75" customHeight="1" x14ac:dyDescent="0.35">
      <c r="A629" s="14"/>
      <c r="B629" s="14"/>
      <c r="C629" s="9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1"/>
      <c r="S629" s="36"/>
      <c r="T629" s="8"/>
      <c r="U629" s="8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</row>
    <row r="630" spans="1:38" ht="15.75" customHeight="1" x14ac:dyDescent="0.35">
      <c r="A630" s="14"/>
      <c r="B630" s="14"/>
      <c r="C630" s="9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1"/>
      <c r="S630" s="36"/>
      <c r="T630" s="8"/>
      <c r="U630" s="8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</row>
    <row r="631" spans="1:38" ht="15.75" customHeight="1" x14ac:dyDescent="0.35">
      <c r="A631" s="14"/>
      <c r="B631" s="14"/>
      <c r="C631" s="9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1"/>
      <c r="S631" s="36"/>
      <c r="T631" s="8"/>
      <c r="U631" s="8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</row>
    <row r="632" spans="1:38" ht="15.75" customHeight="1" x14ac:dyDescent="0.35">
      <c r="A632" s="14"/>
      <c r="B632" s="14"/>
      <c r="C632" s="9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1"/>
      <c r="S632" s="36"/>
      <c r="T632" s="8"/>
      <c r="U632" s="8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</row>
    <row r="633" spans="1:38" ht="15.75" customHeight="1" x14ac:dyDescent="0.35">
      <c r="A633" s="14"/>
      <c r="B633" s="14"/>
      <c r="C633" s="9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1"/>
      <c r="S633" s="36"/>
      <c r="T633" s="8"/>
      <c r="U633" s="8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</row>
    <row r="634" spans="1:38" ht="15.75" customHeight="1" x14ac:dyDescent="0.35">
      <c r="A634" s="14"/>
      <c r="B634" s="14"/>
      <c r="C634" s="9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1"/>
      <c r="S634" s="36"/>
      <c r="T634" s="8"/>
      <c r="U634" s="8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</row>
    <row r="635" spans="1:38" ht="15.75" customHeight="1" x14ac:dyDescent="0.35">
      <c r="A635" s="14"/>
      <c r="B635" s="14"/>
      <c r="C635" s="9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1"/>
      <c r="S635" s="36"/>
      <c r="T635" s="8"/>
      <c r="U635" s="8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</row>
    <row r="636" spans="1:38" ht="15.75" customHeight="1" x14ac:dyDescent="0.35">
      <c r="A636" s="14"/>
      <c r="B636" s="14"/>
      <c r="C636" s="9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1"/>
      <c r="S636" s="36"/>
      <c r="T636" s="8"/>
      <c r="U636" s="8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</row>
    <row r="637" spans="1:38" ht="15.75" customHeight="1" x14ac:dyDescent="0.35">
      <c r="A637" s="14"/>
      <c r="B637" s="14"/>
      <c r="C637" s="9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1"/>
      <c r="S637" s="36"/>
      <c r="T637" s="8"/>
      <c r="U637" s="8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</row>
    <row r="638" spans="1:38" ht="15.75" customHeight="1" x14ac:dyDescent="0.35">
      <c r="A638" s="14"/>
      <c r="B638" s="14"/>
      <c r="C638" s="9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1"/>
      <c r="S638" s="36"/>
      <c r="T638" s="8"/>
      <c r="U638" s="8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</row>
    <row r="639" spans="1:38" ht="15.75" customHeight="1" x14ac:dyDescent="0.35">
      <c r="A639" s="14"/>
      <c r="B639" s="14"/>
      <c r="C639" s="9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1"/>
      <c r="S639" s="36"/>
      <c r="T639" s="8"/>
      <c r="U639" s="8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</row>
    <row r="640" spans="1:38" ht="15.75" customHeight="1" x14ac:dyDescent="0.35">
      <c r="A640" s="14"/>
      <c r="B640" s="14"/>
      <c r="C640" s="9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1"/>
      <c r="S640" s="36"/>
      <c r="T640" s="8"/>
      <c r="U640" s="8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</row>
    <row r="641" spans="1:38" ht="15.75" customHeight="1" x14ac:dyDescent="0.35">
      <c r="A641" s="14"/>
      <c r="B641" s="14"/>
      <c r="C641" s="9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1"/>
      <c r="S641" s="36"/>
      <c r="T641" s="8"/>
      <c r="U641" s="8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</row>
    <row r="642" spans="1:38" ht="15.75" customHeight="1" x14ac:dyDescent="0.35">
      <c r="A642" s="14"/>
      <c r="B642" s="14"/>
      <c r="C642" s="9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1"/>
      <c r="S642" s="36"/>
      <c r="T642" s="8"/>
      <c r="U642" s="8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</row>
    <row r="643" spans="1:38" ht="15.75" customHeight="1" x14ac:dyDescent="0.35">
      <c r="A643" s="14"/>
      <c r="B643" s="14"/>
      <c r="C643" s="9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1"/>
      <c r="S643" s="36"/>
      <c r="T643" s="8"/>
      <c r="U643" s="8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</row>
    <row r="644" spans="1:38" ht="15.75" customHeight="1" x14ac:dyDescent="0.35">
      <c r="A644" s="14"/>
      <c r="B644" s="14"/>
      <c r="C644" s="9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1"/>
      <c r="S644" s="36"/>
      <c r="T644" s="8"/>
      <c r="U644" s="8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</row>
    <row r="645" spans="1:38" ht="15.75" customHeight="1" x14ac:dyDescent="0.35">
      <c r="A645" s="14"/>
      <c r="B645" s="14"/>
      <c r="C645" s="9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1"/>
      <c r="S645" s="36"/>
      <c r="T645" s="8"/>
      <c r="U645" s="8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</row>
    <row r="646" spans="1:38" ht="15.75" customHeight="1" x14ac:dyDescent="0.35">
      <c r="A646" s="14"/>
      <c r="B646" s="14"/>
      <c r="C646" s="9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1"/>
      <c r="S646" s="36"/>
      <c r="T646" s="8"/>
      <c r="U646" s="8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</row>
    <row r="647" spans="1:38" ht="15.75" customHeight="1" x14ac:dyDescent="0.35">
      <c r="A647" s="14"/>
      <c r="B647" s="14"/>
      <c r="C647" s="9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1"/>
      <c r="S647" s="36"/>
      <c r="T647" s="8"/>
      <c r="U647" s="8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</row>
    <row r="648" spans="1:38" ht="15.75" customHeight="1" x14ac:dyDescent="0.35">
      <c r="A648" s="14"/>
      <c r="B648" s="14"/>
      <c r="C648" s="9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1"/>
      <c r="S648" s="36"/>
      <c r="T648" s="8"/>
      <c r="U648" s="8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</row>
    <row r="649" spans="1:38" ht="15.75" customHeight="1" x14ac:dyDescent="0.35">
      <c r="A649" s="14"/>
      <c r="B649" s="14"/>
      <c r="C649" s="9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1"/>
      <c r="S649" s="36"/>
      <c r="T649" s="8"/>
      <c r="U649" s="8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</row>
    <row r="650" spans="1:38" ht="15.75" customHeight="1" x14ac:dyDescent="0.35">
      <c r="A650" s="14"/>
      <c r="B650" s="14"/>
      <c r="C650" s="9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1"/>
      <c r="S650" s="36"/>
      <c r="T650" s="8"/>
      <c r="U650" s="8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</row>
    <row r="651" spans="1:38" ht="15.75" customHeight="1" x14ac:dyDescent="0.35">
      <c r="A651" s="14"/>
      <c r="B651" s="14"/>
      <c r="C651" s="9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1"/>
      <c r="S651" s="36"/>
      <c r="T651" s="8"/>
      <c r="U651" s="8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</row>
    <row r="652" spans="1:38" ht="15.75" customHeight="1" x14ac:dyDescent="0.35">
      <c r="A652" s="14"/>
      <c r="B652" s="14"/>
      <c r="C652" s="9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1"/>
      <c r="S652" s="36"/>
      <c r="T652" s="8"/>
      <c r="U652" s="8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</row>
    <row r="653" spans="1:38" ht="15.75" customHeight="1" x14ac:dyDescent="0.35">
      <c r="A653" s="14"/>
      <c r="B653" s="14"/>
      <c r="C653" s="9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1"/>
      <c r="S653" s="36"/>
      <c r="T653" s="8"/>
      <c r="U653" s="8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</row>
    <row r="654" spans="1:38" ht="15.75" customHeight="1" x14ac:dyDescent="0.35">
      <c r="A654" s="14"/>
      <c r="B654" s="14"/>
      <c r="C654" s="9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1"/>
      <c r="S654" s="36"/>
      <c r="T654" s="8"/>
      <c r="U654" s="8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</row>
    <row r="655" spans="1:38" ht="15.75" customHeight="1" x14ac:dyDescent="0.35">
      <c r="A655" s="14"/>
      <c r="B655" s="14"/>
      <c r="C655" s="9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1"/>
      <c r="S655" s="36"/>
      <c r="T655" s="8"/>
      <c r="U655" s="8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</row>
    <row r="656" spans="1:38" ht="15.75" customHeight="1" x14ac:dyDescent="0.35">
      <c r="A656" s="14"/>
      <c r="B656" s="14"/>
      <c r="C656" s="9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1"/>
      <c r="S656" s="36"/>
      <c r="T656" s="8"/>
      <c r="U656" s="8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</row>
    <row r="657" spans="1:38" ht="15.75" customHeight="1" x14ac:dyDescent="0.35">
      <c r="A657" s="14"/>
      <c r="B657" s="14"/>
      <c r="C657" s="9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1"/>
      <c r="S657" s="36"/>
      <c r="T657" s="8"/>
      <c r="U657" s="8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</row>
    <row r="658" spans="1:38" ht="15.75" customHeight="1" x14ac:dyDescent="0.35">
      <c r="A658" s="14"/>
      <c r="B658" s="14"/>
      <c r="C658" s="9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1"/>
      <c r="S658" s="36"/>
      <c r="T658" s="8"/>
      <c r="U658" s="8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</row>
    <row r="659" spans="1:38" ht="15.75" customHeight="1" x14ac:dyDescent="0.35">
      <c r="A659" s="14"/>
      <c r="B659" s="14"/>
      <c r="C659" s="9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1"/>
      <c r="S659" s="36"/>
      <c r="T659" s="8"/>
      <c r="U659" s="8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</row>
    <row r="660" spans="1:38" ht="15.75" customHeight="1" x14ac:dyDescent="0.35">
      <c r="A660" s="14"/>
      <c r="B660" s="14"/>
      <c r="C660" s="9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1"/>
      <c r="S660" s="36"/>
      <c r="T660" s="8"/>
      <c r="U660" s="8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</row>
    <row r="661" spans="1:38" ht="15.75" customHeight="1" x14ac:dyDescent="0.35">
      <c r="A661" s="14"/>
      <c r="B661" s="14"/>
      <c r="C661" s="9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1"/>
      <c r="S661" s="36"/>
      <c r="T661" s="8"/>
      <c r="U661" s="8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</row>
    <row r="662" spans="1:38" ht="15.75" customHeight="1" x14ac:dyDescent="0.35">
      <c r="A662" s="14"/>
      <c r="B662" s="14"/>
      <c r="C662" s="9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1"/>
      <c r="S662" s="36"/>
      <c r="T662" s="8"/>
      <c r="U662" s="8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</row>
    <row r="663" spans="1:38" ht="15.75" customHeight="1" x14ac:dyDescent="0.35">
      <c r="A663" s="14"/>
      <c r="B663" s="14"/>
      <c r="C663" s="9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1"/>
      <c r="S663" s="36"/>
      <c r="T663" s="8"/>
      <c r="U663" s="8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</row>
    <row r="664" spans="1:38" ht="15.75" customHeight="1" x14ac:dyDescent="0.35">
      <c r="A664" s="14"/>
      <c r="B664" s="14"/>
      <c r="C664" s="9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1"/>
      <c r="S664" s="36"/>
      <c r="T664" s="8"/>
      <c r="U664" s="8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</row>
    <row r="665" spans="1:38" ht="15.75" customHeight="1" x14ac:dyDescent="0.35">
      <c r="A665" s="14"/>
      <c r="B665" s="14"/>
      <c r="C665" s="9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1"/>
      <c r="S665" s="36"/>
      <c r="T665" s="8"/>
      <c r="U665" s="8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</row>
    <row r="666" spans="1:38" ht="15.75" customHeight="1" x14ac:dyDescent="0.35">
      <c r="A666" s="14"/>
      <c r="B666" s="14"/>
      <c r="C666" s="9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1"/>
      <c r="S666" s="36"/>
      <c r="T666" s="8"/>
      <c r="U666" s="8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</row>
    <row r="667" spans="1:38" ht="15.75" customHeight="1" x14ac:dyDescent="0.35">
      <c r="A667" s="14"/>
      <c r="B667" s="14"/>
      <c r="C667" s="9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1"/>
      <c r="S667" s="36"/>
      <c r="T667" s="8"/>
      <c r="U667" s="8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</row>
    <row r="668" spans="1:38" ht="15.75" customHeight="1" x14ac:dyDescent="0.35">
      <c r="A668" s="14"/>
      <c r="B668" s="14"/>
      <c r="C668" s="9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1"/>
      <c r="S668" s="36"/>
      <c r="T668" s="8"/>
      <c r="U668" s="8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</row>
    <row r="669" spans="1:38" ht="15.75" customHeight="1" x14ac:dyDescent="0.35">
      <c r="A669" s="14"/>
      <c r="B669" s="14"/>
      <c r="C669" s="9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1"/>
      <c r="S669" s="36"/>
      <c r="T669" s="8"/>
      <c r="U669" s="8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</row>
    <row r="670" spans="1:38" ht="15.75" customHeight="1" x14ac:dyDescent="0.35">
      <c r="A670" s="14"/>
      <c r="B670" s="14"/>
      <c r="C670" s="9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1"/>
      <c r="S670" s="36"/>
      <c r="T670" s="8"/>
      <c r="U670" s="8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</row>
    <row r="671" spans="1:38" ht="15.75" customHeight="1" x14ac:dyDescent="0.35">
      <c r="A671" s="14"/>
      <c r="B671" s="14"/>
      <c r="C671" s="9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1"/>
      <c r="S671" s="36"/>
      <c r="T671" s="8"/>
      <c r="U671" s="8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</row>
    <row r="672" spans="1:38" ht="15.75" customHeight="1" x14ac:dyDescent="0.35">
      <c r="A672" s="14"/>
      <c r="B672" s="14"/>
      <c r="C672" s="9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1"/>
      <c r="S672" s="36"/>
      <c r="T672" s="8"/>
      <c r="U672" s="8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</row>
    <row r="673" spans="1:38" ht="15.75" customHeight="1" x14ac:dyDescent="0.35">
      <c r="A673" s="14"/>
      <c r="B673" s="14"/>
      <c r="C673" s="9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1"/>
      <c r="S673" s="36"/>
      <c r="T673" s="8"/>
      <c r="U673" s="8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</row>
    <row r="674" spans="1:38" ht="15.75" customHeight="1" x14ac:dyDescent="0.35">
      <c r="A674" s="14"/>
      <c r="B674" s="14"/>
      <c r="C674" s="9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1"/>
      <c r="S674" s="36"/>
      <c r="T674" s="8"/>
      <c r="U674" s="8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</row>
    <row r="675" spans="1:38" ht="15.75" customHeight="1" x14ac:dyDescent="0.35">
      <c r="A675" s="14"/>
      <c r="B675" s="14"/>
      <c r="C675" s="9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1"/>
      <c r="S675" s="36"/>
      <c r="T675" s="8"/>
      <c r="U675" s="8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</row>
    <row r="676" spans="1:38" ht="15.75" customHeight="1" x14ac:dyDescent="0.35">
      <c r="A676" s="14"/>
      <c r="B676" s="14"/>
      <c r="C676" s="9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1"/>
      <c r="S676" s="36"/>
      <c r="T676" s="8"/>
      <c r="U676" s="8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</row>
    <row r="677" spans="1:38" ht="15.75" customHeight="1" x14ac:dyDescent="0.35">
      <c r="A677" s="14"/>
      <c r="B677" s="14"/>
      <c r="C677" s="9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1"/>
      <c r="S677" s="36"/>
      <c r="T677" s="8"/>
      <c r="U677" s="8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</row>
    <row r="678" spans="1:38" ht="15.75" customHeight="1" x14ac:dyDescent="0.35">
      <c r="A678" s="14"/>
      <c r="B678" s="14"/>
      <c r="C678" s="9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1"/>
      <c r="S678" s="36"/>
      <c r="T678" s="8"/>
      <c r="U678" s="8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</row>
    <row r="679" spans="1:38" ht="15.75" customHeight="1" x14ac:dyDescent="0.35">
      <c r="A679" s="14"/>
      <c r="B679" s="14"/>
      <c r="C679" s="9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1"/>
      <c r="S679" s="36"/>
      <c r="T679" s="8"/>
      <c r="U679" s="8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</row>
    <row r="680" spans="1:38" ht="15.75" customHeight="1" x14ac:dyDescent="0.35">
      <c r="A680" s="14"/>
      <c r="B680" s="14"/>
      <c r="C680" s="9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1"/>
      <c r="S680" s="36"/>
      <c r="T680" s="8"/>
      <c r="U680" s="8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</row>
    <row r="681" spans="1:38" ht="15.75" customHeight="1" x14ac:dyDescent="0.35">
      <c r="A681" s="14"/>
      <c r="B681" s="14"/>
      <c r="C681" s="9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1"/>
      <c r="S681" s="36"/>
      <c r="T681" s="8"/>
      <c r="U681" s="8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</row>
    <row r="682" spans="1:38" ht="15.75" customHeight="1" x14ac:dyDescent="0.35">
      <c r="A682" s="14"/>
      <c r="B682" s="14"/>
      <c r="C682" s="9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1"/>
      <c r="S682" s="36"/>
      <c r="T682" s="8"/>
      <c r="U682" s="8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</row>
    <row r="683" spans="1:38" ht="15.75" customHeight="1" x14ac:dyDescent="0.35">
      <c r="A683" s="14"/>
      <c r="B683" s="14"/>
      <c r="C683" s="9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1"/>
      <c r="S683" s="36"/>
      <c r="T683" s="8"/>
      <c r="U683" s="8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</row>
    <row r="684" spans="1:38" ht="15.75" customHeight="1" x14ac:dyDescent="0.35">
      <c r="A684" s="14"/>
      <c r="B684" s="14"/>
      <c r="C684" s="9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1"/>
      <c r="S684" s="36"/>
      <c r="T684" s="8"/>
      <c r="U684" s="8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</row>
    <row r="685" spans="1:38" ht="15.75" customHeight="1" x14ac:dyDescent="0.35">
      <c r="A685" s="14"/>
      <c r="B685" s="14"/>
      <c r="C685" s="9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1"/>
      <c r="S685" s="36"/>
      <c r="T685" s="8"/>
      <c r="U685" s="8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</row>
    <row r="686" spans="1:38" ht="15.75" customHeight="1" x14ac:dyDescent="0.35">
      <c r="A686" s="14"/>
      <c r="B686" s="14"/>
      <c r="C686" s="9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1"/>
      <c r="S686" s="36"/>
      <c r="T686" s="8"/>
      <c r="U686" s="8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</row>
    <row r="687" spans="1:38" ht="15.75" customHeight="1" x14ac:dyDescent="0.35">
      <c r="A687" s="14"/>
      <c r="B687" s="14"/>
      <c r="C687" s="9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1"/>
      <c r="S687" s="36"/>
      <c r="T687" s="8"/>
      <c r="U687" s="8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</row>
    <row r="688" spans="1:38" ht="15.75" customHeight="1" x14ac:dyDescent="0.35">
      <c r="A688" s="14"/>
      <c r="B688" s="14"/>
      <c r="C688" s="9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1"/>
      <c r="S688" s="36"/>
      <c r="T688" s="8"/>
      <c r="U688" s="8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</row>
    <row r="689" spans="1:38" ht="15.75" customHeight="1" x14ac:dyDescent="0.35">
      <c r="A689" s="14"/>
      <c r="B689" s="14"/>
      <c r="C689" s="9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1"/>
      <c r="S689" s="36"/>
      <c r="T689" s="8"/>
      <c r="U689" s="8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</row>
    <row r="690" spans="1:38" ht="15.75" customHeight="1" x14ac:dyDescent="0.35">
      <c r="A690" s="14"/>
      <c r="B690" s="14"/>
      <c r="C690" s="9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1"/>
      <c r="S690" s="36"/>
      <c r="T690" s="8"/>
      <c r="U690" s="8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</row>
    <row r="691" spans="1:38" ht="15.75" customHeight="1" x14ac:dyDescent="0.35">
      <c r="A691" s="14"/>
      <c r="B691" s="14"/>
      <c r="C691" s="9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1"/>
      <c r="S691" s="36"/>
      <c r="T691" s="8"/>
      <c r="U691" s="8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</row>
    <row r="692" spans="1:38" ht="15.75" customHeight="1" x14ac:dyDescent="0.35">
      <c r="A692" s="14"/>
      <c r="B692" s="14"/>
      <c r="C692" s="9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1"/>
      <c r="S692" s="36"/>
      <c r="T692" s="8"/>
      <c r="U692" s="8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</row>
    <row r="693" spans="1:38" ht="15.75" customHeight="1" x14ac:dyDescent="0.35">
      <c r="A693" s="14"/>
      <c r="B693" s="14"/>
      <c r="C693" s="9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1"/>
      <c r="S693" s="36"/>
      <c r="T693" s="8"/>
      <c r="U693" s="8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</row>
    <row r="694" spans="1:38" ht="15.75" customHeight="1" x14ac:dyDescent="0.35">
      <c r="A694" s="14"/>
      <c r="B694" s="14"/>
      <c r="C694" s="9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1"/>
      <c r="S694" s="36"/>
      <c r="T694" s="8"/>
      <c r="U694" s="8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</row>
    <row r="695" spans="1:38" ht="15.75" customHeight="1" x14ac:dyDescent="0.35">
      <c r="A695" s="14"/>
      <c r="B695" s="14"/>
      <c r="C695" s="9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1"/>
      <c r="S695" s="36"/>
      <c r="T695" s="8"/>
      <c r="U695" s="8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</row>
    <row r="696" spans="1:38" ht="15.75" customHeight="1" x14ac:dyDescent="0.35">
      <c r="A696" s="14"/>
      <c r="B696" s="14"/>
      <c r="C696" s="9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1"/>
      <c r="S696" s="36"/>
      <c r="T696" s="8"/>
      <c r="U696" s="8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</row>
    <row r="697" spans="1:38" ht="15.75" customHeight="1" x14ac:dyDescent="0.35">
      <c r="A697" s="14"/>
      <c r="B697" s="14"/>
      <c r="C697" s="9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1"/>
      <c r="S697" s="36"/>
      <c r="T697" s="8"/>
      <c r="U697" s="8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</row>
    <row r="698" spans="1:38" ht="15.75" customHeight="1" x14ac:dyDescent="0.35">
      <c r="A698" s="14"/>
      <c r="B698" s="14"/>
      <c r="C698" s="9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1"/>
      <c r="S698" s="36"/>
      <c r="T698" s="8"/>
      <c r="U698" s="8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</row>
    <row r="699" spans="1:38" ht="15.75" customHeight="1" x14ac:dyDescent="0.35">
      <c r="A699" s="14"/>
      <c r="B699" s="14"/>
      <c r="C699" s="9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1"/>
      <c r="S699" s="36"/>
      <c r="T699" s="8"/>
      <c r="U699" s="8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</row>
    <row r="700" spans="1:38" ht="15.75" customHeight="1" x14ac:dyDescent="0.35">
      <c r="A700" s="14"/>
      <c r="B700" s="14"/>
      <c r="C700" s="9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1"/>
      <c r="S700" s="36"/>
      <c r="T700" s="8"/>
      <c r="U700" s="8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</row>
    <row r="701" spans="1:38" ht="15.75" customHeight="1" x14ac:dyDescent="0.35">
      <c r="A701" s="14"/>
      <c r="B701" s="14"/>
      <c r="C701" s="9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1"/>
      <c r="S701" s="36"/>
      <c r="T701" s="8"/>
      <c r="U701" s="8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</row>
    <row r="702" spans="1:38" ht="15.75" customHeight="1" x14ac:dyDescent="0.35">
      <c r="A702" s="14"/>
      <c r="B702" s="14"/>
      <c r="C702" s="9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1"/>
      <c r="S702" s="36"/>
      <c r="T702" s="8"/>
      <c r="U702" s="8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</row>
    <row r="703" spans="1:38" ht="15.75" customHeight="1" x14ac:dyDescent="0.35">
      <c r="A703" s="14"/>
      <c r="B703" s="14"/>
      <c r="C703" s="9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1"/>
      <c r="S703" s="36"/>
      <c r="T703" s="8"/>
      <c r="U703" s="8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</row>
    <row r="704" spans="1:38" ht="15.75" customHeight="1" x14ac:dyDescent="0.35">
      <c r="A704" s="14"/>
      <c r="B704" s="14"/>
      <c r="C704" s="9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1"/>
      <c r="S704" s="36"/>
      <c r="T704" s="8"/>
      <c r="U704" s="8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</row>
    <row r="705" spans="1:38" ht="15.75" customHeight="1" x14ac:dyDescent="0.35">
      <c r="A705" s="14"/>
      <c r="B705" s="14"/>
      <c r="C705" s="9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1"/>
      <c r="S705" s="36"/>
      <c r="T705" s="8"/>
      <c r="U705" s="8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</row>
    <row r="706" spans="1:38" ht="15.75" customHeight="1" x14ac:dyDescent="0.35">
      <c r="A706" s="14"/>
      <c r="B706" s="14"/>
      <c r="C706" s="9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1"/>
      <c r="S706" s="36"/>
      <c r="T706" s="8"/>
      <c r="U706" s="8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</row>
    <row r="707" spans="1:38" ht="15.75" customHeight="1" x14ac:dyDescent="0.35">
      <c r="A707" s="14"/>
      <c r="B707" s="14"/>
      <c r="C707" s="9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1"/>
      <c r="S707" s="36"/>
      <c r="T707" s="8"/>
      <c r="U707" s="8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</row>
    <row r="708" spans="1:38" ht="15.75" customHeight="1" x14ac:dyDescent="0.35">
      <c r="A708" s="14"/>
      <c r="B708" s="14"/>
      <c r="C708" s="9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1"/>
      <c r="S708" s="36"/>
      <c r="T708" s="8"/>
      <c r="U708" s="8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</row>
    <row r="709" spans="1:38" ht="15.75" customHeight="1" x14ac:dyDescent="0.35">
      <c r="A709" s="14"/>
      <c r="B709" s="14"/>
      <c r="C709" s="9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1"/>
      <c r="S709" s="36"/>
      <c r="T709" s="8"/>
      <c r="U709" s="8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</row>
    <row r="710" spans="1:38" ht="15.75" customHeight="1" x14ac:dyDescent="0.35">
      <c r="A710" s="14"/>
      <c r="B710" s="14"/>
      <c r="C710" s="9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1"/>
      <c r="S710" s="36"/>
      <c r="T710" s="8"/>
      <c r="U710" s="8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</row>
    <row r="711" spans="1:38" ht="15.75" customHeight="1" x14ac:dyDescent="0.35">
      <c r="A711" s="14"/>
      <c r="B711" s="14"/>
      <c r="C711" s="9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1"/>
      <c r="S711" s="36"/>
      <c r="T711" s="8"/>
      <c r="U711" s="8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</row>
    <row r="712" spans="1:38" ht="15.75" customHeight="1" x14ac:dyDescent="0.35">
      <c r="A712" s="14"/>
      <c r="B712" s="14"/>
      <c r="C712" s="9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1"/>
      <c r="S712" s="36"/>
      <c r="T712" s="8"/>
      <c r="U712" s="8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</row>
    <row r="713" spans="1:38" ht="15.75" customHeight="1" x14ac:dyDescent="0.35">
      <c r="A713" s="14"/>
      <c r="B713" s="14"/>
      <c r="C713" s="9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1"/>
      <c r="S713" s="36"/>
      <c r="T713" s="8"/>
      <c r="U713" s="8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</row>
    <row r="714" spans="1:38" ht="15.75" customHeight="1" x14ac:dyDescent="0.35">
      <c r="A714" s="14"/>
      <c r="B714" s="14"/>
      <c r="C714" s="9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1"/>
      <c r="S714" s="36"/>
      <c r="T714" s="8"/>
      <c r="U714" s="8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</row>
    <row r="715" spans="1:38" ht="15.75" customHeight="1" x14ac:dyDescent="0.35">
      <c r="A715" s="14"/>
      <c r="B715" s="14"/>
      <c r="C715" s="9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1"/>
      <c r="S715" s="36"/>
      <c r="T715" s="8"/>
      <c r="U715" s="8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</row>
    <row r="716" spans="1:38" ht="15.75" customHeight="1" x14ac:dyDescent="0.35">
      <c r="A716" s="14"/>
      <c r="B716" s="14"/>
      <c r="C716" s="9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1"/>
      <c r="S716" s="36"/>
      <c r="T716" s="8"/>
      <c r="U716" s="8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</row>
    <row r="717" spans="1:38" ht="15.75" customHeight="1" x14ac:dyDescent="0.35">
      <c r="A717" s="14"/>
      <c r="B717" s="14"/>
      <c r="C717" s="9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1"/>
      <c r="S717" s="36"/>
      <c r="T717" s="8"/>
      <c r="U717" s="8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</row>
    <row r="718" spans="1:38" ht="15.75" customHeight="1" x14ac:dyDescent="0.35">
      <c r="A718" s="14"/>
      <c r="B718" s="14"/>
      <c r="C718" s="9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1"/>
      <c r="S718" s="36"/>
      <c r="T718" s="8"/>
      <c r="U718" s="8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</row>
    <row r="719" spans="1:38" ht="15.75" customHeight="1" x14ac:dyDescent="0.35">
      <c r="A719" s="14"/>
      <c r="B719" s="14"/>
      <c r="C719" s="9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1"/>
      <c r="S719" s="36"/>
      <c r="T719" s="8"/>
      <c r="U719" s="8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</row>
    <row r="720" spans="1:38" ht="15.75" customHeight="1" x14ac:dyDescent="0.35">
      <c r="A720" s="14"/>
      <c r="B720" s="14"/>
      <c r="C720" s="9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1"/>
      <c r="S720" s="36"/>
      <c r="T720" s="8"/>
      <c r="U720" s="8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</row>
    <row r="721" spans="1:38" ht="15.75" customHeight="1" x14ac:dyDescent="0.35">
      <c r="A721" s="14"/>
      <c r="B721" s="14"/>
      <c r="C721" s="9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1"/>
      <c r="S721" s="36"/>
      <c r="T721" s="8"/>
      <c r="U721" s="8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</row>
    <row r="722" spans="1:38" ht="15.75" customHeight="1" x14ac:dyDescent="0.35">
      <c r="A722" s="14"/>
      <c r="B722" s="14"/>
      <c r="C722" s="9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1"/>
      <c r="S722" s="36"/>
      <c r="T722" s="8"/>
      <c r="U722" s="8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</row>
    <row r="723" spans="1:38" ht="15.75" customHeight="1" x14ac:dyDescent="0.35">
      <c r="A723" s="14"/>
      <c r="B723" s="14"/>
      <c r="C723" s="9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1"/>
      <c r="S723" s="36"/>
      <c r="T723" s="8"/>
      <c r="U723" s="8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</row>
    <row r="724" spans="1:38" ht="15.75" customHeight="1" x14ac:dyDescent="0.35">
      <c r="A724" s="14"/>
      <c r="B724" s="14"/>
      <c r="C724" s="9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1"/>
      <c r="S724" s="36"/>
      <c r="T724" s="8"/>
      <c r="U724" s="8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</row>
    <row r="725" spans="1:38" ht="15.75" customHeight="1" x14ac:dyDescent="0.35">
      <c r="A725" s="14"/>
      <c r="B725" s="14"/>
      <c r="C725" s="9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1"/>
      <c r="S725" s="36"/>
      <c r="T725" s="8"/>
      <c r="U725" s="8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</row>
    <row r="726" spans="1:38" ht="15.75" customHeight="1" x14ac:dyDescent="0.35">
      <c r="A726" s="14"/>
      <c r="B726" s="14"/>
      <c r="C726" s="9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1"/>
      <c r="S726" s="36"/>
      <c r="T726" s="8"/>
      <c r="U726" s="8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</row>
    <row r="727" spans="1:38" ht="15.75" customHeight="1" x14ac:dyDescent="0.35">
      <c r="A727" s="14"/>
      <c r="B727" s="14"/>
      <c r="C727" s="9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1"/>
      <c r="S727" s="36"/>
      <c r="T727" s="8"/>
      <c r="U727" s="8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</row>
    <row r="728" spans="1:38" ht="15.75" customHeight="1" x14ac:dyDescent="0.35">
      <c r="A728" s="14"/>
      <c r="B728" s="14"/>
      <c r="C728" s="9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1"/>
      <c r="S728" s="36"/>
      <c r="T728" s="8"/>
      <c r="U728" s="8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</row>
    <row r="729" spans="1:38" ht="15.75" customHeight="1" x14ac:dyDescent="0.35">
      <c r="A729" s="14"/>
      <c r="B729" s="14"/>
      <c r="C729" s="9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1"/>
      <c r="S729" s="36"/>
      <c r="T729" s="8"/>
      <c r="U729" s="8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</row>
    <row r="730" spans="1:38" ht="15.75" customHeight="1" x14ac:dyDescent="0.35">
      <c r="A730" s="14"/>
      <c r="B730" s="14"/>
      <c r="C730" s="9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1"/>
      <c r="S730" s="36"/>
      <c r="T730" s="8"/>
      <c r="U730" s="8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</row>
    <row r="731" spans="1:38" ht="15.75" customHeight="1" x14ac:dyDescent="0.35">
      <c r="A731" s="14"/>
      <c r="B731" s="14"/>
      <c r="C731" s="9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1"/>
      <c r="S731" s="36"/>
      <c r="T731" s="8"/>
      <c r="U731" s="8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</row>
    <row r="732" spans="1:38" ht="15.75" customHeight="1" x14ac:dyDescent="0.35">
      <c r="A732" s="14"/>
      <c r="B732" s="14"/>
      <c r="C732" s="9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1"/>
      <c r="S732" s="36"/>
      <c r="T732" s="8"/>
      <c r="U732" s="8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</row>
    <row r="733" spans="1:38" ht="15.75" customHeight="1" x14ac:dyDescent="0.35">
      <c r="A733" s="14"/>
      <c r="B733" s="14"/>
      <c r="C733" s="9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1"/>
      <c r="S733" s="36"/>
      <c r="T733" s="8"/>
      <c r="U733" s="8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</row>
    <row r="734" spans="1:38" ht="15.75" customHeight="1" x14ac:dyDescent="0.35">
      <c r="A734" s="14"/>
      <c r="B734" s="14"/>
      <c r="C734" s="9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1"/>
      <c r="S734" s="36"/>
      <c r="T734" s="8"/>
      <c r="U734" s="8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</row>
    <row r="735" spans="1:38" ht="15.75" customHeight="1" x14ac:dyDescent="0.35">
      <c r="A735" s="14"/>
      <c r="B735" s="14"/>
      <c r="C735" s="9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1"/>
      <c r="S735" s="36"/>
      <c r="T735" s="8"/>
      <c r="U735" s="8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</row>
    <row r="736" spans="1:38" ht="15.75" customHeight="1" x14ac:dyDescent="0.35">
      <c r="A736" s="14"/>
      <c r="B736" s="14"/>
      <c r="C736" s="9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1"/>
      <c r="S736" s="36"/>
      <c r="T736" s="8"/>
      <c r="U736" s="8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</row>
    <row r="737" spans="1:38" ht="15.75" customHeight="1" x14ac:dyDescent="0.35">
      <c r="A737" s="14"/>
      <c r="B737" s="14"/>
      <c r="C737" s="9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1"/>
      <c r="S737" s="36"/>
      <c r="T737" s="8"/>
      <c r="U737" s="8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</row>
    <row r="738" spans="1:38" ht="15.75" customHeight="1" x14ac:dyDescent="0.35">
      <c r="A738" s="14"/>
      <c r="B738" s="14"/>
      <c r="C738" s="9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1"/>
      <c r="S738" s="36"/>
      <c r="T738" s="8"/>
      <c r="U738" s="8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</row>
    <row r="739" spans="1:38" ht="15.75" customHeight="1" x14ac:dyDescent="0.35">
      <c r="A739" s="14"/>
      <c r="B739" s="14"/>
      <c r="C739" s="9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1"/>
      <c r="S739" s="36"/>
      <c r="T739" s="8"/>
      <c r="U739" s="8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</row>
    <row r="740" spans="1:38" ht="15.75" customHeight="1" x14ac:dyDescent="0.35">
      <c r="A740" s="14"/>
      <c r="B740" s="14"/>
      <c r="C740" s="9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1"/>
      <c r="S740" s="36"/>
      <c r="T740" s="8"/>
      <c r="U740" s="8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</row>
    <row r="741" spans="1:38" ht="15.75" customHeight="1" x14ac:dyDescent="0.35">
      <c r="A741" s="14"/>
      <c r="B741" s="14"/>
      <c r="C741" s="9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1"/>
      <c r="S741" s="36"/>
      <c r="T741" s="8"/>
      <c r="U741" s="8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</row>
    <row r="742" spans="1:38" ht="15.75" customHeight="1" x14ac:dyDescent="0.35">
      <c r="A742" s="14"/>
      <c r="B742" s="14"/>
      <c r="C742" s="9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1"/>
      <c r="S742" s="36"/>
      <c r="T742" s="8"/>
      <c r="U742" s="8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</row>
    <row r="743" spans="1:38" ht="15.75" customHeight="1" x14ac:dyDescent="0.35">
      <c r="A743" s="14"/>
      <c r="B743" s="14"/>
      <c r="C743" s="9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1"/>
      <c r="S743" s="36"/>
      <c r="T743" s="8"/>
      <c r="U743" s="8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</row>
    <row r="744" spans="1:38" ht="15.75" customHeight="1" x14ac:dyDescent="0.35">
      <c r="A744" s="14"/>
      <c r="B744" s="14"/>
      <c r="C744" s="9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1"/>
      <c r="S744" s="36"/>
      <c r="T744" s="8"/>
      <c r="U744" s="8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</row>
    <row r="745" spans="1:38" ht="15.75" customHeight="1" x14ac:dyDescent="0.35">
      <c r="A745" s="14"/>
      <c r="B745" s="14"/>
      <c r="C745" s="9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1"/>
      <c r="S745" s="36"/>
      <c r="T745" s="8"/>
      <c r="U745" s="8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</row>
    <row r="746" spans="1:38" ht="15.75" customHeight="1" x14ac:dyDescent="0.35">
      <c r="A746" s="14"/>
      <c r="B746" s="14"/>
      <c r="C746" s="9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1"/>
      <c r="S746" s="36"/>
      <c r="T746" s="8"/>
      <c r="U746" s="8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</row>
    <row r="747" spans="1:38" ht="15.75" customHeight="1" x14ac:dyDescent="0.35">
      <c r="A747" s="14"/>
      <c r="B747" s="14"/>
      <c r="C747" s="9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1"/>
      <c r="S747" s="36"/>
      <c r="T747" s="8"/>
      <c r="U747" s="8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</row>
    <row r="748" spans="1:38" ht="15.75" customHeight="1" x14ac:dyDescent="0.35">
      <c r="A748" s="14"/>
      <c r="B748" s="14"/>
      <c r="C748" s="9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1"/>
      <c r="S748" s="36"/>
      <c r="T748" s="8"/>
      <c r="U748" s="8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</row>
    <row r="749" spans="1:38" ht="15.75" customHeight="1" x14ac:dyDescent="0.35">
      <c r="A749" s="14"/>
      <c r="B749" s="14"/>
      <c r="C749" s="9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1"/>
      <c r="S749" s="36"/>
      <c r="T749" s="8"/>
      <c r="U749" s="8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</row>
    <row r="750" spans="1:38" ht="15.75" customHeight="1" x14ac:dyDescent="0.35">
      <c r="A750" s="14"/>
      <c r="B750" s="14"/>
      <c r="C750" s="9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1"/>
      <c r="S750" s="36"/>
      <c r="T750" s="8"/>
      <c r="U750" s="8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</row>
    <row r="751" spans="1:38" ht="15.75" customHeight="1" x14ac:dyDescent="0.35">
      <c r="A751" s="14"/>
      <c r="B751" s="14"/>
      <c r="C751" s="9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1"/>
      <c r="S751" s="36"/>
      <c r="T751" s="8"/>
      <c r="U751" s="8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</row>
    <row r="752" spans="1:38" ht="15.75" customHeight="1" x14ac:dyDescent="0.35">
      <c r="A752" s="14"/>
      <c r="B752" s="14"/>
      <c r="C752" s="9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1"/>
      <c r="S752" s="36"/>
      <c r="T752" s="8"/>
      <c r="U752" s="8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</row>
    <row r="753" spans="1:38" ht="15.75" customHeight="1" x14ac:dyDescent="0.35">
      <c r="A753" s="14"/>
      <c r="B753" s="14"/>
      <c r="C753" s="9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1"/>
      <c r="S753" s="36"/>
      <c r="T753" s="8"/>
      <c r="U753" s="8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</row>
    <row r="754" spans="1:38" ht="15.75" customHeight="1" x14ac:dyDescent="0.35">
      <c r="A754" s="14"/>
      <c r="B754" s="14"/>
      <c r="C754" s="9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1"/>
      <c r="S754" s="36"/>
      <c r="T754" s="8"/>
      <c r="U754" s="8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</row>
    <row r="755" spans="1:38" ht="15.75" customHeight="1" x14ac:dyDescent="0.35">
      <c r="A755" s="14"/>
      <c r="B755" s="14"/>
      <c r="C755" s="9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1"/>
      <c r="S755" s="36"/>
      <c r="T755" s="8"/>
      <c r="U755" s="8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</row>
    <row r="756" spans="1:38" ht="15.75" customHeight="1" x14ac:dyDescent="0.35">
      <c r="A756" s="14"/>
      <c r="B756" s="14"/>
      <c r="C756" s="9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1"/>
      <c r="S756" s="36"/>
      <c r="T756" s="8"/>
      <c r="U756" s="8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</row>
    <row r="757" spans="1:38" ht="15.75" customHeight="1" x14ac:dyDescent="0.35">
      <c r="A757" s="14"/>
      <c r="B757" s="14"/>
      <c r="C757" s="9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1"/>
      <c r="S757" s="36"/>
      <c r="T757" s="8"/>
      <c r="U757" s="8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</row>
    <row r="758" spans="1:38" ht="15.75" customHeight="1" x14ac:dyDescent="0.35">
      <c r="A758" s="14"/>
      <c r="B758" s="14"/>
      <c r="C758" s="9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1"/>
      <c r="S758" s="36"/>
      <c r="T758" s="8"/>
      <c r="U758" s="8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</row>
    <row r="759" spans="1:38" ht="15.75" customHeight="1" x14ac:dyDescent="0.35">
      <c r="A759" s="14"/>
      <c r="B759" s="14"/>
      <c r="C759" s="9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1"/>
      <c r="S759" s="36"/>
      <c r="T759" s="8"/>
      <c r="U759" s="8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</row>
    <row r="760" spans="1:38" ht="15.75" customHeight="1" x14ac:dyDescent="0.35">
      <c r="A760" s="14"/>
      <c r="B760" s="14"/>
      <c r="C760" s="9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1"/>
      <c r="S760" s="36"/>
      <c r="T760" s="8"/>
      <c r="U760" s="8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</row>
    <row r="761" spans="1:38" ht="15.75" customHeight="1" x14ac:dyDescent="0.35">
      <c r="A761" s="14"/>
      <c r="B761" s="14"/>
      <c r="C761" s="9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1"/>
      <c r="S761" s="36"/>
      <c r="T761" s="8"/>
      <c r="U761" s="8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</row>
    <row r="762" spans="1:38" ht="15.75" customHeight="1" x14ac:dyDescent="0.35">
      <c r="A762" s="14"/>
      <c r="B762" s="14"/>
      <c r="C762" s="9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1"/>
      <c r="S762" s="36"/>
      <c r="T762" s="8"/>
      <c r="U762" s="8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</row>
    <row r="763" spans="1:38" ht="15.75" customHeight="1" x14ac:dyDescent="0.35">
      <c r="A763" s="14"/>
      <c r="B763" s="14"/>
      <c r="C763" s="9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1"/>
      <c r="S763" s="36"/>
      <c r="T763" s="8"/>
      <c r="U763" s="8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</row>
    <row r="764" spans="1:38" ht="15.75" customHeight="1" x14ac:dyDescent="0.35">
      <c r="A764" s="14"/>
      <c r="B764" s="14"/>
      <c r="C764" s="9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1"/>
      <c r="S764" s="36"/>
      <c r="T764" s="8"/>
      <c r="U764" s="8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</row>
    <row r="765" spans="1:38" ht="15.75" customHeight="1" x14ac:dyDescent="0.35">
      <c r="A765" s="14"/>
      <c r="B765" s="14"/>
      <c r="C765" s="9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1"/>
      <c r="S765" s="36"/>
      <c r="T765" s="8"/>
      <c r="U765" s="8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</row>
    <row r="766" spans="1:38" ht="15.75" customHeight="1" x14ac:dyDescent="0.35">
      <c r="A766" s="14"/>
      <c r="B766" s="14"/>
      <c r="C766" s="9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1"/>
      <c r="S766" s="36"/>
      <c r="T766" s="8"/>
      <c r="U766" s="8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</row>
    <row r="767" spans="1:38" ht="15.75" customHeight="1" x14ac:dyDescent="0.35">
      <c r="A767" s="14"/>
      <c r="B767" s="14"/>
      <c r="C767" s="9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1"/>
      <c r="S767" s="36"/>
      <c r="T767" s="8"/>
      <c r="U767" s="8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</row>
    <row r="768" spans="1:38" ht="15.75" customHeight="1" x14ac:dyDescent="0.35">
      <c r="A768" s="14"/>
      <c r="B768" s="14"/>
      <c r="C768" s="9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1"/>
      <c r="S768" s="36"/>
      <c r="T768" s="8"/>
      <c r="U768" s="8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</row>
    <row r="769" spans="1:38" ht="15.75" customHeight="1" x14ac:dyDescent="0.35">
      <c r="A769" s="14"/>
      <c r="B769" s="14"/>
      <c r="C769" s="9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1"/>
      <c r="S769" s="36"/>
      <c r="T769" s="8"/>
      <c r="U769" s="8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</row>
    <row r="770" spans="1:38" ht="15.75" customHeight="1" x14ac:dyDescent="0.35">
      <c r="A770" s="14"/>
      <c r="B770" s="14"/>
      <c r="C770" s="9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1"/>
      <c r="S770" s="36"/>
      <c r="T770" s="8"/>
      <c r="U770" s="8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</row>
    <row r="771" spans="1:38" ht="15.75" customHeight="1" x14ac:dyDescent="0.35">
      <c r="A771" s="14"/>
      <c r="B771" s="14"/>
      <c r="C771" s="9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1"/>
      <c r="S771" s="36"/>
      <c r="T771" s="8"/>
      <c r="U771" s="8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</row>
    <row r="772" spans="1:38" ht="15.75" customHeight="1" x14ac:dyDescent="0.35">
      <c r="A772" s="14"/>
      <c r="B772" s="14"/>
      <c r="C772" s="9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1"/>
      <c r="S772" s="36"/>
      <c r="T772" s="8"/>
      <c r="U772" s="8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</row>
    <row r="773" spans="1:38" ht="15.75" customHeight="1" x14ac:dyDescent="0.35">
      <c r="A773" s="14"/>
      <c r="B773" s="14"/>
      <c r="C773" s="9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1"/>
      <c r="S773" s="36"/>
      <c r="T773" s="8"/>
      <c r="U773" s="8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</row>
    <row r="774" spans="1:38" ht="15.75" customHeight="1" x14ac:dyDescent="0.35">
      <c r="A774" s="14"/>
      <c r="B774" s="14"/>
      <c r="C774" s="9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1"/>
      <c r="S774" s="36"/>
      <c r="T774" s="8"/>
      <c r="U774" s="8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</row>
    <row r="775" spans="1:38" ht="15.75" customHeight="1" x14ac:dyDescent="0.35">
      <c r="A775" s="14"/>
      <c r="B775" s="14"/>
      <c r="C775" s="9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1"/>
      <c r="S775" s="36"/>
      <c r="T775" s="8"/>
      <c r="U775" s="8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</row>
    <row r="776" spans="1:38" ht="15.75" customHeight="1" x14ac:dyDescent="0.35">
      <c r="A776" s="14"/>
      <c r="B776" s="14"/>
      <c r="C776" s="9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1"/>
      <c r="S776" s="36"/>
      <c r="T776" s="8"/>
      <c r="U776" s="8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</row>
    <row r="777" spans="1:38" ht="15.75" customHeight="1" x14ac:dyDescent="0.35">
      <c r="A777" s="14"/>
      <c r="B777" s="14"/>
      <c r="C777" s="9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1"/>
      <c r="S777" s="36"/>
      <c r="T777" s="8"/>
      <c r="U777" s="8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</row>
    <row r="778" spans="1:38" ht="15.75" customHeight="1" x14ac:dyDescent="0.35">
      <c r="A778" s="14"/>
      <c r="B778" s="14"/>
      <c r="C778" s="9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1"/>
      <c r="S778" s="36"/>
      <c r="T778" s="8"/>
      <c r="U778" s="8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</row>
    <row r="779" spans="1:38" ht="15.75" customHeight="1" x14ac:dyDescent="0.35">
      <c r="A779" s="14"/>
      <c r="B779" s="14"/>
      <c r="C779" s="9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1"/>
      <c r="S779" s="36"/>
      <c r="T779" s="8"/>
      <c r="U779" s="8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</row>
    <row r="780" spans="1:38" ht="15.75" customHeight="1" x14ac:dyDescent="0.35">
      <c r="A780" s="14"/>
      <c r="B780" s="14"/>
      <c r="C780" s="9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1"/>
      <c r="S780" s="36"/>
      <c r="T780" s="8"/>
      <c r="U780" s="8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</row>
    <row r="781" spans="1:38" ht="15.75" customHeight="1" x14ac:dyDescent="0.35">
      <c r="A781" s="14"/>
      <c r="B781" s="14"/>
      <c r="C781" s="9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1"/>
      <c r="S781" s="36"/>
      <c r="T781" s="8"/>
      <c r="U781" s="8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</row>
    <row r="782" spans="1:38" ht="15.75" customHeight="1" x14ac:dyDescent="0.35">
      <c r="A782" s="14"/>
      <c r="B782" s="14"/>
      <c r="C782" s="9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1"/>
      <c r="S782" s="36"/>
      <c r="T782" s="8"/>
      <c r="U782" s="8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</row>
    <row r="783" spans="1:38" ht="15.75" customHeight="1" x14ac:dyDescent="0.35">
      <c r="A783" s="14"/>
      <c r="B783" s="14"/>
      <c r="C783" s="9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1"/>
      <c r="S783" s="36"/>
      <c r="T783" s="8"/>
      <c r="U783" s="8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</row>
    <row r="784" spans="1:38" ht="15.75" customHeight="1" x14ac:dyDescent="0.35">
      <c r="A784" s="14"/>
      <c r="B784" s="14"/>
      <c r="C784" s="9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1"/>
      <c r="S784" s="36"/>
      <c r="T784" s="8"/>
      <c r="U784" s="8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</row>
    <row r="785" spans="1:38" ht="15.75" customHeight="1" x14ac:dyDescent="0.35">
      <c r="A785" s="14"/>
      <c r="B785" s="14"/>
      <c r="C785" s="9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1"/>
      <c r="S785" s="36"/>
      <c r="T785" s="8"/>
      <c r="U785" s="8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</row>
    <row r="786" spans="1:38" ht="15.75" customHeight="1" x14ac:dyDescent="0.35">
      <c r="A786" s="14"/>
      <c r="B786" s="14"/>
      <c r="C786" s="9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1"/>
      <c r="S786" s="36"/>
      <c r="T786" s="8"/>
      <c r="U786" s="8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</row>
    <row r="787" spans="1:38" ht="15.75" customHeight="1" x14ac:dyDescent="0.35">
      <c r="A787" s="14"/>
      <c r="B787" s="14"/>
      <c r="C787" s="9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1"/>
      <c r="S787" s="36"/>
      <c r="T787" s="8"/>
      <c r="U787" s="8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</row>
    <row r="788" spans="1:38" ht="15.75" customHeight="1" x14ac:dyDescent="0.35">
      <c r="A788" s="14"/>
      <c r="B788" s="14"/>
      <c r="C788" s="9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1"/>
      <c r="S788" s="36"/>
      <c r="T788" s="8"/>
      <c r="U788" s="8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</row>
    <row r="789" spans="1:38" ht="15.75" customHeight="1" x14ac:dyDescent="0.35">
      <c r="A789" s="14"/>
      <c r="B789" s="14"/>
      <c r="C789" s="9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1"/>
      <c r="S789" s="36"/>
      <c r="T789" s="8"/>
      <c r="U789" s="8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</row>
    <row r="790" spans="1:38" ht="15.75" customHeight="1" x14ac:dyDescent="0.35">
      <c r="A790" s="14"/>
      <c r="B790" s="14"/>
      <c r="C790" s="9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1"/>
      <c r="S790" s="36"/>
      <c r="T790" s="8"/>
      <c r="U790" s="8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</row>
    <row r="791" spans="1:38" ht="15.75" customHeight="1" x14ac:dyDescent="0.35">
      <c r="A791" s="14"/>
      <c r="B791" s="14"/>
      <c r="C791" s="9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1"/>
      <c r="S791" s="36"/>
      <c r="T791" s="8"/>
      <c r="U791" s="8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</row>
    <row r="792" spans="1:38" ht="15.75" customHeight="1" x14ac:dyDescent="0.35">
      <c r="A792" s="14"/>
      <c r="B792" s="14"/>
      <c r="C792" s="9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1"/>
      <c r="S792" s="36"/>
      <c r="T792" s="8"/>
      <c r="U792" s="8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</row>
    <row r="793" spans="1:38" ht="15.75" customHeight="1" x14ac:dyDescent="0.35">
      <c r="A793" s="14"/>
      <c r="B793" s="14"/>
      <c r="C793" s="9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1"/>
      <c r="S793" s="36"/>
      <c r="T793" s="8"/>
      <c r="U793" s="8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</row>
    <row r="794" spans="1:38" ht="15.75" customHeight="1" x14ac:dyDescent="0.35">
      <c r="A794" s="14"/>
      <c r="B794" s="14"/>
      <c r="C794" s="9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1"/>
      <c r="S794" s="36"/>
      <c r="T794" s="8"/>
      <c r="U794" s="8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</row>
    <row r="795" spans="1:38" ht="15.75" customHeight="1" x14ac:dyDescent="0.35">
      <c r="A795" s="14"/>
      <c r="B795" s="14"/>
      <c r="C795" s="9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1"/>
      <c r="S795" s="36"/>
      <c r="T795" s="8"/>
      <c r="U795" s="8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</row>
    <row r="796" spans="1:38" ht="15.75" customHeight="1" x14ac:dyDescent="0.35">
      <c r="A796" s="14"/>
      <c r="B796" s="14"/>
      <c r="C796" s="9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1"/>
      <c r="S796" s="36"/>
      <c r="T796" s="8"/>
      <c r="U796" s="8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</row>
    <row r="797" spans="1:38" ht="15.75" customHeight="1" x14ac:dyDescent="0.35">
      <c r="A797" s="14"/>
      <c r="B797" s="14"/>
      <c r="C797" s="9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1"/>
      <c r="S797" s="36"/>
      <c r="T797" s="8"/>
      <c r="U797" s="8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</row>
    <row r="798" spans="1:38" ht="15.75" customHeight="1" x14ac:dyDescent="0.35">
      <c r="A798" s="14"/>
      <c r="B798" s="14"/>
      <c r="C798" s="9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1"/>
      <c r="S798" s="36"/>
      <c r="T798" s="8"/>
      <c r="U798" s="8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</row>
    <row r="799" spans="1:38" ht="15.75" customHeight="1" x14ac:dyDescent="0.35">
      <c r="A799" s="14"/>
      <c r="B799" s="14"/>
      <c r="C799" s="9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1"/>
      <c r="S799" s="36"/>
      <c r="T799" s="8"/>
      <c r="U799" s="8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</row>
    <row r="800" spans="1:38" ht="15.75" customHeight="1" x14ac:dyDescent="0.35">
      <c r="A800" s="14"/>
      <c r="B800" s="14"/>
      <c r="C800" s="9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1"/>
      <c r="S800" s="36"/>
      <c r="T800" s="8"/>
      <c r="U800" s="8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</row>
    <row r="801" spans="1:38" ht="15.75" customHeight="1" x14ac:dyDescent="0.35">
      <c r="A801" s="14"/>
      <c r="B801" s="14"/>
      <c r="C801" s="9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1"/>
      <c r="S801" s="36"/>
      <c r="T801" s="8"/>
      <c r="U801" s="8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</row>
    <row r="802" spans="1:38" ht="15.75" customHeight="1" x14ac:dyDescent="0.35">
      <c r="A802" s="14"/>
      <c r="B802" s="14"/>
      <c r="C802" s="9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1"/>
      <c r="S802" s="36"/>
      <c r="T802" s="8"/>
      <c r="U802" s="8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</row>
    <row r="803" spans="1:38" ht="15.75" customHeight="1" x14ac:dyDescent="0.35">
      <c r="A803" s="14"/>
      <c r="B803" s="14"/>
      <c r="C803" s="9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1"/>
      <c r="S803" s="36"/>
      <c r="T803" s="8"/>
      <c r="U803" s="8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</row>
    <row r="804" spans="1:38" ht="15.75" customHeight="1" x14ac:dyDescent="0.35">
      <c r="A804" s="14"/>
      <c r="B804" s="14"/>
      <c r="C804" s="9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1"/>
      <c r="S804" s="36"/>
      <c r="T804" s="8"/>
      <c r="U804" s="8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</row>
    <row r="805" spans="1:38" ht="15.75" customHeight="1" x14ac:dyDescent="0.35">
      <c r="A805" s="14"/>
      <c r="B805" s="14"/>
      <c r="C805" s="9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1"/>
      <c r="S805" s="36"/>
      <c r="T805" s="8"/>
      <c r="U805" s="8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</row>
    <row r="806" spans="1:38" ht="15.75" customHeight="1" x14ac:dyDescent="0.35">
      <c r="A806" s="14"/>
      <c r="B806" s="14"/>
      <c r="C806" s="9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1"/>
      <c r="S806" s="36"/>
      <c r="T806" s="8"/>
      <c r="U806" s="8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</row>
    <row r="807" spans="1:38" ht="15.75" customHeight="1" x14ac:dyDescent="0.35">
      <c r="A807" s="14"/>
      <c r="B807" s="14"/>
      <c r="C807" s="9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1"/>
      <c r="S807" s="36"/>
      <c r="T807" s="8"/>
      <c r="U807" s="8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</row>
    <row r="808" spans="1:38" ht="15.75" customHeight="1" x14ac:dyDescent="0.35">
      <c r="A808" s="14"/>
      <c r="B808" s="14"/>
      <c r="C808" s="9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1"/>
      <c r="S808" s="36"/>
      <c r="T808" s="8"/>
      <c r="U808" s="8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</row>
    <row r="809" spans="1:38" ht="15.75" customHeight="1" x14ac:dyDescent="0.35">
      <c r="A809" s="14"/>
      <c r="B809" s="14"/>
      <c r="C809" s="9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1"/>
      <c r="S809" s="36"/>
      <c r="T809" s="8"/>
      <c r="U809" s="8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</row>
    <row r="810" spans="1:38" ht="15.75" customHeight="1" x14ac:dyDescent="0.35">
      <c r="A810" s="14"/>
      <c r="B810" s="14"/>
      <c r="C810" s="9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1"/>
      <c r="S810" s="36"/>
      <c r="T810" s="8"/>
      <c r="U810" s="8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</row>
    <row r="811" spans="1:38" ht="15.75" customHeight="1" x14ac:dyDescent="0.35">
      <c r="A811" s="14"/>
      <c r="B811" s="14"/>
      <c r="C811" s="9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1"/>
      <c r="S811" s="36"/>
      <c r="T811" s="8"/>
      <c r="U811" s="8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</row>
    <row r="812" spans="1:38" ht="15.75" customHeight="1" x14ac:dyDescent="0.35">
      <c r="A812" s="14"/>
      <c r="B812" s="14"/>
      <c r="C812" s="9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1"/>
      <c r="S812" s="36"/>
      <c r="T812" s="8"/>
      <c r="U812" s="8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</row>
    <row r="813" spans="1:38" ht="15.75" customHeight="1" x14ac:dyDescent="0.35">
      <c r="A813" s="14"/>
      <c r="B813" s="14"/>
      <c r="C813" s="9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1"/>
      <c r="S813" s="36"/>
      <c r="T813" s="8"/>
      <c r="U813" s="8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</row>
    <row r="814" spans="1:38" ht="15.75" customHeight="1" x14ac:dyDescent="0.35">
      <c r="A814" s="14"/>
      <c r="B814" s="14"/>
      <c r="C814" s="9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1"/>
      <c r="S814" s="36"/>
      <c r="T814" s="8"/>
      <c r="U814" s="8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</row>
    <row r="815" spans="1:38" ht="15.75" customHeight="1" x14ac:dyDescent="0.35">
      <c r="A815" s="14"/>
      <c r="B815" s="14"/>
      <c r="C815" s="9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1"/>
      <c r="S815" s="36"/>
      <c r="T815" s="8"/>
      <c r="U815" s="8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</row>
    <row r="816" spans="1:38" ht="15.75" customHeight="1" x14ac:dyDescent="0.35">
      <c r="A816" s="14"/>
      <c r="B816" s="14"/>
      <c r="C816" s="9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1"/>
      <c r="S816" s="36"/>
      <c r="T816" s="8"/>
      <c r="U816" s="8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</row>
    <row r="817" spans="1:38" ht="15.75" customHeight="1" x14ac:dyDescent="0.35">
      <c r="A817" s="14"/>
      <c r="B817" s="14"/>
      <c r="C817" s="9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1"/>
      <c r="S817" s="36"/>
      <c r="T817" s="8"/>
      <c r="U817" s="8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</row>
    <row r="818" spans="1:38" ht="15.75" customHeight="1" x14ac:dyDescent="0.35">
      <c r="A818" s="14"/>
      <c r="B818" s="14"/>
      <c r="C818" s="9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1"/>
      <c r="S818" s="36"/>
      <c r="T818" s="8"/>
      <c r="U818" s="8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</row>
    <row r="819" spans="1:38" ht="15.75" customHeight="1" x14ac:dyDescent="0.35">
      <c r="A819" s="14"/>
      <c r="B819" s="14"/>
      <c r="C819" s="9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1"/>
      <c r="S819" s="36"/>
      <c r="T819" s="8"/>
      <c r="U819" s="8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</row>
    <row r="820" spans="1:38" ht="15.75" customHeight="1" x14ac:dyDescent="0.35">
      <c r="A820" s="14"/>
      <c r="B820" s="14"/>
      <c r="C820" s="9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1"/>
      <c r="S820" s="36"/>
      <c r="T820" s="8"/>
      <c r="U820" s="8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</row>
    <row r="821" spans="1:38" ht="15.75" customHeight="1" x14ac:dyDescent="0.35">
      <c r="A821" s="14"/>
      <c r="B821" s="14"/>
      <c r="C821" s="9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1"/>
      <c r="S821" s="36"/>
      <c r="T821" s="8"/>
      <c r="U821" s="8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</row>
    <row r="822" spans="1:38" ht="15.75" customHeight="1" x14ac:dyDescent="0.35">
      <c r="A822" s="14"/>
      <c r="B822" s="14"/>
      <c r="C822" s="9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1"/>
      <c r="S822" s="36"/>
      <c r="T822" s="8"/>
      <c r="U822" s="8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</row>
    <row r="823" spans="1:38" ht="15.75" customHeight="1" x14ac:dyDescent="0.35">
      <c r="A823" s="14"/>
      <c r="B823" s="14"/>
      <c r="C823" s="9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1"/>
      <c r="S823" s="36"/>
      <c r="T823" s="8"/>
      <c r="U823" s="8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</row>
    <row r="824" spans="1:38" ht="15.75" customHeight="1" x14ac:dyDescent="0.35">
      <c r="A824" s="14"/>
      <c r="B824" s="14"/>
      <c r="C824" s="9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1"/>
      <c r="S824" s="36"/>
      <c r="T824" s="8"/>
      <c r="U824" s="8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</row>
    <row r="825" spans="1:38" ht="15.75" customHeight="1" x14ac:dyDescent="0.35">
      <c r="A825" s="14"/>
      <c r="B825" s="14"/>
      <c r="C825" s="9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1"/>
      <c r="S825" s="36"/>
      <c r="T825" s="8"/>
      <c r="U825" s="8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</row>
    <row r="826" spans="1:38" ht="15.75" customHeight="1" x14ac:dyDescent="0.35">
      <c r="A826" s="14"/>
      <c r="B826" s="14"/>
      <c r="C826" s="9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1"/>
      <c r="S826" s="36"/>
      <c r="T826" s="8"/>
      <c r="U826" s="8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</row>
    <row r="827" spans="1:38" ht="15.75" customHeight="1" x14ac:dyDescent="0.35">
      <c r="A827" s="14"/>
      <c r="B827" s="14"/>
      <c r="C827" s="9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1"/>
      <c r="S827" s="36"/>
      <c r="T827" s="8"/>
      <c r="U827" s="8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</row>
    <row r="828" spans="1:38" ht="15.75" customHeight="1" x14ac:dyDescent="0.35">
      <c r="A828" s="14"/>
      <c r="B828" s="14"/>
      <c r="C828" s="9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1"/>
      <c r="S828" s="36"/>
      <c r="T828" s="8"/>
      <c r="U828" s="8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</row>
    <row r="829" spans="1:38" ht="15.75" customHeight="1" x14ac:dyDescent="0.35">
      <c r="A829" s="14"/>
      <c r="B829" s="14"/>
      <c r="C829" s="9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1"/>
      <c r="S829" s="36"/>
      <c r="T829" s="8"/>
      <c r="U829" s="8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</row>
    <row r="830" spans="1:38" ht="15.75" customHeight="1" x14ac:dyDescent="0.35">
      <c r="A830" s="14"/>
      <c r="B830" s="14"/>
      <c r="C830" s="9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1"/>
      <c r="S830" s="36"/>
      <c r="T830" s="8"/>
      <c r="U830" s="8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</row>
    <row r="831" spans="1:38" ht="15.75" customHeight="1" x14ac:dyDescent="0.35">
      <c r="A831" s="14"/>
      <c r="B831" s="14"/>
      <c r="C831" s="9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1"/>
      <c r="S831" s="36"/>
      <c r="T831" s="8"/>
      <c r="U831" s="8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</row>
    <row r="832" spans="1:38" ht="15.75" customHeight="1" x14ac:dyDescent="0.35">
      <c r="A832" s="14"/>
      <c r="B832" s="14"/>
      <c r="C832" s="9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1"/>
      <c r="S832" s="36"/>
      <c r="T832" s="8"/>
      <c r="U832" s="8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</row>
    <row r="833" spans="1:38" ht="15.75" customHeight="1" x14ac:dyDescent="0.35">
      <c r="A833" s="14"/>
      <c r="B833" s="14"/>
      <c r="C833" s="9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1"/>
      <c r="S833" s="36"/>
      <c r="T833" s="8"/>
      <c r="U833" s="8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</row>
    <row r="834" spans="1:38" ht="15.75" customHeight="1" x14ac:dyDescent="0.35">
      <c r="A834" s="14"/>
      <c r="B834" s="14"/>
      <c r="C834" s="9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1"/>
      <c r="S834" s="36"/>
      <c r="T834" s="8"/>
      <c r="U834" s="8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</row>
    <row r="835" spans="1:38" ht="15.75" customHeight="1" x14ac:dyDescent="0.35">
      <c r="A835" s="14"/>
      <c r="B835" s="14"/>
      <c r="C835" s="9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1"/>
      <c r="S835" s="36"/>
      <c r="T835" s="8"/>
      <c r="U835" s="8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</row>
    <row r="836" spans="1:38" ht="15.75" customHeight="1" x14ac:dyDescent="0.35">
      <c r="A836" s="14"/>
      <c r="B836" s="14"/>
      <c r="C836" s="9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1"/>
      <c r="S836" s="36"/>
      <c r="T836" s="8"/>
      <c r="U836" s="8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</row>
    <row r="837" spans="1:38" ht="15.75" customHeight="1" x14ac:dyDescent="0.35">
      <c r="A837" s="14"/>
      <c r="B837" s="14"/>
      <c r="C837" s="9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1"/>
      <c r="S837" s="36"/>
      <c r="T837" s="8"/>
      <c r="U837" s="8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</row>
    <row r="838" spans="1:38" ht="15.75" customHeight="1" x14ac:dyDescent="0.35">
      <c r="A838" s="14"/>
      <c r="B838" s="14"/>
      <c r="C838" s="9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1"/>
      <c r="S838" s="36"/>
      <c r="T838" s="8"/>
      <c r="U838" s="8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</row>
    <row r="839" spans="1:38" ht="15.75" customHeight="1" x14ac:dyDescent="0.35">
      <c r="A839" s="14"/>
      <c r="B839" s="14"/>
      <c r="C839" s="9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1"/>
      <c r="S839" s="36"/>
      <c r="T839" s="8"/>
      <c r="U839" s="8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</row>
    <row r="840" spans="1:38" ht="15.75" customHeight="1" x14ac:dyDescent="0.35">
      <c r="A840" s="14"/>
      <c r="B840" s="14"/>
      <c r="C840" s="9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1"/>
      <c r="S840" s="36"/>
      <c r="T840" s="8"/>
      <c r="U840" s="8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</row>
    <row r="841" spans="1:38" ht="15.75" customHeight="1" x14ac:dyDescent="0.35">
      <c r="A841" s="14"/>
      <c r="B841" s="14"/>
      <c r="C841" s="9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1"/>
      <c r="S841" s="36"/>
      <c r="T841" s="8"/>
      <c r="U841" s="8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</row>
    <row r="842" spans="1:38" ht="15.75" customHeight="1" x14ac:dyDescent="0.35">
      <c r="A842" s="14"/>
      <c r="B842" s="14"/>
      <c r="C842" s="9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1"/>
      <c r="S842" s="36"/>
      <c r="T842" s="8"/>
      <c r="U842" s="8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</row>
    <row r="843" spans="1:38" ht="15.75" customHeight="1" x14ac:dyDescent="0.35">
      <c r="A843" s="14"/>
      <c r="B843" s="14"/>
      <c r="C843" s="9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1"/>
      <c r="S843" s="36"/>
      <c r="T843" s="8"/>
      <c r="U843" s="8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</row>
    <row r="844" spans="1:38" ht="15.75" customHeight="1" x14ac:dyDescent="0.35">
      <c r="A844" s="14"/>
      <c r="B844" s="14"/>
      <c r="C844" s="9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1"/>
      <c r="S844" s="36"/>
      <c r="T844" s="8"/>
      <c r="U844" s="8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</row>
    <row r="845" spans="1:38" ht="15.75" customHeight="1" x14ac:dyDescent="0.35">
      <c r="A845" s="14"/>
      <c r="B845" s="14"/>
      <c r="C845" s="9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1"/>
      <c r="S845" s="36"/>
      <c r="T845" s="8"/>
      <c r="U845" s="8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</row>
    <row r="846" spans="1:38" ht="15.75" customHeight="1" x14ac:dyDescent="0.35">
      <c r="A846" s="14"/>
      <c r="B846" s="14"/>
      <c r="C846" s="9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1"/>
      <c r="S846" s="36"/>
      <c r="T846" s="8"/>
      <c r="U846" s="8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</row>
    <row r="847" spans="1:38" ht="15.75" customHeight="1" x14ac:dyDescent="0.35">
      <c r="A847" s="14"/>
      <c r="B847" s="14"/>
      <c r="C847" s="9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1"/>
      <c r="S847" s="36"/>
      <c r="T847" s="8"/>
      <c r="U847" s="8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</row>
    <row r="848" spans="1:38" ht="15.75" customHeight="1" x14ac:dyDescent="0.35">
      <c r="A848" s="14"/>
      <c r="B848" s="14"/>
      <c r="C848" s="9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1"/>
      <c r="S848" s="36"/>
      <c r="T848" s="8"/>
      <c r="U848" s="8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</row>
    <row r="849" spans="1:38" ht="15.75" customHeight="1" x14ac:dyDescent="0.35">
      <c r="A849" s="14"/>
      <c r="B849" s="14"/>
      <c r="C849" s="9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1"/>
      <c r="S849" s="36"/>
      <c r="T849" s="8"/>
      <c r="U849" s="8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</row>
    <row r="850" spans="1:38" ht="15.75" customHeight="1" x14ac:dyDescent="0.35">
      <c r="A850" s="14"/>
      <c r="B850" s="14"/>
      <c r="C850" s="9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1"/>
      <c r="S850" s="36"/>
      <c r="T850" s="8"/>
      <c r="U850" s="8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</row>
    <row r="851" spans="1:38" ht="15.75" customHeight="1" x14ac:dyDescent="0.35">
      <c r="A851" s="14"/>
      <c r="B851" s="14"/>
      <c r="C851" s="9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1"/>
      <c r="S851" s="36"/>
      <c r="T851" s="8"/>
      <c r="U851" s="8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</row>
    <row r="852" spans="1:38" ht="15.75" customHeight="1" x14ac:dyDescent="0.35">
      <c r="A852" s="14"/>
      <c r="B852" s="14"/>
      <c r="C852" s="9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1"/>
      <c r="S852" s="36"/>
      <c r="T852" s="8"/>
      <c r="U852" s="8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</row>
    <row r="853" spans="1:38" ht="15.75" customHeight="1" x14ac:dyDescent="0.35">
      <c r="A853" s="14"/>
      <c r="B853" s="14"/>
      <c r="C853" s="9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1"/>
      <c r="S853" s="36"/>
      <c r="T853" s="8"/>
      <c r="U853" s="8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</row>
    <row r="854" spans="1:38" ht="15.75" customHeight="1" x14ac:dyDescent="0.35">
      <c r="A854" s="14"/>
      <c r="B854" s="14"/>
      <c r="C854" s="9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1"/>
      <c r="S854" s="36"/>
      <c r="T854" s="8"/>
      <c r="U854" s="8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</row>
    <row r="855" spans="1:38" ht="15.75" customHeight="1" x14ac:dyDescent="0.35">
      <c r="A855" s="14"/>
      <c r="B855" s="14"/>
      <c r="C855" s="9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1"/>
      <c r="S855" s="36"/>
      <c r="T855" s="8"/>
      <c r="U855" s="8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</row>
    <row r="856" spans="1:38" ht="15.75" customHeight="1" x14ac:dyDescent="0.35">
      <c r="A856" s="14"/>
      <c r="B856" s="14"/>
      <c r="C856" s="9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1"/>
      <c r="S856" s="36"/>
      <c r="T856" s="8"/>
      <c r="U856" s="8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</row>
    <row r="857" spans="1:38" ht="15.75" customHeight="1" x14ac:dyDescent="0.35">
      <c r="A857" s="14"/>
      <c r="B857" s="14"/>
      <c r="C857" s="9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1"/>
      <c r="S857" s="36"/>
      <c r="T857" s="8"/>
      <c r="U857" s="8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</row>
    <row r="858" spans="1:38" ht="15.75" customHeight="1" x14ac:dyDescent="0.35">
      <c r="A858" s="14"/>
      <c r="B858" s="14"/>
      <c r="C858" s="9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1"/>
      <c r="S858" s="36"/>
      <c r="T858" s="8"/>
      <c r="U858" s="8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</row>
    <row r="859" spans="1:38" ht="15.75" customHeight="1" x14ac:dyDescent="0.35">
      <c r="A859" s="14"/>
      <c r="B859" s="14"/>
      <c r="C859" s="9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1"/>
      <c r="S859" s="36"/>
      <c r="T859" s="8"/>
      <c r="U859" s="8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</row>
    <row r="860" spans="1:38" ht="15.75" customHeight="1" x14ac:dyDescent="0.35">
      <c r="A860" s="14"/>
      <c r="B860" s="14"/>
      <c r="C860" s="9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1"/>
      <c r="S860" s="36"/>
      <c r="T860" s="8"/>
      <c r="U860" s="8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</row>
    <row r="861" spans="1:38" ht="15.75" customHeight="1" x14ac:dyDescent="0.35">
      <c r="A861" s="14"/>
      <c r="B861" s="14"/>
      <c r="C861" s="9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1"/>
      <c r="S861" s="36"/>
      <c r="T861" s="8"/>
      <c r="U861" s="8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</row>
    <row r="862" spans="1:38" ht="15.75" customHeight="1" x14ac:dyDescent="0.35">
      <c r="A862" s="14"/>
      <c r="B862" s="14"/>
      <c r="C862" s="9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1"/>
      <c r="S862" s="36"/>
      <c r="T862" s="8"/>
      <c r="U862" s="8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</row>
    <row r="863" spans="1:38" ht="15.75" customHeight="1" x14ac:dyDescent="0.35">
      <c r="A863" s="14"/>
      <c r="B863" s="14"/>
      <c r="C863" s="9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1"/>
      <c r="S863" s="36"/>
      <c r="T863" s="8"/>
      <c r="U863" s="8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</row>
    <row r="864" spans="1:38" ht="15.75" customHeight="1" x14ac:dyDescent="0.35">
      <c r="A864" s="14"/>
      <c r="B864" s="14"/>
      <c r="C864" s="9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1"/>
      <c r="S864" s="36"/>
      <c r="T864" s="8"/>
      <c r="U864" s="8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</row>
    <row r="865" spans="1:38" ht="15.75" customHeight="1" x14ac:dyDescent="0.35">
      <c r="A865" s="14"/>
      <c r="B865" s="14"/>
      <c r="C865" s="9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1"/>
      <c r="S865" s="36"/>
      <c r="T865" s="8"/>
      <c r="U865" s="8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</row>
    <row r="866" spans="1:38" ht="15.75" customHeight="1" x14ac:dyDescent="0.35">
      <c r="A866" s="14"/>
      <c r="B866" s="14"/>
      <c r="C866" s="9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1"/>
      <c r="S866" s="36"/>
      <c r="T866" s="8"/>
      <c r="U866" s="8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</row>
    <row r="867" spans="1:38" ht="15.75" customHeight="1" x14ac:dyDescent="0.35">
      <c r="A867" s="14"/>
      <c r="B867" s="14"/>
      <c r="C867" s="9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1"/>
      <c r="S867" s="36"/>
      <c r="T867" s="8"/>
      <c r="U867" s="8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</row>
    <row r="868" spans="1:38" ht="15.75" customHeight="1" x14ac:dyDescent="0.35">
      <c r="A868" s="14"/>
      <c r="B868" s="14"/>
      <c r="C868" s="9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1"/>
      <c r="S868" s="36"/>
      <c r="T868" s="8"/>
      <c r="U868" s="8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</row>
    <row r="869" spans="1:38" ht="15.75" customHeight="1" x14ac:dyDescent="0.35">
      <c r="A869" s="14"/>
      <c r="B869" s="14"/>
      <c r="C869" s="9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1"/>
      <c r="S869" s="36"/>
      <c r="T869" s="8"/>
      <c r="U869" s="8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</row>
    <row r="870" spans="1:38" ht="15.75" customHeight="1" x14ac:dyDescent="0.35">
      <c r="A870" s="14"/>
      <c r="B870" s="14"/>
      <c r="C870" s="9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1"/>
      <c r="S870" s="36"/>
      <c r="T870" s="8"/>
      <c r="U870" s="8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</row>
    <row r="871" spans="1:38" ht="15.75" customHeight="1" x14ac:dyDescent="0.35">
      <c r="A871" s="14"/>
      <c r="B871" s="14"/>
      <c r="C871" s="9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1"/>
      <c r="S871" s="36"/>
      <c r="T871" s="8"/>
      <c r="U871" s="8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</row>
    <row r="872" spans="1:38" ht="15.75" customHeight="1" x14ac:dyDescent="0.35">
      <c r="A872" s="14"/>
      <c r="B872" s="14"/>
      <c r="C872" s="9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1"/>
      <c r="S872" s="36"/>
      <c r="T872" s="8"/>
      <c r="U872" s="8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</row>
    <row r="873" spans="1:38" ht="15.75" customHeight="1" x14ac:dyDescent="0.35">
      <c r="A873" s="14"/>
      <c r="B873" s="14"/>
      <c r="C873" s="9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1"/>
      <c r="S873" s="36"/>
      <c r="T873" s="8"/>
      <c r="U873" s="8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</row>
    <row r="874" spans="1:38" ht="15.75" customHeight="1" x14ac:dyDescent="0.35">
      <c r="A874" s="14"/>
      <c r="B874" s="14"/>
      <c r="C874" s="9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1"/>
      <c r="S874" s="36"/>
      <c r="T874" s="8"/>
      <c r="U874" s="8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</row>
    <row r="875" spans="1:38" ht="15.75" customHeight="1" x14ac:dyDescent="0.35">
      <c r="A875" s="14"/>
      <c r="B875" s="14"/>
      <c r="C875" s="9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1"/>
      <c r="S875" s="36"/>
      <c r="T875" s="8"/>
      <c r="U875" s="8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</row>
    <row r="876" spans="1:38" ht="15.75" customHeight="1" x14ac:dyDescent="0.35">
      <c r="A876" s="14"/>
      <c r="B876" s="14"/>
      <c r="C876" s="9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1"/>
      <c r="S876" s="36"/>
      <c r="T876" s="8"/>
      <c r="U876" s="8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</row>
    <row r="877" spans="1:38" ht="15.75" customHeight="1" x14ac:dyDescent="0.35">
      <c r="A877" s="14"/>
      <c r="B877" s="14"/>
      <c r="C877" s="9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1"/>
      <c r="S877" s="36"/>
      <c r="T877" s="8"/>
      <c r="U877" s="8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</row>
    <row r="878" spans="1:38" ht="15.75" customHeight="1" x14ac:dyDescent="0.35">
      <c r="A878" s="14"/>
      <c r="B878" s="14"/>
      <c r="C878" s="9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1"/>
      <c r="S878" s="36"/>
      <c r="T878" s="8"/>
      <c r="U878" s="8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</row>
    <row r="879" spans="1:38" ht="15.75" customHeight="1" x14ac:dyDescent="0.35">
      <c r="A879" s="14"/>
      <c r="B879" s="14"/>
      <c r="C879" s="9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1"/>
      <c r="S879" s="36"/>
      <c r="T879" s="8"/>
      <c r="U879" s="8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</row>
    <row r="880" spans="1:38" ht="15.75" customHeight="1" x14ac:dyDescent="0.35">
      <c r="A880" s="14"/>
      <c r="B880" s="14"/>
      <c r="C880" s="9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1"/>
      <c r="S880" s="36"/>
      <c r="T880" s="8"/>
      <c r="U880" s="8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</row>
    <row r="881" spans="1:38" ht="15.75" customHeight="1" x14ac:dyDescent="0.35">
      <c r="A881" s="14"/>
      <c r="B881" s="14"/>
      <c r="C881" s="9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1"/>
      <c r="S881" s="36"/>
      <c r="T881" s="8"/>
      <c r="U881" s="8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</row>
    <row r="882" spans="1:38" ht="15.75" customHeight="1" x14ac:dyDescent="0.35">
      <c r="A882" s="14"/>
      <c r="B882" s="14"/>
      <c r="C882" s="9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1"/>
      <c r="S882" s="36"/>
      <c r="T882" s="8"/>
      <c r="U882" s="8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</row>
    <row r="883" spans="1:38" ht="15.75" customHeight="1" x14ac:dyDescent="0.35">
      <c r="A883" s="14"/>
      <c r="B883" s="14"/>
      <c r="C883" s="9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1"/>
      <c r="S883" s="36"/>
      <c r="T883" s="8"/>
      <c r="U883" s="8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</row>
    <row r="884" spans="1:38" ht="15.75" customHeight="1" x14ac:dyDescent="0.35">
      <c r="A884" s="14"/>
      <c r="B884" s="14"/>
      <c r="C884" s="9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1"/>
      <c r="S884" s="36"/>
      <c r="T884" s="8"/>
      <c r="U884" s="8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</row>
    <row r="885" spans="1:38" ht="15.75" customHeight="1" x14ac:dyDescent="0.35">
      <c r="A885" s="14"/>
      <c r="B885" s="14"/>
      <c r="C885" s="9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1"/>
      <c r="S885" s="36"/>
      <c r="T885" s="8"/>
      <c r="U885" s="8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</row>
    <row r="886" spans="1:38" ht="15.75" customHeight="1" x14ac:dyDescent="0.35">
      <c r="A886" s="14"/>
      <c r="B886" s="14"/>
      <c r="C886" s="9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1"/>
      <c r="S886" s="36"/>
      <c r="T886" s="8"/>
      <c r="U886" s="8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</row>
    <row r="887" spans="1:38" ht="15.75" customHeight="1" x14ac:dyDescent="0.35">
      <c r="A887" s="14"/>
      <c r="B887" s="14"/>
      <c r="C887" s="9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1"/>
      <c r="S887" s="36"/>
      <c r="T887" s="8"/>
      <c r="U887" s="8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</row>
    <row r="888" spans="1:38" ht="15.75" customHeight="1" x14ac:dyDescent="0.35">
      <c r="A888" s="14"/>
      <c r="B888" s="14"/>
      <c r="C888" s="9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1"/>
      <c r="S888" s="36"/>
      <c r="T888" s="8"/>
      <c r="U888" s="8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</row>
    <row r="889" spans="1:38" ht="15.75" customHeight="1" x14ac:dyDescent="0.35">
      <c r="A889" s="14"/>
      <c r="B889" s="14"/>
      <c r="C889" s="9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1"/>
      <c r="S889" s="36"/>
      <c r="T889" s="8"/>
      <c r="U889" s="8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</row>
    <row r="890" spans="1:38" ht="15.75" customHeight="1" x14ac:dyDescent="0.35">
      <c r="A890" s="14"/>
      <c r="B890" s="14"/>
      <c r="C890" s="9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1"/>
      <c r="S890" s="36"/>
      <c r="T890" s="8"/>
      <c r="U890" s="8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</row>
    <row r="891" spans="1:38" ht="15.75" customHeight="1" x14ac:dyDescent="0.35">
      <c r="A891" s="14"/>
      <c r="B891" s="14"/>
      <c r="C891" s="9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1"/>
      <c r="S891" s="36"/>
      <c r="T891" s="8"/>
      <c r="U891" s="8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</row>
    <row r="892" spans="1:38" ht="15.75" customHeight="1" x14ac:dyDescent="0.35">
      <c r="A892" s="14"/>
      <c r="B892" s="14"/>
      <c r="C892" s="9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1"/>
      <c r="S892" s="36"/>
      <c r="T892" s="8"/>
      <c r="U892" s="8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</row>
    <row r="893" spans="1:38" ht="15.75" customHeight="1" x14ac:dyDescent="0.35">
      <c r="A893" s="14"/>
      <c r="B893" s="14"/>
      <c r="C893" s="9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1"/>
      <c r="S893" s="36"/>
      <c r="T893" s="8"/>
      <c r="U893" s="8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</row>
    <row r="894" spans="1:38" ht="15.75" customHeight="1" x14ac:dyDescent="0.35">
      <c r="A894" s="14"/>
      <c r="B894" s="14"/>
      <c r="C894" s="9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1"/>
      <c r="S894" s="36"/>
      <c r="T894" s="8"/>
      <c r="U894" s="8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</row>
    <row r="895" spans="1:38" ht="15.75" customHeight="1" x14ac:dyDescent="0.35">
      <c r="A895" s="14"/>
      <c r="B895" s="14"/>
      <c r="C895" s="9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1"/>
      <c r="S895" s="36"/>
      <c r="T895" s="8"/>
      <c r="U895" s="8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</row>
    <row r="896" spans="1:38" ht="15.75" customHeight="1" x14ac:dyDescent="0.35">
      <c r="A896" s="14"/>
      <c r="B896" s="14"/>
      <c r="C896" s="9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1"/>
      <c r="S896" s="36"/>
      <c r="T896" s="8"/>
      <c r="U896" s="8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</row>
    <row r="897" spans="1:38" ht="15.75" customHeight="1" x14ac:dyDescent="0.35">
      <c r="A897" s="14"/>
      <c r="B897" s="14"/>
      <c r="C897" s="9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1"/>
      <c r="S897" s="36"/>
      <c r="T897" s="8"/>
      <c r="U897" s="8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</row>
    <row r="898" spans="1:38" ht="15.75" customHeight="1" x14ac:dyDescent="0.35">
      <c r="A898" s="14"/>
      <c r="B898" s="14"/>
      <c r="C898" s="9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1"/>
      <c r="S898" s="36"/>
      <c r="T898" s="8"/>
      <c r="U898" s="8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</row>
    <row r="899" spans="1:38" ht="15.75" customHeight="1" x14ac:dyDescent="0.35">
      <c r="A899" s="14"/>
      <c r="B899" s="14"/>
      <c r="C899" s="9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1"/>
      <c r="S899" s="36"/>
      <c r="T899" s="8"/>
      <c r="U899" s="8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</row>
    <row r="900" spans="1:38" ht="15.75" customHeight="1" x14ac:dyDescent="0.35">
      <c r="A900" s="14"/>
      <c r="B900" s="14"/>
      <c r="C900" s="9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1"/>
      <c r="S900" s="36"/>
      <c r="T900" s="8"/>
      <c r="U900" s="8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</row>
    <row r="901" spans="1:38" ht="15.75" customHeight="1" x14ac:dyDescent="0.35">
      <c r="A901" s="14"/>
      <c r="B901" s="14"/>
      <c r="C901" s="9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1"/>
      <c r="S901" s="36"/>
      <c r="T901" s="8"/>
      <c r="U901" s="8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</row>
    <row r="902" spans="1:38" ht="15.75" customHeight="1" x14ac:dyDescent="0.35">
      <c r="A902" s="14"/>
      <c r="B902" s="14"/>
      <c r="C902" s="9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1"/>
      <c r="S902" s="36"/>
      <c r="T902" s="8"/>
      <c r="U902" s="8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</row>
    <row r="903" spans="1:38" ht="15.75" customHeight="1" x14ac:dyDescent="0.35">
      <c r="A903" s="14"/>
      <c r="B903" s="14"/>
      <c r="C903" s="9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1"/>
      <c r="S903" s="36"/>
      <c r="T903" s="8"/>
      <c r="U903" s="8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</row>
    <row r="904" spans="1:38" ht="15.75" customHeight="1" x14ac:dyDescent="0.35">
      <c r="A904" s="14"/>
      <c r="B904" s="14"/>
      <c r="C904" s="9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1"/>
      <c r="S904" s="36"/>
      <c r="T904" s="8"/>
      <c r="U904" s="8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</row>
    <row r="905" spans="1:38" ht="15.75" customHeight="1" x14ac:dyDescent="0.35">
      <c r="A905" s="14"/>
      <c r="B905" s="14"/>
      <c r="C905" s="9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1"/>
      <c r="S905" s="36"/>
      <c r="T905" s="8"/>
      <c r="U905" s="8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</row>
    <row r="906" spans="1:38" ht="15.75" customHeight="1" x14ac:dyDescent="0.35">
      <c r="A906" s="14"/>
      <c r="B906" s="14"/>
      <c r="C906" s="9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1"/>
      <c r="S906" s="36"/>
      <c r="T906" s="8"/>
      <c r="U906" s="8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</row>
    <row r="907" spans="1:38" ht="15.75" customHeight="1" x14ac:dyDescent="0.35">
      <c r="A907" s="14"/>
      <c r="B907" s="14"/>
      <c r="C907" s="9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1"/>
      <c r="S907" s="36"/>
      <c r="T907" s="8"/>
      <c r="U907" s="8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</row>
    <row r="908" spans="1:38" ht="15.75" customHeight="1" x14ac:dyDescent="0.35">
      <c r="A908" s="14"/>
      <c r="B908" s="14"/>
      <c r="C908" s="9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1"/>
      <c r="S908" s="36"/>
      <c r="T908" s="8"/>
      <c r="U908" s="8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</row>
    <row r="909" spans="1:38" ht="15.75" customHeight="1" x14ac:dyDescent="0.35">
      <c r="A909" s="14"/>
      <c r="B909" s="14"/>
      <c r="C909" s="9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1"/>
      <c r="S909" s="36"/>
      <c r="T909" s="8"/>
      <c r="U909" s="8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</row>
    <row r="910" spans="1:38" ht="15.75" customHeight="1" x14ac:dyDescent="0.35">
      <c r="A910" s="14"/>
      <c r="B910" s="14"/>
      <c r="C910" s="9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1"/>
      <c r="S910" s="36"/>
      <c r="T910" s="8"/>
      <c r="U910" s="8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</row>
    <row r="911" spans="1:38" ht="15.75" customHeight="1" x14ac:dyDescent="0.35">
      <c r="A911" s="14"/>
      <c r="B911" s="14"/>
      <c r="C911" s="9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1"/>
      <c r="S911" s="36"/>
      <c r="T911" s="8"/>
      <c r="U911" s="8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</row>
    <row r="912" spans="1:38" ht="15.75" customHeight="1" x14ac:dyDescent="0.35">
      <c r="A912" s="14"/>
      <c r="B912" s="14"/>
      <c r="C912" s="9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1"/>
      <c r="S912" s="36"/>
      <c r="T912" s="8"/>
      <c r="U912" s="8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</row>
    <row r="913" spans="1:38" ht="15.75" customHeight="1" x14ac:dyDescent="0.35">
      <c r="A913" s="14"/>
      <c r="B913" s="14"/>
      <c r="C913" s="9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1"/>
      <c r="S913" s="36"/>
      <c r="T913" s="8"/>
      <c r="U913" s="8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</row>
    <row r="914" spans="1:38" ht="15.75" customHeight="1" x14ac:dyDescent="0.35">
      <c r="A914" s="14"/>
      <c r="B914" s="14"/>
      <c r="C914" s="9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1"/>
      <c r="S914" s="36"/>
      <c r="T914" s="8"/>
      <c r="U914" s="8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</row>
    <row r="915" spans="1:38" ht="15.75" customHeight="1" x14ac:dyDescent="0.35">
      <c r="A915" s="14"/>
      <c r="B915" s="14"/>
      <c r="C915" s="9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1"/>
      <c r="S915" s="36"/>
      <c r="T915" s="8"/>
      <c r="U915" s="8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</row>
    <row r="916" spans="1:38" ht="15.75" customHeight="1" x14ac:dyDescent="0.35">
      <c r="A916" s="14"/>
      <c r="B916" s="14"/>
      <c r="C916" s="9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1"/>
      <c r="S916" s="36"/>
      <c r="T916" s="8"/>
      <c r="U916" s="8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</row>
    <row r="917" spans="1:38" ht="15.75" customHeight="1" x14ac:dyDescent="0.35">
      <c r="A917" s="14"/>
      <c r="B917" s="14"/>
      <c r="C917" s="9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1"/>
      <c r="S917" s="36"/>
      <c r="T917" s="8"/>
      <c r="U917" s="8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</row>
    <row r="918" spans="1:38" ht="15.75" customHeight="1" x14ac:dyDescent="0.35">
      <c r="A918" s="14"/>
      <c r="B918" s="14"/>
      <c r="C918" s="9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1"/>
      <c r="S918" s="36"/>
      <c r="T918" s="8"/>
      <c r="U918" s="8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</row>
    <row r="919" spans="1:38" ht="15.75" customHeight="1" x14ac:dyDescent="0.35">
      <c r="A919" s="14"/>
      <c r="B919" s="14"/>
      <c r="C919" s="9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1"/>
      <c r="S919" s="36"/>
      <c r="T919" s="8"/>
      <c r="U919" s="8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</row>
    <row r="920" spans="1:38" ht="15.75" customHeight="1" x14ac:dyDescent="0.35">
      <c r="A920" s="14"/>
      <c r="B920" s="14"/>
      <c r="C920" s="9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1"/>
      <c r="S920" s="36"/>
      <c r="T920" s="8"/>
      <c r="U920" s="8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</row>
    <row r="921" spans="1:38" ht="15.75" customHeight="1" x14ac:dyDescent="0.35">
      <c r="A921" s="14"/>
      <c r="B921" s="14"/>
      <c r="C921" s="9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1"/>
      <c r="S921" s="36"/>
      <c r="T921" s="8"/>
      <c r="U921" s="8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</row>
    <row r="922" spans="1:38" ht="15.75" customHeight="1" x14ac:dyDescent="0.35">
      <c r="A922" s="14"/>
      <c r="B922" s="14"/>
      <c r="C922" s="9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1"/>
      <c r="S922" s="36"/>
      <c r="T922" s="8"/>
      <c r="U922" s="8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</row>
    <row r="923" spans="1:38" ht="15.75" customHeight="1" x14ac:dyDescent="0.35">
      <c r="A923" s="14"/>
      <c r="B923" s="14"/>
      <c r="C923" s="9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1"/>
      <c r="S923" s="36"/>
      <c r="T923" s="8"/>
      <c r="U923" s="8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</row>
    <row r="924" spans="1:38" ht="15.75" customHeight="1" x14ac:dyDescent="0.35">
      <c r="A924" s="14"/>
      <c r="B924" s="14"/>
      <c r="C924" s="9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1"/>
      <c r="S924" s="36"/>
      <c r="T924" s="8"/>
      <c r="U924" s="8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</row>
    <row r="925" spans="1:38" ht="15.75" customHeight="1" x14ac:dyDescent="0.35">
      <c r="A925" s="14"/>
      <c r="B925" s="14"/>
      <c r="C925" s="9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1"/>
      <c r="S925" s="36"/>
      <c r="T925" s="8"/>
      <c r="U925" s="8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</row>
    <row r="926" spans="1:38" ht="15.75" customHeight="1" x14ac:dyDescent="0.35">
      <c r="A926" s="14"/>
      <c r="B926" s="14"/>
      <c r="C926" s="9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1"/>
      <c r="S926" s="36"/>
      <c r="T926" s="8"/>
      <c r="U926" s="8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</row>
    <row r="927" spans="1:38" ht="15.75" customHeight="1" x14ac:dyDescent="0.35">
      <c r="A927" s="14"/>
      <c r="B927" s="14"/>
      <c r="C927" s="9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1"/>
      <c r="S927" s="36"/>
      <c r="T927" s="8"/>
      <c r="U927" s="8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</row>
    <row r="928" spans="1:38" ht="15.75" customHeight="1" x14ac:dyDescent="0.35">
      <c r="A928" s="14"/>
      <c r="B928" s="14"/>
      <c r="C928" s="9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1"/>
      <c r="S928" s="36"/>
      <c r="T928" s="8"/>
      <c r="U928" s="8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</row>
    <row r="929" spans="1:38" ht="15.75" customHeight="1" x14ac:dyDescent="0.35">
      <c r="A929" s="14"/>
      <c r="B929" s="14"/>
      <c r="C929" s="9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1"/>
      <c r="S929" s="36"/>
      <c r="T929" s="8"/>
      <c r="U929" s="8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</row>
    <row r="930" spans="1:38" ht="15.75" customHeight="1" x14ac:dyDescent="0.35">
      <c r="A930" s="14"/>
      <c r="B930" s="14"/>
      <c r="C930" s="9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1"/>
      <c r="S930" s="36"/>
      <c r="T930" s="8"/>
      <c r="U930" s="8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</row>
    <row r="931" spans="1:38" ht="15.75" customHeight="1" x14ac:dyDescent="0.35">
      <c r="A931" s="14"/>
      <c r="B931" s="14"/>
      <c r="C931" s="9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1"/>
      <c r="S931" s="36"/>
      <c r="T931" s="8"/>
      <c r="U931" s="8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</row>
    <row r="932" spans="1:38" ht="15.75" customHeight="1" x14ac:dyDescent="0.35">
      <c r="A932" s="14"/>
      <c r="B932" s="14"/>
      <c r="C932" s="9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1"/>
      <c r="S932" s="36"/>
      <c r="T932" s="8"/>
      <c r="U932" s="8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</row>
    <row r="933" spans="1:38" ht="15.75" customHeight="1" x14ac:dyDescent="0.35">
      <c r="A933" s="14"/>
      <c r="B933" s="14"/>
      <c r="C933" s="9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1"/>
      <c r="S933" s="36"/>
      <c r="T933" s="8"/>
      <c r="U933" s="8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</row>
    <row r="934" spans="1:38" ht="15.75" customHeight="1" x14ac:dyDescent="0.35">
      <c r="A934" s="14"/>
      <c r="B934" s="14"/>
      <c r="C934" s="9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1"/>
      <c r="S934" s="36"/>
      <c r="T934" s="8"/>
      <c r="U934" s="8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</row>
    <row r="935" spans="1:38" ht="15.75" customHeight="1" x14ac:dyDescent="0.35">
      <c r="A935" s="14"/>
      <c r="B935" s="14"/>
      <c r="C935" s="9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1"/>
      <c r="S935" s="36"/>
      <c r="T935" s="8"/>
      <c r="U935" s="8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</row>
    <row r="936" spans="1:38" ht="15.75" customHeight="1" x14ac:dyDescent="0.35">
      <c r="A936" s="14"/>
      <c r="B936" s="14"/>
      <c r="C936" s="9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1"/>
      <c r="S936" s="36"/>
      <c r="T936" s="8"/>
      <c r="U936" s="8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</row>
    <row r="937" spans="1:38" ht="15.75" customHeight="1" x14ac:dyDescent="0.35">
      <c r="A937" s="14"/>
      <c r="B937" s="14"/>
      <c r="C937" s="9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1"/>
      <c r="S937" s="36"/>
      <c r="T937" s="8"/>
      <c r="U937" s="8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</row>
    <row r="938" spans="1:38" ht="15.75" customHeight="1" x14ac:dyDescent="0.35">
      <c r="A938" s="14"/>
      <c r="B938" s="14"/>
      <c r="C938" s="9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1"/>
      <c r="S938" s="36"/>
      <c r="T938" s="8"/>
      <c r="U938" s="8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</row>
    <row r="939" spans="1:38" ht="15.75" customHeight="1" x14ac:dyDescent="0.35">
      <c r="A939" s="14"/>
      <c r="B939" s="14"/>
      <c r="C939" s="9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1"/>
      <c r="S939" s="36"/>
      <c r="T939" s="8"/>
      <c r="U939" s="8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</row>
    <row r="940" spans="1:38" ht="15.75" customHeight="1" x14ac:dyDescent="0.35">
      <c r="A940" s="14"/>
      <c r="B940" s="14"/>
      <c r="C940" s="9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1"/>
      <c r="S940" s="36"/>
      <c r="T940" s="8"/>
      <c r="U940" s="8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</row>
    <row r="941" spans="1:38" ht="15.75" customHeight="1" x14ac:dyDescent="0.35">
      <c r="A941" s="14"/>
      <c r="B941" s="14"/>
      <c r="C941" s="9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1"/>
      <c r="S941" s="36"/>
      <c r="T941" s="8"/>
      <c r="U941" s="8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</row>
    <row r="942" spans="1:38" ht="15.75" customHeight="1" x14ac:dyDescent="0.35">
      <c r="A942" s="14"/>
      <c r="B942" s="14"/>
      <c r="C942" s="9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1"/>
      <c r="S942" s="36"/>
      <c r="T942" s="8"/>
      <c r="U942" s="8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</row>
    <row r="943" spans="1:38" ht="15.75" customHeight="1" x14ac:dyDescent="0.35">
      <c r="A943" s="14"/>
      <c r="B943" s="14"/>
      <c r="C943" s="9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1"/>
      <c r="S943" s="36"/>
      <c r="T943" s="8"/>
      <c r="U943" s="8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</row>
    <row r="944" spans="1:38" ht="15.75" customHeight="1" x14ac:dyDescent="0.35">
      <c r="A944" s="14"/>
      <c r="B944" s="14"/>
      <c r="C944" s="9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1"/>
      <c r="S944" s="36"/>
      <c r="T944" s="8"/>
      <c r="U944" s="8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</row>
    <row r="945" spans="1:38" ht="15.75" customHeight="1" x14ac:dyDescent="0.35">
      <c r="A945" s="14"/>
      <c r="B945" s="14"/>
      <c r="C945" s="9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1"/>
      <c r="S945" s="36"/>
      <c r="T945" s="8"/>
      <c r="U945" s="8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</row>
    <row r="946" spans="1:38" ht="15.75" customHeight="1" x14ac:dyDescent="0.35">
      <c r="A946" s="14"/>
      <c r="B946" s="14"/>
      <c r="C946" s="9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1"/>
      <c r="S946" s="36"/>
      <c r="T946" s="8"/>
      <c r="U946" s="8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</row>
    <row r="947" spans="1:38" ht="15.75" customHeight="1" x14ac:dyDescent="0.35">
      <c r="A947" s="14"/>
      <c r="B947" s="14"/>
      <c r="C947" s="9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1"/>
      <c r="S947" s="36"/>
      <c r="T947" s="8"/>
      <c r="U947" s="8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</row>
    <row r="948" spans="1:38" ht="15.75" customHeight="1" x14ac:dyDescent="0.35">
      <c r="A948" s="14"/>
      <c r="B948" s="14"/>
      <c r="C948" s="9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1"/>
      <c r="S948" s="36"/>
      <c r="T948" s="8"/>
      <c r="U948" s="8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</row>
    <row r="949" spans="1:38" ht="15.75" customHeight="1" x14ac:dyDescent="0.35">
      <c r="A949" s="14"/>
      <c r="B949" s="14"/>
      <c r="C949" s="9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1"/>
      <c r="S949" s="36"/>
      <c r="T949" s="8"/>
      <c r="U949" s="8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</row>
    <row r="950" spans="1:38" ht="15.75" customHeight="1" x14ac:dyDescent="0.35">
      <c r="A950" s="14"/>
      <c r="B950" s="14"/>
      <c r="C950" s="9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1"/>
      <c r="S950" s="36"/>
      <c r="T950" s="8"/>
      <c r="U950" s="8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</row>
    <row r="951" spans="1:38" ht="15.75" customHeight="1" x14ac:dyDescent="0.35">
      <c r="A951" s="14"/>
      <c r="B951" s="14"/>
      <c r="C951" s="9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1"/>
      <c r="S951" s="36"/>
      <c r="T951" s="8"/>
      <c r="U951" s="8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</row>
    <row r="952" spans="1:38" ht="15.75" customHeight="1" x14ac:dyDescent="0.35">
      <c r="A952" s="14"/>
      <c r="B952" s="14"/>
      <c r="C952" s="9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1"/>
      <c r="S952" s="36"/>
      <c r="T952" s="8"/>
      <c r="U952" s="8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</row>
    <row r="953" spans="1:38" ht="15.75" customHeight="1" x14ac:dyDescent="0.35">
      <c r="A953" s="14"/>
      <c r="B953" s="14"/>
      <c r="C953" s="9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1"/>
      <c r="S953" s="36"/>
      <c r="T953" s="8"/>
      <c r="U953" s="8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</row>
    <row r="954" spans="1:38" ht="15.75" customHeight="1" x14ac:dyDescent="0.35">
      <c r="A954" s="14"/>
      <c r="B954" s="14"/>
      <c r="C954" s="9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1"/>
      <c r="S954" s="36"/>
      <c r="T954" s="8"/>
      <c r="U954" s="8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</row>
    <row r="955" spans="1:38" ht="15.75" customHeight="1" x14ac:dyDescent="0.35">
      <c r="A955" s="14"/>
      <c r="B955" s="14"/>
      <c r="C955" s="9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1"/>
      <c r="S955" s="36"/>
      <c r="T955" s="8"/>
      <c r="U955" s="8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</row>
    <row r="956" spans="1:38" ht="15.75" customHeight="1" x14ac:dyDescent="0.35">
      <c r="A956" s="14"/>
      <c r="B956" s="14"/>
      <c r="C956" s="9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1"/>
      <c r="S956" s="36"/>
      <c r="T956" s="8"/>
      <c r="U956" s="8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</row>
    <row r="957" spans="1:38" ht="15.75" customHeight="1" x14ac:dyDescent="0.35">
      <c r="A957" s="14"/>
      <c r="B957" s="14"/>
      <c r="C957" s="9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1"/>
      <c r="S957" s="36"/>
      <c r="T957" s="8"/>
      <c r="U957" s="8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</row>
    <row r="958" spans="1:38" ht="15.75" customHeight="1" x14ac:dyDescent="0.35">
      <c r="A958" s="14"/>
      <c r="B958" s="14"/>
      <c r="C958" s="9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1"/>
      <c r="S958" s="36"/>
      <c r="T958" s="8"/>
      <c r="U958" s="8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</row>
    <row r="959" spans="1:38" ht="15.75" customHeight="1" x14ac:dyDescent="0.35">
      <c r="A959" s="14"/>
      <c r="B959" s="14"/>
      <c r="C959" s="9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1"/>
      <c r="S959" s="36"/>
      <c r="T959" s="8"/>
      <c r="U959" s="8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</row>
    <row r="960" spans="1:38" ht="15.75" customHeight="1" x14ac:dyDescent="0.35">
      <c r="A960" s="14"/>
      <c r="B960" s="14"/>
      <c r="C960" s="9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1"/>
      <c r="S960" s="36"/>
      <c r="T960" s="8"/>
      <c r="U960" s="8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</row>
    <row r="961" spans="1:38" ht="15.75" customHeight="1" x14ac:dyDescent="0.35">
      <c r="A961" s="14"/>
      <c r="B961" s="14"/>
      <c r="C961" s="9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1"/>
      <c r="S961" s="36"/>
      <c r="T961" s="8"/>
      <c r="U961" s="8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</row>
    <row r="962" spans="1:38" ht="15.75" customHeight="1" x14ac:dyDescent="0.35">
      <c r="A962" s="14"/>
      <c r="B962" s="14"/>
      <c r="C962" s="9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1"/>
      <c r="S962" s="36"/>
      <c r="T962" s="8"/>
      <c r="U962" s="8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</row>
    <row r="963" spans="1:38" ht="15.75" customHeight="1" x14ac:dyDescent="0.35">
      <c r="A963" s="14"/>
      <c r="B963" s="14"/>
      <c r="C963" s="9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1"/>
      <c r="S963" s="36"/>
      <c r="T963" s="8"/>
      <c r="U963" s="8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</row>
    <row r="964" spans="1:38" ht="15.75" customHeight="1" x14ac:dyDescent="0.35">
      <c r="A964" s="14"/>
      <c r="B964" s="14"/>
      <c r="C964" s="9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1"/>
      <c r="S964" s="36"/>
      <c r="T964" s="8"/>
      <c r="U964" s="8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</row>
    <row r="965" spans="1:38" ht="15.75" customHeight="1" x14ac:dyDescent="0.35">
      <c r="A965" s="14"/>
      <c r="B965" s="14"/>
      <c r="C965" s="9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1"/>
      <c r="S965" s="36"/>
      <c r="T965" s="8"/>
      <c r="U965" s="8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</row>
    <row r="966" spans="1:38" ht="15.75" customHeight="1" x14ac:dyDescent="0.35">
      <c r="A966" s="14"/>
      <c r="B966" s="14"/>
      <c r="C966" s="9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1"/>
      <c r="S966" s="36"/>
      <c r="T966" s="8"/>
      <c r="U966" s="8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</row>
    <row r="967" spans="1:38" ht="15.75" customHeight="1" x14ac:dyDescent="0.35">
      <c r="A967" s="14"/>
      <c r="B967" s="14"/>
      <c r="C967" s="9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1"/>
      <c r="S967" s="36"/>
      <c r="T967" s="8"/>
      <c r="U967" s="8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</row>
    <row r="968" spans="1:38" ht="15.75" customHeight="1" x14ac:dyDescent="0.35">
      <c r="A968" s="14"/>
      <c r="B968" s="14"/>
      <c r="C968" s="9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1"/>
      <c r="S968" s="36"/>
      <c r="T968" s="8"/>
      <c r="U968" s="8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</row>
    <row r="969" spans="1:38" ht="15.75" customHeight="1" x14ac:dyDescent="0.35">
      <c r="A969" s="14"/>
      <c r="B969" s="14"/>
      <c r="C969" s="9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1"/>
      <c r="S969" s="36"/>
      <c r="T969" s="8"/>
      <c r="U969" s="8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</row>
    <row r="970" spans="1:38" ht="15.75" customHeight="1" x14ac:dyDescent="0.35">
      <c r="A970" s="14"/>
      <c r="B970" s="14"/>
      <c r="C970" s="9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1"/>
      <c r="S970" s="36"/>
      <c r="T970" s="8"/>
      <c r="U970" s="8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</row>
    <row r="971" spans="1:38" ht="15.75" customHeight="1" x14ac:dyDescent="0.35">
      <c r="A971" s="14"/>
      <c r="B971" s="14"/>
      <c r="C971" s="9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1"/>
      <c r="S971" s="36"/>
      <c r="T971" s="8"/>
      <c r="U971" s="8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</row>
    <row r="972" spans="1:38" ht="15.75" customHeight="1" x14ac:dyDescent="0.35">
      <c r="A972" s="14"/>
      <c r="B972" s="14"/>
      <c r="C972" s="9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1"/>
      <c r="S972" s="36"/>
      <c r="T972" s="8"/>
      <c r="U972" s="8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</row>
    <row r="973" spans="1:38" ht="15.75" customHeight="1" x14ac:dyDescent="0.35">
      <c r="A973" s="14"/>
      <c r="B973" s="14"/>
      <c r="C973" s="9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1"/>
      <c r="S973" s="36"/>
      <c r="T973" s="8"/>
      <c r="U973" s="8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</row>
    <row r="974" spans="1:38" ht="15.75" customHeight="1" x14ac:dyDescent="0.35">
      <c r="A974" s="14"/>
      <c r="B974" s="14"/>
      <c r="C974" s="9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1"/>
      <c r="S974" s="36"/>
      <c r="T974" s="8"/>
      <c r="U974" s="8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</row>
    <row r="975" spans="1:38" ht="15.75" customHeight="1" x14ac:dyDescent="0.35">
      <c r="A975" s="14"/>
      <c r="B975" s="14"/>
      <c r="C975" s="9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1"/>
      <c r="S975" s="36"/>
      <c r="T975" s="8"/>
      <c r="U975" s="8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</row>
    <row r="976" spans="1:38" ht="15.75" customHeight="1" x14ac:dyDescent="0.35">
      <c r="A976" s="14"/>
      <c r="B976" s="14"/>
      <c r="C976" s="9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1"/>
      <c r="S976" s="36"/>
      <c r="T976" s="8"/>
      <c r="U976" s="8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</row>
    <row r="977" spans="1:38" ht="15.75" customHeight="1" x14ac:dyDescent="0.35">
      <c r="A977" s="14"/>
      <c r="B977" s="14"/>
      <c r="C977" s="9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1"/>
      <c r="S977" s="36"/>
      <c r="T977" s="8"/>
      <c r="U977" s="8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</row>
    <row r="978" spans="1:38" ht="15.75" customHeight="1" x14ac:dyDescent="0.35">
      <c r="A978" s="14"/>
      <c r="B978" s="14"/>
      <c r="C978" s="9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1"/>
      <c r="S978" s="36"/>
      <c r="T978" s="8"/>
      <c r="U978" s="8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</row>
    <row r="979" spans="1:38" ht="15.75" customHeight="1" x14ac:dyDescent="0.35">
      <c r="A979" s="14"/>
      <c r="B979" s="14"/>
      <c r="C979" s="9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1"/>
      <c r="S979" s="36"/>
      <c r="T979" s="8"/>
      <c r="U979" s="8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</row>
    <row r="980" spans="1:38" ht="15.75" customHeight="1" x14ac:dyDescent="0.35">
      <c r="A980" s="14"/>
      <c r="B980" s="14"/>
      <c r="C980" s="9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1"/>
      <c r="S980" s="36"/>
      <c r="T980" s="8"/>
      <c r="U980" s="8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</row>
    <row r="981" spans="1:38" ht="15.75" customHeight="1" x14ac:dyDescent="0.35">
      <c r="A981" s="14"/>
      <c r="B981" s="14"/>
      <c r="C981" s="9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1"/>
      <c r="S981" s="36"/>
      <c r="T981" s="8"/>
      <c r="U981" s="8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</row>
    <row r="982" spans="1:38" ht="15.75" customHeight="1" x14ac:dyDescent="0.35">
      <c r="A982" s="14"/>
      <c r="B982" s="14"/>
      <c r="C982" s="9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1"/>
      <c r="S982" s="36"/>
      <c r="T982" s="8"/>
      <c r="U982" s="8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</row>
    <row r="983" spans="1:38" ht="15.75" customHeight="1" x14ac:dyDescent="0.35">
      <c r="A983" s="14"/>
      <c r="B983" s="14"/>
      <c r="C983" s="9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1"/>
      <c r="S983" s="36"/>
      <c r="T983" s="8"/>
      <c r="U983" s="8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</row>
    <row r="984" spans="1:38" ht="15.75" customHeight="1" x14ac:dyDescent="0.35">
      <c r="A984" s="14"/>
      <c r="B984" s="14"/>
      <c r="C984" s="9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1"/>
      <c r="S984" s="36"/>
      <c r="T984" s="8"/>
      <c r="U984" s="8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</row>
    <row r="985" spans="1:38" ht="15.75" customHeight="1" x14ac:dyDescent="0.35">
      <c r="A985" s="14"/>
      <c r="B985" s="14"/>
      <c r="C985" s="9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1"/>
      <c r="S985" s="36"/>
      <c r="T985" s="8"/>
      <c r="U985" s="8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</row>
    <row r="986" spans="1:38" ht="15.75" customHeight="1" x14ac:dyDescent="0.35">
      <c r="A986" s="14"/>
      <c r="B986" s="14"/>
      <c r="C986" s="9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1"/>
      <c r="S986" s="36"/>
      <c r="T986" s="8"/>
      <c r="U986" s="8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</row>
    <row r="987" spans="1:38" ht="15.75" customHeight="1" x14ac:dyDescent="0.35">
      <c r="A987" s="14"/>
      <c r="B987" s="14"/>
      <c r="C987" s="9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1"/>
      <c r="S987" s="36"/>
      <c r="T987" s="8"/>
      <c r="U987" s="8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</row>
    <row r="988" spans="1:38" ht="15.75" customHeight="1" x14ac:dyDescent="0.35">
      <c r="A988" s="14"/>
      <c r="B988" s="14"/>
      <c r="C988" s="9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1"/>
      <c r="S988" s="36"/>
      <c r="T988" s="8"/>
      <c r="U988" s="8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</row>
    <row r="989" spans="1:38" ht="15.75" customHeight="1" x14ac:dyDescent="0.35">
      <c r="A989" s="14"/>
      <c r="B989" s="14"/>
      <c r="C989" s="9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1"/>
      <c r="S989" s="36"/>
      <c r="T989" s="8"/>
      <c r="U989" s="8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</row>
    <row r="990" spans="1:38" ht="15.75" customHeight="1" x14ac:dyDescent="0.35">
      <c r="A990" s="14"/>
      <c r="B990" s="14"/>
      <c r="C990" s="9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1"/>
      <c r="S990" s="36"/>
      <c r="T990" s="8"/>
      <c r="U990" s="8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</row>
    <row r="991" spans="1:38" ht="15.75" customHeight="1" x14ac:dyDescent="0.35">
      <c r="A991" s="14"/>
      <c r="B991" s="14"/>
      <c r="C991" s="9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1"/>
      <c r="S991" s="36"/>
      <c r="T991" s="8"/>
      <c r="U991" s="8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</row>
    <row r="992" spans="1:38" ht="15.75" customHeight="1" x14ac:dyDescent="0.35">
      <c r="A992" s="14"/>
      <c r="B992" s="14"/>
      <c r="C992" s="9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1"/>
      <c r="S992" s="36"/>
      <c r="T992" s="8"/>
      <c r="U992" s="8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</row>
    <row r="993" spans="1:38" ht="15.75" customHeight="1" x14ac:dyDescent="0.35">
      <c r="A993" s="14"/>
      <c r="B993" s="14"/>
      <c r="C993" s="9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1"/>
      <c r="S993" s="36"/>
      <c r="T993" s="8"/>
      <c r="U993" s="8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</row>
    <row r="994" spans="1:38" ht="15.75" customHeight="1" x14ac:dyDescent="0.35">
      <c r="A994" s="14"/>
      <c r="B994" s="14"/>
      <c r="C994" s="9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1"/>
      <c r="S994" s="36"/>
      <c r="T994" s="8"/>
      <c r="U994" s="8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</row>
    <row r="995" spans="1:38" ht="15.75" customHeight="1" x14ac:dyDescent="0.35">
      <c r="A995" s="14"/>
      <c r="B995" s="14"/>
      <c r="C995" s="9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1"/>
      <c r="S995" s="36"/>
      <c r="T995" s="8"/>
      <c r="U995" s="8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</row>
    <row r="996" spans="1:38" ht="15.75" customHeight="1" x14ac:dyDescent="0.35">
      <c r="A996" s="14"/>
      <c r="B996" s="14"/>
      <c r="C996" s="9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1"/>
      <c r="S996" s="36"/>
      <c r="T996" s="8"/>
      <c r="U996" s="8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</row>
    <row r="997" spans="1:38" ht="15.75" customHeight="1" x14ac:dyDescent="0.35">
      <c r="A997" s="14"/>
      <c r="B997" s="14"/>
      <c r="C997" s="9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1"/>
      <c r="S997" s="36"/>
      <c r="T997" s="8"/>
      <c r="U997" s="8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</row>
    <row r="998" spans="1:38" ht="15.75" customHeight="1" x14ac:dyDescent="0.35">
      <c r="A998" s="14"/>
      <c r="B998" s="14"/>
      <c r="C998" s="9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1"/>
      <c r="S998" s="36"/>
      <c r="T998" s="8"/>
      <c r="U998" s="8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</row>
    <row r="999" spans="1:38" ht="15.75" customHeight="1" x14ac:dyDescent="0.35">
      <c r="A999" s="14"/>
      <c r="B999" s="14"/>
      <c r="C999" s="9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1"/>
      <c r="S999" s="36"/>
      <c r="T999" s="8"/>
      <c r="U999" s="8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</row>
    <row r="1000" spans="1:38" ht="15.75" customHeight="1" x14ac:dyDescent="0.35">
      <c r="A1000" s="14"/>
      <c r="B1000" s="14"/>
      <c r="C1000" s="9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1"/>
      <c r="S1000" s="36"/>
      <c r="T1000" s="8"/>
      <c r="U1000" s="8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</row>
  </sheetData>
  <mergeCells count="5">
    <mergeCell ref="A2:A105"/>
    <mergeCell ref="AA28:AC28"/>
    <mergeCell ref="A106:A198"/>
    <mergeCell ref="Y192:Y193"/>
    <mergeCell ref="A199:A280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105"/>
  <sheetViews>
    <sheetView workbookViewId="0">
      <selection activeCell="K13" sqref="K13"/>
    </sheetView>
  </sheetViews>
  <sheetFormatPr defaultColWidth="14.453125" defaultRowHeight="15" customHeight="1" x14ac:dyDescent="0.35"/>
  <cols>
    <col min="4" max="4" width="30.54296875" customWidth="1"/>
    <col min="6" max="6" width="16.7265625" customWidth="1"/>
  </cols>
  <sheetData>
    <row r="1" spans="1:36" x14ac:dyDescent="0.35">
      <c r="A1" s="37" t="str">
        <f ca="1">IFERROR(__xludf.DUMMYFUNCTION("""COMPUTED_VALUE"""),"Depth (m)")</f>
        <v>Depth (m)</v>
      </c>
      <c r="B1" s="37" t="str">
        <f ca="1">IFERROR(__xludf.DUMMYFUNCTION("""COMPUTED_VALUE"""),"Lithology")</f>
        <v>Lithology</v>
      </c>
      <c r="C1" s="37" t="str">
        <f ca="1">IFERROR(__xludf.DUMMYFUNCTION("""COMPUTED_VALUE"""),"Class")</f>
        <v>Class</v>
      </c>
      <c r="D1" s="37" t="str">
        <f ca="1">IFERROR(__xludf.DUMMYFUNCTION("""COMPUTED_VALUE"""),"Other particles of the framework (spherulites, oolites, fascicular calcites, bioclasts...) (%)")</f>
        <v>Other particles of the framework (spherulites, oolites, fascicular calcites, bioclasts...) (%)</v>
      </c>
      <c r="E1" s="37" t="str">
        <f ca="1">IFERROR(__xludf.DUMMYFUNCTION("""COMPUTED_VALUE"""),"Cement (intercrystalline calcite and dolomite)  (%) ")</f>
        <v xml:space="preserve">Cement (intercrystalline calcite and dolomite)  (%) </v>
      </c>
      <c r="F1" s="37" t="str">
        <f ca="1">IFERROR(__xludf.DUMMYFUNCTION("""COMPUTED_VALUE"""),"Argila (%) ")</f>
        <v xml:space="preserve">Argila (%) </v>
      </c>
      <c r="G1" s="37" t="str">
        <f ca="1">IFERROR(__xludf.DUMMYFUNCTION("""COMPUTED_VALUE"""),"SiO2 (%) ")</f>
        <v xml:space="preserve">SiO2 (%) </v>
      </c>
      <c r="H1" s="37" t="str">
        <f ca="1">IFERROR(__xludf.DUMMYFUNCTION("""COMPUTED_VALUE"""),"Type contact between crystals")</f>
        <v>Type contact between crystals</v>
      </c>
      <c r="I1" s="37" t="str">
        <f ca="1">IFERROR(__xludf.DUMMYFUNCTION("""COMPUTED_VALUE"""),"Amalgamated framework ")</f>
        <v xml:space="preserve">Amalgamated framework </v>
      </c>
      <c r="J1" s="37" t="str">
        <f ca="1">IFERROR(__xludf.DUMMYFUNCTION("""COMPUTED_VALUE"""),"Pore intercrystalline (%)")</f>
        <v>Pore intercrystalline (%)</v>
      </c>
      <c r="K1" s="37" t="str">
        <f ca="1">IFERROR(__xludf.DUMMYFUNCTION("""COMPUTED_VALUE"""),"Poro intracristalino")</f>
        <v>Poro intracristalino</v>
      </c>
      <c r="L1" s="37" t="str">
        <f ca="1">IFERROR(__xludf.DUMMYFUNCTION("""COMPUTED_VALUE"""),"Occurrence of vug")</f>
        <v>Occurrence of vug</v>
      </c>
      <c r="M1" s="37" t="str">
        <f ca="1">IFERROR(__xludf.DUMMYFUNCTION("""COMPUTED_VALUE"""),"Pore Connections (throats)")</f>
        <v>Pore Connections (throats)</v>
      </c>
      <c r="N1" s="37" t="str">
        <f ca="1">IFERROR(__xludf.DUMMYFUNCTION("""COMPUTED_VALUE"""),"Laboratory porosity (%)")</f>
        <v>Laboratory porosity (%)</v>
      </c>
      <c r="O1" s="37" t="str">
        <f ca="1">IFERROR(__xludf.DUMMYFUNCTION("""COMPUTED_VALUE"""),"Laboratory permeability (mD)")</f>
        <v>Laboratory permeability (mD)</v>
      </c>
      <c r="P1" s="37" t="str">
        <f ca="1">IFERROR(__xludf.DUMMYFUNCTION("""COMPUTED_VALUE"""),"Facies")</f>
        <v>Facies</v>
      </c>
      <c r="Q1" s="37" t="str">
        <f ca="1">IFERROR(__xludf.DUMMYFUNCTION("""COMPUTED_VALUE"""),"Petrofacies")</f>
        <v>Petrofacies</v>
      </c>
      <c r="R1" s="37" t="str">
        <f ca="1">IFERROR(__xludf.DUMMYFUNCTION("""COMPUTED_VALUE"""),"")</f>
        <v/>
      </c>
      <c r="S1" s="37" t="str">
        <f ca="1">IFERROR(__xludf.DUMMYFUNCTION("""COMPUTED_VALUE"""),"")</f>
        <v/>
      </c>
      <c r="T1" s="37" t="str">
        <f ca="1">IFERROR(__xludf.DUMMYFUNCTION("""COMPUTED_VALUE"""),"")</f>
        <v/>
      </c>
      <c r="U1" s="37" t="str">
        <f ca="1">IFERROR(__xludf.DUMMYFUNCTION("""COMPUTED_VALUE"""),"")</f>
        <v/>
      </c>
      <c r="V1" s="37" t="str">
        <f ca="1">IFERROR(__xludf.DUMMYFUNCTION("""COMPUTED_VALUE"""),"")</f>
        <v/>
      </c>
      <c r="W1" s="37" t="str">
        <f ca="1">IFERROR(__xludf.DUMMYFUNCTION("""COMPUTED_VALUE"""),"")</f>
        <v/>
      </c>
      <c r="X1" s="37" t="str">
        <f ca="1">IFERROR(__xludf.DUMMYFUNCTION("""COMPUTED_VALUE"""),"")</f>
        <v/>
      </c>
      <c r="Y1" s="37" t="str">
        <f ca="1">IFERROR(__xludf.DUMMYFUNCTION("""COMPUTED_VALUE"""),"")</f>
        <v/>
      </c>
      <c r="Z1" s="37" t="str">
        <f ca="1">IFERROR(__xludf.DUMMYFUNCTION("""COMPUTED_VALUE"""),"")</f>
        <v/>
      </c>
      <c r="AA1" s="37" t="str">
        <f ca="1">IFERROR(__xludf.DUMMYFUNCTION("""COMPUTED_VALUE"""),"")</f>
        <v/>
      </c>
      <c r="AB1" s="37" t="str">
        <f ca="1">IFERROR(__xludf.DUMMYFUNCTION("""COMPUTED_VALUE"""),"")</f>
        <v/>
      </c>
      <c r="AC1" s="37" t="str">
        <f ca="1">IFERROR(__xludf.DUMMYFUNCTION("""COMPUTED_VALUE"""),"")</f>
        <v/>
      </c>
      <c r="AF1" s="37" t="str">
        <f ca="1">IFERROR(__xludf.DUMMYFUNCTION("""COMPUTED_VALUE"""),"")</f>
        <v/>
      </c>
      <c r="AG1" s="37" t="str">
        <f ca="1">IFERROR(__xludf.DUMMYFUNCTION("""COMPUTED_VALUE"""),"")</f>
        <v/>
      </c>
      <c r="AH1" s="37" t="str">
        <f ca="1">IFERROR(__xludf.DUMMYFUNCTION("""COMPUTED_VALUE"""),"")</f>
        <v/>
      </c>
      <c r="AI1" s="37" t="str">
        <f ca="1">IFERROR(__xludf.DUMMYFUNCTION("""COMPUTED_VALUE"""),"")</f>
        <v/>
      </c>
      <c r="AJ1" s="37" t="str">
        <f ca="1">IFERROR(__xludf.DUMMYFUNCTION("""COMPUTED_VALUE"""),"")</f>
        <v/>
      </c>
    </row>
    <row r="2" spans="1:36" x14ac:dyDescent="0.35">
      <c r="A2" s="37" t="str">
        <f ca="1">IFERROR(__xludf.DUMMYFUNCTION("""COMPUTED_VALUE"""),"4987,05")</f>
        <v>4987,05</v>
      </c>
      <c r="B2" s="37" t="str">
        <f ca="1">IFERROR(__xludf.DUMMYFUNCTION("""COMPUTED_VALUE"""),"Shrubby spherulitestone with mud")</f>
        <v>Shrubby spherulitestone with mud</v>
      </c>
      <c r="C2" s="37">
        <f ca="1">IFERROR(__xludf.DUMMYFUNCTION("""COMPUTED_VALUE"""),7)</f>
        <v>7</v>
      </c>
      <c r="D2" s="37">
        <f ca="1">IFERROR(__xludf.DUMMYFUNCTION("""COMPUTED_VALUE"""),73)</f>
        <v>73</v>
      </c>
      <c r="E2" s="37">
        <f ca="1">IFERROR(__xludf.DUMMYFUNCTION("""COMPUTED_VALUE"""),3)</f>
        <v>3</v>
      </c>
      <c r="F2" s="37">
        <f ca="1">IFERROR(__xludf.DUMMYFUNCTION("""COMPUTED_VALUE"""),1)</f>
        <v>1</v>
      </c>
      <c r="G2" s="37">
        <f ca="1">IFERROR(__xludf.DUMMYFUNCTION("""COMPUTED_VALUE"""),0)</f>
        <v>0</v>
      </c>
      <c r="H2" s="37">
        <f ca="1">IFERROR(__xludf.DUMMYFUNCTION("""COMPUTED_VALUE"""),4)</f>
        <v>4</v>
      </c>
      <c r="I2" s="37">
        <f ca="1">IFERROR(__xludf.DUMMYFUNCTION("""COMPUTED_VALUE"""),1)</f>
        <v>1</v>
      </c>
      <c r="J2" s="37">
        <f ca="1">IFERROR(__xludf.DUMMYFUNCTION("""COMPUTED_VALUE"""),8)</f>
        <v>8</v>
      </c>
      <c r="K2" s="37">
        <f ca="1">IFERROR(__xludf.DUMMYFUNCTION("""COMPUTED_VALUE"""),15)</f>
        <v>15</v>
      </c>
      <c r="L2" s="37">
        <f ca="1">IFERROR(__xludf.DUMMYFUNCTION("""COMPUTED_VALUE"""),1)</f>
        <v>1</v>
      </c>
      <c r="M2" s="37">
        <f ca="1">IFERROR(__xludf.DUMMYFUNCTION("""COMPUTED_VALUE"""),1)</f>
        <v>1</v>
      </c>
      <c r="N2" s="39">
        <f ca="1">IFERROR(__xludf.DUMMYFUNCTION("""COMPUTED_VALUE"""),17.2)</f>
        <v>17.2</v>
      </c>
      <c r="O2" s="40">
        <f ca="1">IFERROR(__xludf.DUMMYFUNCTION("""COMPUTED_VALUE"""),1160)</f>
        <v>1160</v>
      </c>
      <c r="P2" s="37">
        <f ca="1">IFERROR(__xludf.DUMMYFUNCTION("""COMPUTED_VALUE"""),1)</f>
        <v>1</v>
      </c>
      <c r="Q2" s="37">
        <f ca="1">IFERROR(__xludf.DUMMYFUNCTION("""COMPUTED_VALUE"""),5)</f>
        <v>5</v>
      </c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F2" s="37"/>
      <c r="AG2" s="37"/>
      <c r="AH2" s="37"/>
      <c r="AI2" s="37"/>
      <c r="AJ2" s="37"/>
    </row>
    <row r="3" spans="1:36" x14ac:dyDescent="0.35">
      <c r="A3" s="37" t="str">
        <f ca="1">IFERROR(__xludf.DUMMYFUNCTION("""COMPUTED_VALUE"""),"4987,95")</f>
        <v>4987,95</v>
      </c>
      <c r="B3" s="37" t="str">
        <f ca="1">IFERROR(__xludf.DUMMYFUNCTION("""COMPUTED_VALUE"""),"Shrubby spherulitestone with mud")</f>
        <v>Shrubby spherulitestone with mud</v>
      </c>
      <c r="C3" s="37">
        <f ca="1">IFERROR(__xludf.DUMMYFUNCTION("""COMPUTED_VALUE"""),7)</f>
        <v>7</v>
      </c>
      <c r="D3" s="37">
        <f ca="1">IFERROR(__xludf.DUMMYFUNCTION("""COMPUTED_VALUE"""),84)</f>
        <v>84</v>
      </c>
      <c r="E3" s="37">
        <f ca="1">IFERROR(__xludf.DUMMYFUNCTION("""COMPUTED_VALUE"""),8)</f>
        <v>8</v>
      </c>
      <c r="F3" s="37">
        <f ca="1">IFERROR(__xludf.DUMMYFUNCTION("""COMPUTED_VALUE"""),1)</f>
        <v>1</v>
      </c>
      <c r="G3" s="37">
        <f ca="1">IFERROR(__xludf.DUMMYFUNCTION("""COMPUTED_VALUE"""),0)</f>
        <v>0</v>
      </c>
      <c r="H3" s="37">
        <f ca="1">IFERROR(__xludf.DUMMYFUNCTION("""COMPUTED_VALUE"""),4)</f>
        <v>4</v>
      </c>
      <c r="I3" s="37">
        <f ca="1">IFERROR(__xludf.DUMMYFUNCTION("""COMPUTED_VALUE"""),1)</f>
        <v>1</v>
      </c>
      <c r="J3" s="37">
        <f ca="1">IFERROR(__xludf.DUMMYFUNCTION("""COMPUTED_VALUE"""),7)</f>
        <v>7</v>
      </c>
      <c r="K3" s="37">
        <f ca="1">IFERROR(__xludf.DUMMYFUNCTION("""COMPUTED_VALUE"""),0)</f>
        <v>0</v>
      </c>
      <c r="L3" s="37">
        <f ca="1">IFERROR(__xludf.DUMMYFUNCTION("""COMPUTED_VALUE"""),1)</f>
        <v>1</v>
      </c>
      <c r="M3" s="37">
        <f ca="1">IFERROR(__xludf.DUMMYFUNCTION("""COMPUTED_VALUE"""),1)</f>
        <v>1</v>
      </c>
      <c r="N3" s="39">
        <f ca="1">IFERROR(__xludf.DUMMYFUNCTION("""COMPUTED_VALUE"""),14.4)</f>
        <v>14.4</v>
      </c>
      <c r="O3" s="40">
        <f ca="1">IFERROR(__xludf.DUMMYFUNCTION("""COMPUTED_VALUE"""),10.1)</f>
        <v>10.1</v>
      </c>
      <c r="P3" s="37">
        <f ca="1">IFERROR(__xludf.DUMMYFUNCTION("""COMPUTED_VALUE"""),1)</f>
        <v>1</v>
      </c>
      <c r="Q3" s="37">
        <f ca="1">IFERROR(__xludf.DUMMYFUNCTION("""COMPUTED_VALUE"""),1)</f>
        <v>1</v>
      </c>
      <c r="R3" s="37" t="str">
        <f ca="1">IFERROR(__xludf.DUMMYFUNCTION("""COMPUTED_VALUE"""),"Lithology - Classification = Facies in situ and reworked facies adaptaded according to Gomes et al. 2020. Lithofacies* - adapted by Petrobras (original classification)")</f>
        <v>Lithology - Classification = Facies in situ and reworked facies adaptaded according to Gomes et al. 2020. Lithofacies* - adapted by Petrobras (original classification)</v>
      </c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F3" s="37"/>
      <c r="AG3" s="37"/>
      <c r="AH3" s="37"/>
      <c r="AI3" s="37"/>
      <c r="AJ3" s="37"/>
    </row>
    <row r="4" spans="1:36" x14ac:dyDescent="0.35">
      <c r="A4" s="37" t="str">
        <f ca="1">IFERROR(__xludf.DUMMYFUNCTION("""COMPUTED_VALUE"""),"4988,05")</f>
        <v>4988,05</v>
      </c>
      <c r="B4" s="37" t="str">
        <f ca="1">IFERROR(__xludf.DUMMYFUNCTION("""COMPUTED_VALUE"""),"Spherulitestone")</f>
        <v>Spherulitestone</v>
      </c>
      <c r="C4" s="37">
        <f ca="1">IFERROR(__xludf.DUMMYFUNCTION("""COMPUTED_VALUE"""),2)</f>
        <v>2</v>
      </c>
      <c r="D4" s="37">
        <f ca="1">IFERROR(__xludf.DUMMYFUNCTION("""COMPUTED_VALUE"""),71)</f>
        <v>71</v>
      </c>
      <c r="E4" s="37">
        <f ca="1">IFERROR(__xludf.DUMMYFUNCTION("""COMPUTED_VALUE"""),7)</f>
        <v>7</v>
      </c>
      <c r="F4" s="37">
        <f ca="1">IFERROR(__xludf.DUMMYFUNCTION("""COMPUTED_VALUE"""),13)</f>
        <v>13</v>
      </c>
      <c r="G4" s="37">
        <f ca="1">IFERROR(__xludf.DUMMYFUNCTION("""COMPUTED_VALUE"""),0)</f>
        <v>0</v>
      </c>
      <c r="H4" s="37">
        <f ca="1">IFERROR(__xludf.DUMMYFUNCTION("""COMPUTED_VALUE"""),3)</f>
        <v>3</v>
      </c>
      <c r="I4" s="37">
        <f ca="1">IFERROR(__xludf.DUMMYFUNCTION("""COMPUTED_VALUE"""),0)</f>
        <v>0</v>
      </c>
      <c r="J4" s="37">
        <f ca="1">IFERROR(__xludf.DUMMYFUNCTION("""COMPUTED_VALUE"""),9)</f>
        <v>9</v>
      </c>
      <c r="K4" s="37">
        <f ca="1">IFERROR(__xludf.DUMMYFUNCTION("""COMPUTED_VALUE"""),0)</f>
        <v>0</v>
      </c>
      <c r="L4" s="37">
        <f ca="1">IFERROR(__xludf.DUMMYFUNCTION("""COMPUTED_VALUE"""),1)</f>
        <v>1</v>
      </c>
      <c r="M4" s="37">
        <f ca="1">IFERROR(__xludf.DUMMYFUNCTION("""COMPUTED_VALUE"""),1)</f>
        <v>1</v>
      </c>
      <c r="N4" s="39">
        <f ca="1">IFERROR(__xludf.DUMMYFUNCTION("""COMPUTED_VALUE"""),10)</f>
        <v>10</v>
      </c>
      <c r="O4" s="40">
        <f ca="1">IFERROR(__xludf.DUMMYFUNCTION("""COMPUTED_VALUE"""),234)</f>
        <v>234</v>
      </c>
      <c r="P4" s="37">
        <f ca="1">IFERROR(__xludf.DUMMYFUNCTION("""COMPUTED_VALUE"""),1)</f>
        <v>1</v>
      </c>
      <c r="Q4" s="37">
        <f ca="1">IFERROR(__xludf.DUMMYFUNCTION("""COMPUTED_VALUE"""),3)</f>
        <v>3</v>
      </c>
      <c r="R4" s="37" t="str">
        <f ca="1">IFERROR(__xludf.DUMMYFUNCTION("""COMPUTED_VALUE"""),"Class:")</f>
        <v>Class:</v>
      </c>
      <c r="S4" s="37" t="str">
        <f ca="1">IFERROR(__xludf.DUMMYFUNCTION("""COMPUTED_VALUE"""),"Shrubstone = 1")</f>
        <v>Shrubstone = 1</v>
      </c>
      <c r="T4" s="37"/>
      <c r="U4" s="37"/>
      <c r="V4" s="37"/>
      <c r="W4" s="37"/>
      <c r="X4" s="37"/>
      <c r="Y4" s="37"/>
      <c r="Z4" s="37"/>
      <c r="AA4" s="37"/>
      <c r="AB4" s="37"/>
      <c r="AC4" s="37"/>
      <c r="AF4" s="37"/>
      <c r="AG4" s="37"/>
      <c r="AH4" s="37"/>
      <c r="AI4" s="37"/>
      <c r="AJ4" s="37"/>
    </row>
    <row r="5" spans="1:36" x14ac:dyDescent="0.35">
      <c r="A5" s="37" t="str">
        <f ca="1">IFERROR(__xludf.DUMMYFUNCTION("""COMPUTED_VALUE"""),"4989,30")</f>
        <v>4989,30</v>
      </c>
      <c r="B5" s="37" t="str">
        <f ca="1">IFERROR(__xludf.DUMMYFUNCTION("""COMPUTED_VALUE"""),"Shrubby spherulitestone")</f>
        <v>Shrubby spherulitestone</v>
      </c>
      <c r="C5" s="37">
        <f ca="1">IFERROR(__xludf.DUMMYFUNCTION("""COMPUTED_VALUE"""),4)</f>
        <v>4</v>
      </c>
      <c r="D5" s="37">
        <f ca="1">IFERROR(__xludf.DUMMYFUNCTION("""COMPUTED_VALUE"""),56)</f>
        <v>56</v>
      </c>
      <c r="E5" s="37">
        <f ca="1">IFERROR(__xludf.DUMMYFUNCTION("""COMPUTED_VALUE"""),29)</f>
        <v>29</v>
      </c>
      <c r="F5" s="37">
        <f ca="1">IFERROR(__xludf.DUMMYFUNCTION("""COMPUTED_VALUE"""),0)</f>
        <v>0</v>
      </c>
      <c r="G5" s="37">
        <f ca="1">IFERROR(__xludf.DUMMYFUNCTION("""COMPUTED_VALUE"""),0)</f>
        <v>0</v>
      </c>
      <c r="H5" s="37">
        <f ca="1">IFERROR(__xludf.DUMMYFUNCTION("""COMPUTED_VALUE"""),4)</f>
        <v>4</v>
      </c>
      <c r="I5" s="37">
        <f ca="1">IFERROR(__xludf.DUMMYFUNCTION("""COMPUTED_VALUE"""),0)</f>
        <v>0</v>
      </c>
      <c r="J5" s="37">
        <f ca="1">IFERROR(__xludf.DUMMYFUNCTION("""COMPUTED_VALUE"""),10)</f>
        <v>10</v>
      </c>
      <c r="K5" s="37">
        <f ca="1">IFERROR(__xludf.DUMMYFUNCTION("""COMPUTED_VALUE"""),5)</f>
        <v>5</v>
      </c>
      <c r="L5" s="37">
        <f ca="1">IFERROR(__xludf.DUMMYFUNCTION("""COMPUTED_VALUE"""),1)</f>
        <v>1</v>
      </c>
      <c r="M5" s="37">
        <f ca="1">IFERROR(__xludf.DUMMYFUNCTION("""COMPUTED_VALUE"""),1)</f>
        <v>1</v>
      </c>
      <c r="N5" s="39">
        <f ca="1">IFERROR(__xludf.DUMMYFUNCTION("""COMPUTED_VALUE"""),20.4)</f>
        <v>20.399999999999999</v>
      </c>
      <c r="O5" s="40">
        <f ca="1">IFERROR(__xludf.DUMMYFUNCTION("""COMPUTED_VALUE"""),1030)</f>
        <v>1030</v>
      </c>
      <c r="P5" s="37">
        <f ca="1">IFERROR(__xludf.DUMMYFUNCTION("""COMPUTED_VALUE"""),1)</f>
        <v>1</v>
      </c>
      <c r="Q5" s="37">
        <f ca="1">IFERROR(__xludf.DUMMYFUNCTION("""COMPUTED_VALUE"""),5)</f>
        <v>5</v>
      </c>
      <c r="R5" s="37"/>
      <c r="S5" s="37" t="str">
        <f ca="1">IFERROR(__xludf.DUMMYFUNCTION("""COMPUTED_VALUE"""),"Spherulitestone = 2")</f>
        <v>Spherulitestone = 2</v>
      </c>
      <c r="T5" s="37"/>
      <c r="U5" s="37"/>
      <c r="V5" s="37"/>
      <c r="W5" s="37"/>
      <c r="X5" s="37"/>
      <c r="Y5" s="37"/>
      <c r="Z5" s="37" t="str">
        <f ca="1">IFERROR(__xludf.DUMMYFUNCTION("""COMPUTED_VALUE"""),"Intraclastic grainstone = 8")</f>
        <v>Intraclastic grainstone = 8</v>
      </c>
      <c r="AA5" s="37"/>
      <c r="AB5" s="37"/>
      <c r="AC5" s="37"/>
      <c r="AF5" s="37"/>
      <c r="AG5" s="37"/>
      <c r="AH5" s="37"/>
      <c r="AI5" s="37"/>
      <c r="AJ5" s="37"/>
    </row>
    <row r="6" spans="1:36" x14ac:dyDescent="0.35">
      <c r="A6" s="37" t="str">
        <f ca="1">IFERROR(__xludf.DUMMYFUNCTION("""COMPUTED_VALUE"""),"4990,00")</f>
        <v>4990,00</v>
      </c>
      <c r="B6" s="37" t="str">
        <f ca="1">IFERROR(__xludf.DUMMYFUNCTION("""COMPUTED_VALUE"""),"Shrubby spherulitestone")</f>
        <v>Shrubby spherulitestone</v>
      </c>
      <c r="C6" s="37">
        <f ca="1">IFERROR(__xludf.DUMMYFUNCTION("""COMPUTED_VALUE"""),4)</f>
        <v>4</v>
      </c>
      <c r="D6" s="37">
        <f ca="1">IFERROR(__xludf.DUMMYFUNCTION("""COMPUTED_VALUE"""),81)</f>
        <v>81</v>
      </c>
      <c r="E6" s="37">
        <f ca="1">IFERROR(__xludf.DUMMYFUNCTION("""COMPUTED_VALUE"""),10)</f>
        <v>10</v>
      </c>
      <c r="F6" s="37">
        <f ca="1">IFERROR(__xludf.DUMMYFUNCTION("""COMPUTED_VALUE"""),0)</f>
        <v>0</v>
      </c>
      <c r="G6" s="37">
        <f ca="1">IFERROR(__xludf.DUMMYFUNCTION("""COMPUTED_VALUE"""),0)</f>
        <v>0</v>
      </c>
      <c r="H6" s="37">
        <f ca="1">IFERROR(__xludf.DUMMYFUNCTION("""COMPUTED_VALUE"""),2)</f>
        <v>2</v>
      </c>
      <c r="I6" s="37">
        <f ca="1">IFERROR(__xludf.DUMMYFUNCTION("""COMPUTED_VALUE"""),0)</f>
        <v>0</v>
      </c>
      <c r="J6" s="37">
        <f ca="1">IFERROR(__xludf.DUMMYFUNCTION("""COMPUTED_VALUE"""),3)</f>
        <v>3</v>
      </c>
      <c r="K6" s="37">
        <f ca="1">IFERROR(__xludf.DUMMYFUNCTION("""COMPUTED_VALUE"""),6)</f>
        <v>6</v>
      </c>
      <c r="L6" s="37">
        <f ca="1">IFERROR(__xludf.DUMMYFUNCTION("""COMPUTED_VALUE"""),0)</f>
        <v>0</v>
      </c>
      <c r="M6" s="37">
        <f ca="1">IFERROR(__xludf.DUMMYFUNCTION("""COMPUTED_VALUE"""),1)</f>
        <v>1</v>
      </c>
      <c r="N6" s="39">
        <f ca="1">IFERROR(__xludf.DUMMYFUNCTION("""COMPUTED_VALUE"""),14.7)</f>
        <v>14.7</v>
      </c>
      <c r="O6" s="40">
        <f ca="1">IFERROR(__xludf.DUMMYFUNCTION("""COMPUTED_VALUE"""),4360)</f>
        <v>4360</v>
      </c>
      <c r="P6" s="37">
        <f ca="1">IFERROR(__xludf.DUMMYFUNCTION("""COMPUTED_VALUE"""),1)</f>
        <v>1</v>
      </c>
      <c r="Q6" s="37">
        <f ca="1">IFERROR(__xludf.DUMMYFUNCTION("""COMPUTED_VALUE"""),5)</f>
        <v>5</v>
      </c>
      <c r="R6" s="37"/>
      <c r="S6" s="37" t="str">
        <f ca="1">IFERROR(__xludf.DUMMYFUNCTION("""COMPUTED_VALUE"""),"Mudstone (silicius mudstone, dolomudstone) = 3")</f>
        <v>Mudstone (silicius mudstone, dolomudstone) = 3</v>
      </c>
      <c r="T6" s="37"/>
      <c r="U6" s="37"/>
      <c r="V6" s="37"/>
      <c r="W6" s="37"/>
      <c r="X6" s="37"/>
      <c r="Y6" s="37"/>
      <c r="Z6" s="37" t="str">
        <f ca="1">IFERROR(__xludf.DUMMYFUNCTION("""COMPUTED_VALUE"""),"Intraclastic packstone = 9")</f>
        <v>Intraclastic packstone = 9</v>
      </c>
      <c r="AA6" s="37"/>
      <c r="AB6" s="37"/>
      <c r="AC6" s="37"/>
      <c r="AF6" s="37"/>
      <c r="AG6" s="37"/>
      <c r="AH6" s="37"/>
      <c r="AI6" s="37"/>
      <c r="AJ6" s="37"/>
    </row>
    <row r="7" spans="1:36" x14ac:dyDescent="0.35">
      <c r="A7" s="37" t="str">
        <f ca="1">IFERROR(__xludf.DUMMYFUNCTION("""COMPUTED_VALUE"""),"4990,65")</f>
        <v>4990,65</v>
      </c>
      <c r="B7" s="37" t="str">
        <f ca="1">IFERROR(__xludf.DUMMYFUNCTION("""COMPUTED_VALUE"""),"Shrubstone")</f>
        <v>Shrubstone</v>
      </c>
      <c r="C7" s="37">
        <f ca="1">IFERROR(__xludf.DUMMYFUNCTION("""COMPUTED_VALUE"""),1)</f>
        <v>1</v>
      </c>
      <c r="D7" s="37">
        <f ca="1">IFERROR(__xludf.DUMMYFUNCTION("""COMPUTED_VALUE"""),81)</f>
        <v>81</v>
      </c>
      <c r="E7" s="37">
        <f ca="1">IFERROR(__xludf.DUMMYFUNCTION("""COMPUTED_VALUE"""),8)</f>
        <v>8</v>
      </c>
      <c r="F7" s="37">
        <f ca="1">IFERROR(__xludf.DUMMYFUNCTION("""COMPUTED_VALUE"""),0)</f>
        <v>0</v>
      </c>
      <c r="G7" s="37">
        <f ca="1">IFERROR(__xludf.DUMMYFUNCTION("""COMPUTED_VALUE"""),0)</f>
        <v>0</v>
      </c>
      <c r="H7" s="37">
        <f ca="1">IFERROR(__xludf.DUMMYFUNCTION("""COMPUTED_VALUE"""),3)</f>
        <v>3</v>
      </c>
      <c r="I7" s="37">
        <f ca="1">IFERROR(__xludf.DUMMYFUNCTION("""COMPUTED_VALUE"""),1)</f>
        <v>1</v>
      </c>
      <c r="J7" s="37">
        <f ca="1">IFERROR(__xludf.DUMMYFUNCTION("""COMPUTED_VALUE"""),7)</f>
        <v>7</v>
      </c>
      <c r="K7" s="37">
        <f ca="1">IFERROR(__xludf.DUMMYFUNCTION("""COMPUTED_VALUE"""),4)</f>
        <v>4</v>
      </c>
      <c r="L7" s="37">
        <f ca="1">IFERROR(__xludf.DUMMYFUNCTION("""COMPUTED_VALUE"""),1)</f>
        <v>1</v>
      </c>
      <c r="M7" s="37">
        <f ca="1">IFERROR(__xludf.DUMMYFUNCTION("""COMPUTED_VALUE"""),1)</f>
        <v>1</v>
      </c>
      <c r="N7" s="39">
        <f ca="1">IFERROR(__xludf.DUMMYFUNCTION("""COMPUTED_VALUE"""),9.9)</f>
        <v>9.9</v>
      </c>
      <c r="O7" s="40">
        <f ca="1">IFERROR(__xludf.DUMMYFUNCTION("""COMPUTED_VALUE"""),231)</f>
        <v>231</v>
      </c>
      <c r="P7" s="37">
        <f ca="1">IFERROR(__xludf.DUMMYFUNCTION("""COMPUTED_VALUE"""),1)</f>
        <v>1</v>
      </c>
      <c r="Q7" s="37">
        <f ca="1">IFERROR(__xludf.DUMMYFUNCTION("""COMPUTED_VALUE"""),3)</f>
        <v>3</v>
      </c>
      <c r="R7" s="37"/>
      <c r="S7" s="37" t="str">
        <f ca="1">IFERROR(__xludf.DUMMYFUNCTION("""COMPUTED_VALUE"""),"Shrubby spherulitestone = 4")</f>
        <v>Shrubby spherulitestone = 4</v>
      </c>
      <c r="T7" s="37"/>
      <c r="U7" s="37"/>
      <c r="V7" s="37"/>
      <c r="W7" s="37"/>
      <c r="X7" s="37"/>
      <c r="Y7" s="37"/>
      <c r="Z7" s="37" t="str">
        <f ca="1">IFERROR(__xludf.DUMMYFUNCTION("""COMPUTED_VALUE"""),"Intraclastic rudstone = 10")</f>
        <v>Intraclastic rudstone = 10</v>
      </c>
      <c r="AA7" s="37"/>
      <c r="AB7" s="37"/>
      <c r="AC7" s="37"/>
      <c r="AF7" s="37"/>
      <c r="AG7" s="37"/>
      <c r="AH7" s="37"/>
      <c r="AI7" s="37"/>
      <c r="AJ7" s="37"/>
    </row>
    <row r="8" spans="1:36" x14ac:dyDescent="0.35">
      <c r="A8" s="37" t="str">
        <f ca="1">IFERROR(__xludf.DUMMYFUNCTION("""COMPUTED_VALUE"""),"4991,60")</f>
        <v>4991,60</v>
      </c>
      <c r="B8" s="37" t="str">
        <f ca="1">IFERROR(__xludf.DUMMYFUNCTION("""COMPUTED_VALUE"""),"Shrubstone")</f>
        <v>Shrubstone</v>
      </c>
      <c r="C8" s="37">
        <f ca="1">IFERROR(__xludf.DUMMYFUNCTION("""COMPUTED_VALUE"""),1)</f>
        <v>1</v>
      </c>
      <c r="D8" s="37">
        <f ca="1">IFERROR(__xludf.DUMMYFUNCTION("""COMPUTED_VALUE"""),80)</f>
        <v>80</v>
      </c>
      <c r="E8" s="37">
        <f ca="1">IFERROR(__xludf.DUMMYFUNCTION("""COMPUTED_VALUE"""),1)</f>
        <v>1</v>
      </c>
      <c r="F8" s="37">
        <f ca="1">IFERROR(__xludf.DUMMYFUNCTION("""COMPUTED_VALUE"""),0)</f>
        <v>0</v>
      </c>
      <c r="G8" s="37">
        <f ca="1">IFERROR(__xludf.DUMMYFUNCTION("""COMPUTED_VALUE"""),0)</f>
        <v>0</v>
      </c>
      <c r="H8" s="37">
        <f ca="1">IFERROR(__xludf.DUMMYFUNCTION("""COMPUTED_VALUE"""),1)</f>
        <v>1</v>
      </c>
      <c r="I8" s="37">
        <f ca="1">IFERROR(__xludf.DUMMYFUNCTION("""COMPUTED_VALUE"""),1)</f>
        <v>1</v>
      </c>
      <c r="J8" s="37">
        <f ca="1">IFERROR(__xludf.DUMMYFUNCTION("""COMPUTED_VALUE"""),10)</f>
        <v>10</v>
      </c>
      <c r="K8" s="37">
        <f ca="1">IFERROR(__xludf.DUMMYFUNCTION("""COMPUTED_VALUE"""),9)</f>
        <v>9</v>
      </c>
      <c r="L8" s="37">
        <f ca="1">IFERROR(__xludf.DUMMYFUNCTION("""COMPUTED_VALUE"""),0)</f>
        <v>0</v>
      </c>
      <c r="M8" s="37">
        <f ca="1">IFERROR(__xludf.DUMMYFUNCTION("""COMPUTED_VALUE"""),1)</f>
        <v>1</v>
      </c>
      <c r="N8" s="39">
        <f ca="1">IFERROR(__xludf.DUMMYFUNCTION("""COMPUTED_VALUE"""),16.3)</f>
        <v>16.3</v>
      </c>
      <c r="O8" s="40">
        <f ca="1">IFERROR(__xludf.DUMMYFUNCTION("""COMPUTED_VALUE"""),330)</f>
        <v>330</v>
      </c>
      <c r="P8" s="37">
        <f ca="1">IFERROR(__xludf.DUMMYFUNCTION("""COMPUTED_VALUE"""),1)</f>
        <v>1</v>
      </c>
      <c r="Q8" s="37">
        <f ca="1">IFERROR(__xludf.DUMMYFUNCTION("""COMPUTED_VALUE"""),3)</f>
        <v>3</v>
      </c>
      <c r="R8" s="37"/>
      <c r="S8" s="37" t="str">
        <f ca="1">IFERROR(__xludf.DUMMYFUNCTION("""COMPUTED_VALUE"""),"Spherulitic shrubstone = 5")</f>
        <v>Spherulitic shrubstone = 5</v>
      </c>
      <c r="T8" s="37"/>
      <c r="U8" s="37"/>
      <c r="V8" s="37"/>
      <c r="W8" s="37"/>
      <c r="X8" s="37"/>
      <c r="Y8" s="37"/>
      <c r="Z8" s="37" t="str">
        <f ca="1">IFERROR(__xludf.DUMMYFUNCTION("""COMPUTED_VALUE"""),"Breccias (cabonatic, silic) = 11")</f>
        <v>Breccias (cabonatic, silic) = 11</v>
      </c>
      <c r="AA8" s="37"/>
      <c r="AB8" s="37"/>
      <c r="AC8" s="37"/>
      <c r="AF8" s="37"/>
      <c r="AG8" s="37"/>
      <c r="AH8" s="37"/>
      <c r="AI8" s="37"/>
      <c r="AJ8" s="37"/>
    </row>
    <row r="9" spans="1:36" x14ac:dyDescent="0.35">
      <c r="A9" s="37" t="str">
        <f ca="1">IFERROR(__xludf.DUMMYFUNCTION("""COMPUTED_VALUE"""),"4992,80")</f>
        <v>4992,80</v>
      </c>
      <c r="B9" s="37" t="str">
        <f ca="1">IFERROR(__xludf.DUMMYFUNCTION("""COMPUTED_VALUE"""),"Intraclastic packstone")</f>
        <v>Intraclastic packstone</v>
      </c>
      <c r="C9" s="37">
        <f ca="1">IFERROR(__xludf.DUMMYFUNCTION("""COMPUTED_VALUE"""),9)</f>
        <v>9</v>
      </c>
      <c r="D9" s="37">
        <f ca="1">IFERROR(__xludf.DUMMYFUNCTION("""COMPUTED_VALUE"""),54)</f>
        <v>54</v>
      </c>
      <c r="E9" s="37">
        <f ca="1">IFERROR(__xludf.DUMMYFUNCTION("""COMPUTED_VALUE"""),12)</f>
        <v>12</v>
      </c>
      <c r="F9" s="37">
        <f ca="1">IFERROR(__xludf.DUMMYFUNCTION("""COMPUTED_VALUE"""),2)</f>
        <v>2</v>
      </c>
      <c r="G9" s="37">
        <f ca="1">IFERROR(__xludf.DUMMYFUNCTION("""COMPUTED_VALUE"""),0)</f>
        <v>0</v>
      </c>
      <c r="H9" s="37">
        <f ca="1">IFERROR(__xludf.DUMMYFUNCTION("""COMPUTED_VALUE"""),4)</f>
        <v>4</v>
      </c>
      <c r="I9" s="37">
        <f ca="1">IFERROR(__xludf.DUMMYFUNCTION("""COMPUTED_VALUE"""),0)</f>
        <v>0</v>
      </c>
      <c r="J9" s="37">
        <f ca="1">IFERROR(__xludf.DUMMYFUNCTION("""COMPUTED_VALUE"""),11)</f>
        <v>11</v>
      </c>
      <c r="K9" s="37">
        <f ca="1">IFERROR(__xludf.DUMMYFUNCTION("""COMPUTED_VALUE"""),21)</f>
        <v>21</v>
      </c>
      <c r="L9" s="37">
        <f ca="1">IFERROR(__xludf.DUMMYFUNCTION("""COMPUTED_VALUE"""),0)</f>
        <v>0</v>
      </c>
      <c r="M9" s="37">
        <f ca="1">IFERROR(__xludf.DUMMYFUNCTION("""COMPUTED_VALUE"""),0)</f>
        <v>0</v>
      </c>
      <c r="N9" s="39">
        <f ca="1">IFERROR(__xludf.DUMMYFUNCTION("""COMPUTED_VALUE"""),18.1)</f>
        <v>18.100000000000001</v>
      </c>
      <c r="O9" s="40">
        <f ca="1">IFERROR(__xludf.DUMMYFUNCTION("""COMPUTED_VALUE"""),49.3)</f>
        <v>49.3</v>
      </c>
      <c r="P9" s="37">
        <f ca="1">IFERROR(__xludf.DUMMYFUNCTION("""COMPUTED_VALUE"""),2)</f>
        <v>2</v>
      </c>
      <c r="Q9" s="37">
        <f ca="1">IFERROR(__xludf.DUMMYFUNCTION("""COMPUTED_VALUE"""),1)</f>
        <v>1</v>
      </c>
      <c r="R9" s="37"/>
      <c r="S9" s="37" t="str">
        <f ca="1">IFERROR(__xludf.DUMMYFUNCTION("""COMPUTED_VALUE"""),"Mudstone spherulitic = 6")</f>
        <v>Mudstone spherulitic = 6</v>
      </c>
      <c r="T9" s="37"/>
      <c r="U9" s="37"/>
      <c r="V9" s="37"/>
      <c r="W9" s="37"/>
      <c r="X9" s="37"/>
      <c r="Y9" s="37"/>
      <c r="Z9" s="37"/>
      <c r="AA9" s="37"/>
      <c r="AB9" s="37"/>
      <c r="AC9" s="37"/>
      <c r="AF9" s="37"/>
      <c r="AG9" s="37"/>
      <c r="AH9" s="37"/>
      <c r="AI9" s="37"/>
      <c r="AJ9" s="37"/>
    </row>
    <row r="10" spans="1:36" x14ac:dyDescent="0.35">
      <c r="A10" s="37" t="str">
        <f ca="1">IFERROR(__xludf.DUMMYFUNCTION("""COMPUTED_VALUE"""),"4993,05")</f>
        <v>4993,05</v>
      </c>
      <c r="B10" s="37" t="str">
        <f ca="1">IFERROR(__xludf.DUMMYFUNCTION("""COMPUTED_VALUE"""),"Intraclastic packstone")</f>
        <v>Intraclastic packstone</v>
      </c>
      <c r="C10" s="37">
        <f ca="1">IFERROR(__xludf.DUMMYFUNCTION("""COMPUTED_VALUE"""),9)</f>
        <v>9</v>
      </c>
      <c r="D10" s="37">
        <f ca="1">IFERROR(__xludf.DUMMYFUNCTION("""COMPUTED_VALUE"""),59)</f>
        <v>59</v>
      </c>
      <c r="E10" s="37">
        <f ca="1">IFERROR(__xludf.DUMMYFUNCTION("""COMPUTED_VALUE"""),12)</f>
        <v>12</v>
      </c>
      <c r="F10" s="37">
        <f ca="1">IFERROR(__xludf.DUMMYFUNCTION("""COMPUTED_VALUE"""),1)</f>
        <v>1</v>
      </c>
      <c r="G10" s="37">
        <f ca="1">IFERROR(__xludf.DUMMYFUNCTION("""COMPUTED_VALUE"""),0)</f>
        <v>0</v>
      </c>
      <c r="H10" s="37">
        <f ca="1">IFERROR(__xludf.DUMMYFUNCTION("""COMPUTED_VALUE"""),4)</f>
        <v>4</v>
      </c>
      <c r="I10" s="37">
        <f ca="1">IFERROR(__xludf.DUMMYFUNCTION("""COMPUTED_VALUE"""),0)</f>
        <v>0</v>
      </c>
      <c r="J10" s="37">
        <f ca="1">IFERROR(__xludf.DUMMYFUNCTION("""COMPUTED_VALUE"""),13)</f>
        <v>13</v>
      </c>
      <c r="K10" s="37">
        <f ca="1">IFERROR(__xludf.DUMMYFUNCTION("""COMPUTED_VALUE"""),15)</f>
        <v>15</v>
      </c>
      <c r="L10" s="37">
        <f ca="1">IFERROR(__xludf.DUMMYFUNCTION("""COMPUTED_VALUE"""),0)</f>
        <v>0</v>
      </c>
      <c r="M10" s="37">
        <f ca="1">IFERROR(__xludf.DUMMYFUNCTION("""COMPUTED_VALUE"""),1)</f>
        <v>1</v>
      </c>
      <c r="N10" s="39">
        <f ca="1">IFERROR(__xludf.DUMMYFUNCTION("""COMPUTED_VALUE"""),18.7)</f>
        <v>18.7</v>
      </c>
      <c r="O10" s="40">
        <f ca="1">IFERROR(__xludf.DUMMYFUNCTION("""COMPUTED_VALUE"""),189)</f>
        <v>189</v>
      </c>
      <c r="P10" s="37">
        <f ca="1">IFERROR(__xludf.DUMMYFUNCTION("""COMPUTED_VALUE"""),2)</f>
        <v>2</v>
      </c>
      <c r="Q10" s="37">
        <f ca="1">IFERROR(__xludf.DUMMYFUNCTION("""COMPUTED_VALUE"""),2)</f>
        <v>2</v>
      </c>
      <c r="R10" s="37"/>
      <c r="S10" s="37" t="str">
        <f ca="1">IFERROR(__xludf.DUMMYFUNCTION("""COMPUTED_VALUE"""),"Shrubby spherulitestone with mud = 7")</f>
        <v>Shrubby spherulitestone with mud = 7</v>
      </c>
      <c r="T10" s="37"/>
      <c r="U10" s="37"/>
      <c r="V10" s="37"/>
      <c r="W10" s="37"/>
      <c r="X10" s="37"/>
      <c r="Y10" s="37"/>
      <c r="Z10" s="37"/>
      <c r="AA10" s="37"/>
      <c r="AB10" s="37"/>
      <c r="AC10" s="37"/>
      <c r="AF10" s="37"/>
      <c r="AG10" s="37"/>
      <c r="AH10" s="37"/>
      <c r="AI10" s="37"/>
      <c r="AJ10" s="37"/>
    </row>
    <row r="11" spans="1:36" x14ac:dyDescent="0.35">
      <c r="A11" s="37" t="str">
        <f ca="1">IFERROR(__xludf.DUMMYFUNCTION("""COMPUTED_VALUE"""),"4994,85")</f>
        <v>4994,85</v>
      </c>
      <c r="B11" s="37" t="str">
        <f ca="1">IFERROR(__xludf.DUMMYFUNCTION("""COMPUTED_VALUE"""),"Shrubstone")</f>
        <v>Shrubstone</v>
      </c>
      <c r="C11" s="37">
        <f ca="1">IFERROR(__xludf.DUMMYFUNCTION("""COMPUTED_VALUE"""),1)</f>
        <v>1</v>
      </c>
      <c r="D11" s="37">
        <f ca="1">IFERROR(__xludf.DUMMYFUNCTION("""COMPUTED_VALUE"""),65)</f>
        <v>65</v>
      </c>
      <c r="E11" s="37">
        <f ca="1">IFERROR(__xludf.DUMMYFUNCTION("""COMPUTED_VALUE"""),20)</f>
        <v>20</v>
      </c>
      <c r="F11" s="37">
        <f ca="1">IFERROR(__xludf.DUMMYFUNCTION("""COMPUTED_VALUE"""),0)</f>
        <v>0</v>
      </c>
      <c r="G11" s="37">
        <f ca="1">IFERROR(__xludf.DUMMYFUNCTION("""COMPUTED_VALUE"""),0)</f>
        <v>0</v>
      </c>
      <c r="H11" s="37">
        <f ca="1">IFERROR(__xludf.DUMMYFUNCTION("""COMPUTED_VALUE"""),4)</f>
        <v>4</v>
      </c>
      <c r="I11" s="37">
        <f ca="1">IFERROR(__xludf.DUMMYFUNCTION("""COMPUTED_VALUE"""),0)</f>
        <v>0</v>
      </c>
      <c r="J11" s="37">
        <f ca="1">IFERROR(__xludf.DUMMYFUNCTION("""COMPUTED_VALUE"""),12)</f>
        <v>12</v>
      </c>
      <c r="K11" s="37">
        <f ca="1">IFERROR(__xludf.DUMMYFUNCTION("""COMPUTED_VALUE"""),3)</f>
        <v>3</v>
      </c>
      <c r="L11" s="37">
        <f ca="1">IFERROR(__xludf.DUMMYFUNCTION("""COMPUTED_VALUE"""),1)</f>
        <v>1</v>
      </c>
      <c r="M11" s="37">
        <f ca="1">IFERROR(__xludf.DUMMYFUNCTION("""COMPUTED_VALUE"""),1)</f>
        <v>1</v>
      </c>
      <c r="N11" s="39">
        <f ca="1">IFERROR(__xludf.DUMMYFUNCTION("""COMPUTED_VALUE"""),17.2)</f>
        <v>17.2</v>
      </c>
      <c r="O11" s="40">
        <f ca="1">IFERROR(__xludf.DUMMYFUNCTION("""COMPUTED_VALUE"""),1670)</f>
        <v>1670</v>
      </c>
      <c r="P11" s="37">
        <f ca="1">IFERROR(__xludf.DUMMYFUNCTION("""COMPUTED_VALUE"""),1)</f>
        <v>1</v>
      </c>
      <c r="Q11" s="37">
        <f ca="1">IFERROR(__xludf.DUMMYFUNCTION("""COMPUTED_VALUE"""),5)</f>
        <v>5</v>
      </c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F11" s="37"/>
      <c r="AG11" s="37"/>
      <c r="AH11" s="37"/>
      <c r="AI11" s="37"/>
      <c r="AJ11" s="37"/>
    </row>
    <row r="12" spans="1:36" x14ac:dyDescent="0.35">
      <c r="A12" s="37" t="str">
        <f ca="1">IFERROR(__xludf.DUMMYFUNCTION("""COMPUTED_VALUE"""),"4995,05")</f>
        <v>4995,05</v>
      </c>
      <c r="B12" s="37" t="str">
        <f ca="1">IFERROR(__xludf.DUMMYFUNCTION("""COMPUTED_VALUE"""),"Shrubby spherulitestone")</f>
        <v>Shrubby spherulitestone</v>
      </c>
      <c r="C12" s="37">
        <f ca="1">IFERROR(__xludf.DUMMYFUNCTION("""COMPUTED_VALUE"""),4)</f>
        <v>4</v>
      </c>
      <c r="D12" s="37">
        <f ca="1">IFERROR(__xludf.DUMMYFUNCTION("""COMPUTED_VALUE"""),42)</f>
        <v>42</v>
      </c>
      <c r="E12" s="37">
        <f ca="1">IFERROR(__xludf.DUMMYFUNCTION("""COMPUTED_VALUE"""),33)</f>
        <v>33</v>
      </c>
      <c r="F12" s="37">
        <f ca="1">IFERROR(__xludf.DUMMYFUNCTION("""COMPUTED_VALUE"""),0)</f>
        <v>0</v>
      </c>
      <c r="G12" s="37">
        <f ca="1">IFERROR(__xludf.DUMMYFUNCTION("""COMPUTED_VALUE"""),0)</f>
        <v>0</v>
      </c>
      <c r="H12" s="37">
        <f ca="1">IFERROR(__xludf.DUMMYFUNCTION("""COMPUTED_VALUE"""),4)</f>
        <v>4</v>
      </c>
      <c r="I12" s="37">
        <f ca="1">IFERROR(__xludf.DUMMYFUNCTION("""COMPUTED_VALUE"""),1)</f>
        <v>1</v>
      </c>
      <c r="J12" s="37">
        <f ca="1">IFERROR(__xludf.DUMMYFUNCTION("""COMPUTED_VALUE"""),16)</f>
        <v>16</v>
      </c>
      <c r="K12" s="37">
        <f ca="1">IFERROR(__xludf.DUMMYFUNCTION("""COMPUTED_VALUE"""),9)</f>
        <v>9</v>
      </c>
      <c r="L12" s="37">
        <f ca="1">IFERROR(__xludf.DUMMYFUNCTION("""COMPUTED_VALUE"""),1)</f>
        <v>1</v>
      </c>
      <c r="M12" s="37">
        <f ca="1">IFERROR(__xludf.DUMMYFUNCTION("""COMPUTED_VALUE"""),1)</f>
        <v>1</v>
      </c>
      <c r="N12" s="39">
        <f ca="1">IFERROR(__xludf.DUMMYFUNCTION("""COMPUTED_VALUE"""),17)</f>
        <v>17</v>
      </c>
      <c r="O12" s="40">
        <f ca="1">IFERROR(__xludf.DUMMYFUNCTION("""COMPUTED_VALUE"""),2100)</f>
        <v>2100</v>
      </c>
      <c r="P12" s="37">
        <f ca="1">IFERROR(__xludf.DUMMYFUNCTION("""COMPUTED_VALUE"""),1)</f>
        <v>1</v>
      </c>
      <c r="Q12" s="37">
        <f ca="1">IFERROR(__xludf.DUMMYFUNCTION("""COMPUTED_VALUE"""),5)</f>
        <v>5</v>
      </c>
      <c r="R12" s="37" t="str">
        <f ca="1">IFERROR(__xludf.DUMMYFUNCTION("""COMPUTED_VALUE"""),"Type contact between grains = amalgameda: 0; sutured: 1; concave-convex: 2; longitudinal-transverse: 3; punctual: 4; floating: 5 ")</f>
        <v xml:space="preserve">Type contact between grains = amalgameda: 0; sutured: 1; concave-convex: 2; longitudinal-transverse: 3; punctual: 4; floating: 5 </v>
      </c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F12" s="37"/>
      <c r="AG12" s="37"/>
      <c r="AH12" s="37"/>
      <c r="AI12" s="37"/>
      <c r="AJ12" s="37"/>
    </row>
    <row r="13" spans="1:36" x14ac:dyDescent="0.35">
      <c r="A13" s="37" t="str">
        <f ca="1">IFERROR(__xludf.DUMMYFUNCTION("""COMPUTED_VALUE"""),"4995,60")</f>
        <v>4995,60</v>
      </c>
      <c r="B13" s="37" t="str">
        <f ca="1">IFERROR(__xludf.DUMMYFUNCTION("""COMPUTED_VALUE"""),"Shrubstone")</f>
        <v>Shrubstone</v>
      </c>
      <c r="C13" s="37">
        <f ca="1">IFERROR(__xludf.DUMMYFUNCTION("""COMPUTED_VALUE"""),1)</f>
        <v>1</v>
      </c>
      <c r="D13" s="37">
        <f ca="1">IFERROR(__xludf.DUMMYFUNCTION("""COMPUTED_VALUE"""),71)</f>
        <v>71</v>
      </c>
      <c r="E13" s="37">
        <f ca="1">IFERROR(__xludf.DUMMYFUNCTION("""COMPUTED_VALUE"""),19)</f>
        <v>19</v>
      </c>
      <c r="F13" s="37">
        <f ca="1">IFERROR(__xludf.DUMMYFUNCTION("""COMPUTED_VALUE"""),0)</f>
        <v>0</v>
      </c>
      <c r="G13" s="37">
        <f ca="1">IFERROR(__xludf.DUMMYFUNCTION("""COMPUTED_VALUE"""),0)</f>
        <v>0</v>
      </c>
      <c r="H13" s="37">
        <f ca="1">IFERROR(__xludf.DUMMYFUNCTION("""COMPUTED_VALUE"""),4)</f>
        <v>4</v>
      </c>
      <c r="I13" s="37">
        <f ca="1">IFERROR(__xludf.DUMMYFUNCTION("""COMPUTED_VALUE"""),1)</f>
        <v>1</v>
      </c>
      <c r="J13" s="37">
        <f ca="1">IFERROR(__xludf.DUMMYFUNCTION("""COMPUTED_VALUE"""),7)</f>
        <v>7</v>
      </c>
      <c r="K13" s="37">
        <f ca="1">IFERROR(__xludf.DUMMYFUNCTION("""COMPUTED_VALUE"""),3)</f>
        <v>3</v>
      </c>
      <c r="L13" s="37">
        <f ca="1">IFERROR(__xludf.DUMMYFUNCTION("""COMPUTED_VALUE"""),1)</f>
        <v>1</v>
      </c>
      <c r="M13" s="37">
        <f ca="1">IFERROR(__xludf.DUMMYFUNCTION("""COMPUTED_VALUE"""),0)</f>
        <v>0</v>
      </c>
      <c r="N13" s="39">
        <f ca="1">IFERROR(__xludf.DUMMYFUNCTION("""COMPUTED_VALUE"""),11.3)</f>
        <v>11.3</v>
      </c>
      <c r="O13" s="40">
        <f ca="1">IFERROR(__xludf.DUMMYFUNCTION("""COMPUTED_VALUE"""),195)</f>
        <v>195</v>
      </c>
      <c r="P13" s="37">
        <f ca="1">IFERROR(__xludf.DUMMYFUNCTION("""COMPUTED_VALUE"""),1)</f>
        <v>1</v>
      </c>
      <c r="Q13" s="37">
        <f ca="1">IFERROR(__xludf.DUMMYFUNCTION("""COMPUTED_VALUE"""),2)</f>
        <v>2</v>
      </c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F13" s="37"/>
      <c r="AG13" s="37"/>
      <c r="AH13" s="37"/>
      <c r="AI13" s="37"/>
      <c r="AJ13" s="37"/>
    </row>
    <row r="14" spans="1:36" x14ac:dyDescent="0.35">
      <c r="A14" s="37" t="str">
        <f ca="1">IFERROR(__xludf.DUMMYFUNCTION("""COMPUTED_VALUE"""),"4996,75")</f>
        <v>4996,75</v>
      </c>
      <c r="B14" s="37" t="str">
        <f ca="1">IFERROR(__xludf.DUMMYFUNCTION("""COMPUTED_VALUE"""),"Intraclastic grainstone")</f>
        <v>Intraclastic grainstone</v>
      </c>
      <c r="C14" s="37">
        <f ca="1">IFERROR(__xludf.DUMMYFUNCTION("""COMPUTED_VALUE"""),9)</f>
        <v>9</v>
      </c>
      <c r="D14" s="37">
        <f ca="1">IFERROR(__xludf.DUMMYFUNCTION("""COMPUTED_VALUE"""),66)</f>
        <v>66</v>
      </c>
      <c r="E14" s="37">
        <f ca="1">IFERROR(__xludf.DUMMYFUNCTION("""COMPUTED_VALUE"""),11)</f>
        <v>11</v>
      </c>
      <c r="F14" s="37">
        <f ca="1">IFERROR(__xludf.DUMMYFUNCTION("""COMPUTED_VALUE"""),0)</f>
        <v>0</v>
      </c>
      <c r="G14" s="37">
        <f ca="1">IFERROR(__xludf.DUMMYFUNCTION("""COMPUTED_VALUE"""),0)</f>
        <v>0</v>
      </c>
      <c r="H14" s="37">
        <f ca="1">IFERROR(__xludf.DUMMYFUNCTION("""COMPUTED_VALUE"""),4)</f>
        <v>4</v>
      </c>
      <c r="I14" s="37">
        <f ca="1">IFERROR(__xludf.DUMMYFUNCTION("""COMPUTED_VALUE"""),0)</f>
        <v>0</v>
      </c>
      <c r="J14" s="37">
        <f ca="1">IFERROR(__xludf.DUMMYFUNCTION("""COMPUTED_VALUE"""),5)</f>
        <v>5</v>
      </c>
      <c r="K14" s="37">
        <f ca="1">IFERROR(__xludf.DUMMYFUNCTION("""COMPUTED_VALUE"""),18)</f>
        <v>18</v>
      </c>
      <c r="L14" s="37">
        <f ca="1">IFERROR(__xludf.DUMMYFUNCTION("""COMPUTED_VALUE"""),1)</f>
        <v>1</v>
      </c>
      <c r="M14" s="37">
        <f ca="1">IFERROR(__xludf.DUMMYFUNCTION("""COMPUTED_VALUE"""),1)</f>
        <v>1</v>
      </c>
      <c r="N14" s="39">
        <f ca="1">IFERROR(__xludf.DUMMYFUNCTION("""COMPUTED_VALUE"""),16.4)</f>
        <v>16.399999999999999</v>
      </c>
      <c r="O14" s="40">
        <f ca="1">IFERROR(__xludf.DUMMYFUNCTION("""COMPUTED_VALUE"""),204)</f>
        <v>204</v>
      </c>
      <c r="P14" s="37">
        <f ca="1">IFERROR(__xludf.DUMMYFUNCTION("""COMPUTED_VALUE"""),2)</f>
        <v>2</v>
      </c>
      <c r="Q14" s="37">
        <f ca="1">IFERROR(__xludf.DUMMYFUNCTION("""COMPUTED_VALUE"""),2)</f>
        <v>2</v>
      </c>
      <c r="R14" s="37" t="str">
        <f ca="1">IFERROR(__xludf.DUMMYFUNCTION("""COMPUTED_VALUE"""),"Amalgamated framework = yes: 1; no: 0")</f>
        <v>Amalgamated framework = yes: 1; no: 0</v>
      </c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F14" s="37"/>
      <c r="AG14" s="37"/>
      <c r="AH14" s="37"/>
      <c r="AI14" s="37"/>
      <c r="AJ14" s="37"/>
    </row>
    <row r="15" spans="1:36" x14ac:dyDescent="0.35">
      <c r="A15" s="37" t="str">
        <f ca="1">IFERROR(__xludf.DUMMYFUNCTION("""COMPUTED_VALUE"""),"4997,50")</f>
        <v>4997,50</v>
      </c>
      <c r="B15" s="37" t="str">
        <f ca="1">IFERROR(__xludf.DUMMYFUNCTION("""COMPUTED_VALUE"""),"Shrubby spherulitestone with mud")</f>
        <v>Shrubby spherulitestone with mud</v>
      </c>
      <c r="C15" s="37">
        <f ca="1">IFERROR(__xludf.DUMMYFUNCTION("""COMPUTED_VALUE"""),7)</f>
        <v>7</v>
      </c>
      <c r="D15" s="37">
        <f ca="1">IFERROR(__xludf.DUMMYFUNCTION("""COMPUTED_VALUE"""),70)</f>
        <v>70</v>
      </c>
      <c r="E15" s="37">
        <f ca="1">IFERROR(__xludf.DUMMYFUNCTION("""COMPUTED_VALUE"""),7)</f>
        <v>7</v>
      </c>
      <c r="F15" s="37">
        <f ca="1">IFERROR(__xludf.DUMMYFUNCTION("""COMPUTED_VALUE"""),4)</f>
        <v>4</v>
      </c>
      <c r="G15" s="37">
        <f ca="1">IFERROR(__xludf.DUMMYFUNCTION("""COMPUTED_VALUE"""),0)</f>
        <v>0</v>
      </c>
      <c r="H15" s="37">
        <f ca="1">IFERROR(__xludf.DUMMYFUNCTION("""COMPUTED_VALUE"""),4)</f>
        <v>4</v>
      </c>
      <c r="I15" s="37">
        <f ca="1">IFERROR(__xludf.DUMMYFUNCTION("""COMPUTED_VALUE"""),1)</f>
        <v>1</v>
      </c>
      <c r="J15" s="37">
        <f ca="1">IFERROR(__xludf.DUMMYFUNCTION("""COMPUTED_VALUE"""),12)</f>
        <v>12</v>
      </c>
      <c r="K15" s="37">
        <f ca="1">IFERROR(__xludf.DUMMYFUNCTION("""COMPUTED_VALUE"""),7)</f>
        <v>7</v>
      </c>
      <c r="L15" s="37">
        <f ca="1">IFERROR(__xludf.DUMMYFUNCTION("""COMPUTED_VALUE"""),1)</f>
        <v>1</v>
      </c>
      <c r="M15" s="37">
        <f ca="1">IFERROR(__xludf.DUMMYFUNCTION("""COMPUTED_VALUE"""),1)</f>
        <v>1</v>
      </c>
      <c r="N15" s="39">
        <f ca="1">IFERROR(__xludf.DUMMYFUNCTION("""COMPUTED_VALUE"""),16.5)</f>
        <v>16.5</v>
      </c>
      <c r="O15" s="40">
        <f ca="1">IFERROR(__xludf.DUMMYFUNCTION("""COMPUTED_VALUE"""),2190)</f>
        <v>2190</v>
      </c>
      <c r="P15" s="37">
        <f ca="1">IFERROR(__xludf.DUMMYFUNCTION("""COMPUTED_VALUE"""),1)</f>
        <v>1</v>
      </c>
      <c r="Q15" s="37">
        <f ca="1">IFERROR(__xludf.DUMMYFUNCTION("""COMPUTED_VALUE"""),5)</f>
        <v>5</v>
      </c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F15" s="37"/>
      <c r="AG15" s="37"/>
      <c r="AH15" s="37"/>
      <c r="AI15" s="37"/>
      <c r="AJ15" s="37"/>
    </row>
    <row r="16" spans="1:36" x14ac:dyDescent="0.35">
      <c r="A16" s="37" t="str">
        <f ca="1">IFERROR(__xludf.DUMMYFUNCTION("""COMPUTED_VALUE"""),"4997,75")</f>
        <v>4997,75</v>
      </c>
      <c r="B16" s="37" t="str">
        <f ca="1">IFERROR(__xludf.DUMMYFUNCTION("""COMPUTED_VALUE"""),"Shrubby spherulitestone")</f>
        <v>Shrubby spherulitestone</v>
      </c>
      <c r="C16" s="37">
        <f ca="1">IFERROR(__xludf.DUMMYFUNCTION("""COMPUTED_VALUE"""),4)</f>
        <v>4</v>
      </c>
      <c r="D16" s="37">
        <f ca="1">IFERROR(__xludf.DUMMYFUNCTION("""COMPUTED_VALUE"""),77)</f>
        <v>77</v>
      </c>
      <c r="E16" s="37">
        <f ca="1">IFERROR(__xludf.DUMMYFUNCTION("""COMPUTED_VALUE"""),6)</f>
        <v>6</v>
      </c>
      <c r="F16" s="37">
        <f ca="1">IFERROR(__xludf.DUMMYFUNCTION("""COMPUTED_VALUE"""),0)</f>
        <v>0</v>
      </c>
      <c r="G16" s="37">
        <f ca="1">IFERROR(__xludf.DUMMYFUNCTION("""COMPUTED_VALUE"""),0)</f>
        <v>0</v>
      </c>
      <c r="H16" s="37">
        <f ca="1">IFERROR(__xludf.DUMMYFUNCTION("""COMPUTED_VALUE"""),4)</f>
        <v>4</v>
      </c>
      <c r="I16" s="37">
        <f ca="1">IFERROR(__xludf.DUMMYFUNCTION("""COMPUTED_VALUE"""),1)</f>
        <v>1</v>
      </c>
      <c r="J16" s="37">
        <f ca="1">IFERROR(__xludf.DUMMYFUNCTION("""COMPUTED_VALUE"""),11)</f>
        <v>11</v>
      </c>
      <c r="K16" s="37">
        <f ca="1">IFERROR(__xludf.DUMMYFUNCTION("""COMPUTED_VALUE"""),6)</f>
        <v>6</v>
      </c>
      <c r="L16" s="37">
        <f ca="1">IFERROR(__xludf.DUMMYFUNCTION("""COMPUTED_VALUE"""),1)</f>
        <v>1</v>
      </c>
      <c r="M16" s="37">
        <f ca="1">IFERROR(__xludf.DUMMYFUNCTION("""COMPUTED_VALUE"""),1)</f>
        <v>1</v>
      </c>
      <c r="N16" s="39">
        <f ca="1">IFERROR(__xludf.DUMMYFUNCTION("""COMPUTED_VALUE"""),17.4)</f>
        <v>17.399999999999999</v>
      </c>
      <c r="O16" s="40">
        <f ca="1">IFERROR(__xludf.DUMMYFUNCTION("""COMPUTED_VALUE"""),1050)</f>
        <v>1050</v>
      </c>
      <c r="P16" s="37">
        <f ca="1">IFERROR(__xludf.DUMMYFUNCTION("""COMPUTED_VALUE"""),1)</f>
        <v>1</v>
      </c>
      <c r="Q16" s="37">
        <f ca="1">IFERROR(__xludf.DUMMYFUNCTION("""COMPUTED_VALUE"""),5)</f>
        <v>5</v>
      </c>
      <c r="R16" s="37" t="str">
        <f ca="1">IFERROR(__xludf.DUMMYFUNCTION("""COMPUTED_VALUE"""),"Presence of vug = yes: 1; no: 0")</f>
        <v>Presence of vug = yes: 1; no: 0</v>
      </c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F16" s="37"/>
      <c r="AG16" s="37"/>
      <c r="AH16" s="37"/>
      <c r="AI16" s="37"/>
      <c r="AJ16" s="37"/>
    </row>
    <row r="17" spans="1:36" x14ac:dyDescent="0.35">
      <c r="A17" s="37" t="str">
        <f ca="1">IFERROR(__xludf.DUMMYFUNCTION("""COMPUTED_VALUE"""),"4998,35")</f>
        <v>4998,35</v>
      </c>
      <c r="B17" s="37" t="str">
        <f ca="1">IFERROR(__xludf.DUMMYFUNCTION("""COMPUTED_VALUE"""),"Intraclastic packstone")</f>
        <v>Intraclastic packstone</v>
      </c>
      <c r="C17" s="37">
        <f ca="1">IFERROR(__xludf.DUMMYFUNCTION("""COMPUTED_VALUE"""),9)</f>
        <v>9</v>
      </c>
      <c r="D17" s="37">
        <f ca="1">IFERROR(__xludf.DUMMYFUNCTION("""COMPUTED_VALUE"""),19)</f>
        <v>19</v>
      </c>
      <c r="E17" s="37">
        <f ca="1">IFERROR(__xludf.DUMMYFUNCTION("""COMPUTED_VALUE"""),9)</f>
        <v>9</v>
      </c>
      <c r="F17" s="37">
        <f ca="1">IFERROR(__xludf.DUMMYFUNCTION("""COMPUTED_VALUE"""),64)</f>
        <v>64</v>
      </c>
      <c r="G17" s="37">
        <f ca="1">IFERROR(__xludf.DUMMYFUNCTION("""COMPUTED_VALUE"""),0)</f>
        <v>0</v>
      </c>
      <c r="H17" s="37">
        <f ca="1">IFERROR(__xludf.DUMMYFUNCTION("""COMPUTED_VALUE"""),4)</f>
        <v>4</v>
      </c>
      <c r="I17" s="37">
        <f ca="1">IFERROR(__xludf.DUMMYFUNCTION("""COMPUTED_VALUE"""),0)</f>
        <v>0</v>
      </c>
      <c r="J17" s="37">
        <f ca="1">IFERROR(__xludf.DUMMYFUNCTION("""COMPUTED_VALUE"""),3)</f>
        <v>3</v>
      </c>
      <c r="K17" s="37">
        <f ca="1">IFERROR(__xludf.DUMMYFUNCTION("""COMPUTED_VALUE"""),5)</f>
        <v>5</v>
      </c>
      <c r="L17" s="37">
        <f ca="1">IFERROR(__xludf.DUMMYFUNCTION("""COMPUTED_VALUE"""),0)</f>
        <v>0</v>
      </c>
      <c r="M17" s="37">
        <f ca="1">IFERROR(__xludf.DUMMYFUNCTION("""COMPUTED_VALUE"""),0)</f>
        <v>0</v>
      </c>
      <c r="N17" s="39">
        <f ca="1">IFERROR(__xludf.DUMMYFUNCTION("""COMPUTED_VALUE"""),12)</f>
        <v>12</v>
      </c>
      <c r="O17" s="40">
        <f ca="1">IFERROR(__xludf.DUMMYFUNCTION("""COMPUTED_VALUE"""),70.2)</f>
        <v>70.2</v>
      </c>
      <c r="P17" s="37">
        <f ca="1">IFERROR(__xludf.DUMMYFUNCTION("""COMPUTED_VALUE"""),2)</f>
        <v>2</v>
      </c>
      <c r="Q17" s="37">
        <f ca="1">IFERROR(__xludf.DUMMYFUNCTION("""COMPUTED_VALUE"""),2)</f>
        <v>2</v>
      </c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F17" s="37"/>
      <c r="AG17" s="37"/>
      <c r="AH17" s="37"/>
      <c r="AI17" s="37"/>
      <c r="AJ17" s="37"/>
    </row>
    <row r="18" spans="1:36" x14ac:dyDescent="0.35">
      <c r="A18" s="37" t="str">
        <f ca="1">IFERROR(__xludf.DUMMYFUNCTION("""COMPUTED_VALUE"""),"4998,95")</f>
        <v>4998,95</v>
      </c>
      <c r="B18" s="37" t="str">
        <f ca="1">IFERROR(__xludf.DUMMYFUNCTION("""COMPUTED_VALUE"""),"Intraclastic grainstone")</f>
        <v>Intraclastic grainstone</v>
      </c>
      <c r="C18" s="37">
        <f ca="1">IFERROR(__xludf.DUMMYFUNCTION("""COMPUTED_VALUE"""),8)</f>
        <v>8</v>
      </c>
      <c r="D18" s="37">
        <f ca="1">IFERROR(__xludf.DUMMYFUNCTION("""COMPUTED_VALUE"""),80)</f>
        <v>80</v>
      </c>
      <c r="E18" s="37">
        <f ca="1">IFERROR(__xludf.DUMMYFUNCTION("""COMPUTED_VALUE"""),6)</f>
        <v>6</v>
      </c>
      <c r="F18" s="37">
        <f ca="1">IFERROR(__xludf.DUMMYFUNCTION("""COMPUTED_VALUE"""),1)</f>
        <v>1</v>
      </c>
      <c r="G18" s="37">
        <f ca="1">IFERROR(__xludf.DUMMYFUNCTION("""COMPUTED_VALUE"""),0)</f>
        <v>0</v>
      </c>
      <c r="H18" s="37">
        <f ca="1">IFERROR(__xludf.DUMMYFUNCTION("""COMPUTED_VALUE"""),4)</f>
        <v>4</v>
      </c>
      <c r="I18" s="37">
        <f ca="1">IFERROR(__xludf.DUMMYFUNCTION("""COMPUTED_VALUE"""),0)</f>
        <v>0</v>
      </c>
      <c r="J18" s="37">
        <f ca="1">IFERROR(__xludf.DUMMYFUNCTION("""COMPUTED_VALUE"""),10)</f>
        <v>10</v>
      </c>
      <c r="K18" s="37">
        <f ca="1">IFERROR(__xludf.DUMMYFUNCTION("""COMPUTED_VALUE"""),3)</f>
        <v>3</v>
      </c>
      <c r="L18" s="37">
        <f ca="1">IFERROR(__xludf.DUMMYFUNCTION("""COMPUTED_VALUE"""),1)</f>
        <v>1</v>
      </c>
      <c r="M18" s="37">
        <f ca="1">IFERROR(__xludf.DUMMYFUNCTION("""COMPUTED_VALUE"""),1)</f>
        <v>1</v>
      </c>
      <c r="N18" s="39">
        <f ca="1">IFERROR(__xludf.DUMMYFUNCTION("""COMPUTED_VALUE"""),9.2)</f>
        <v>9.1999999999999993</v>
      </c>
      <c r="O18" s="40">
        <f ca="1">IFERROR(__xludf.DUMMYFUNCTION("""COMPUTED_VALUE"""),67.2)</f>
        <v>67.2</v>
      </c>
      <c r="P18" s="37">
        <f ca="1">IFERROR(__xludf.DUMMYFUNCTION("""COMPUTED_VALUE"""),2)</f>
        <v>2</v>
      </c>
      <c r="Q18" s="37">
        <f ca="1">IFERROR(__xludf.DUMMYFUNCTION("""COMPUTED_VALUE"""),2)</f>
        <v>2</v>
      </c>
      <c r="R18" s="37" t="str">
        <f ca="1">IFERROR(__xludf.DUMMYFUNCTION("""COMPUTED_VALUE"""),"Pore connections = yes: 1; no: 0")</f>
        <v>Pore connections = yes: 1; no: 0</v>
      </c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F18" s="37"/>
      <c r="AG18" s="37"/>
      <c r="AH18" s="37"/>
      <c r="AI18" s="37"/>
      <c r="AJ18" s="37"/>
    </row>
    <row r="19" spans="1:36" x14ac:dyDescent="0.35">
      <c r="A19" s="37" t="str">
        <f ca="1">IFERROR(__xludf.DUMMYFUNCTION("""COMPUTED_VALUE"""),"4999,30")</f>
        <v>4999,30</v>
      </c>
      <c r="B19" s="37" t="str">
        <f ca="1">IFERROR(__xludf.DUMMYFUNCTION("""COMPUTED_VALUE"""),"Shrubby spherulitestone")</f>
        <v>Shrubby spherulitestone</v>
      </c>
      <c r="C19" s="37">
        <f ca="1">IFERROR(__xludf.DUMMYFUNCTION("""COMPUTED_VALUE"""),4)</f>
        <v>4</v>
      </c>
      <c r="D19" s="37">
        <f ca="1">IFERROR(__xludf.DUMMYFUNCTION("""COMPUTED_VALUE"""),53)</f>
        <v>53</v>
      </c>
      <c r="E19" s="37">
        <f ca="1">IFERROR(__xludf.DUMMYFUNCTION("""COMPUTED_VALUE"""),27)</f>
        <v>27</v>
      </c>
      <c r="F19" s="37">
        <f ca="1">IFERROR(__xludf.DUMMYFUNCTION("""COMPUTED_VALUE"""),6)</f>
        <v>6</v>
      </c>
      <c r="G19" s="37">
        <f ca="1">IFERROR(__xludf.DUMMYFUNCTION("""COMPUTED_VALUE"""),0)</f>
        <v>0</v>
      </c>
      <c r="H19" s="37">
        <f ca="1">IFERROR(__xludf.DUMMYFUNCTION("""COMPUTED_VALUE"""),4)</f>
        <v>4</v>
      </c>
      <c r="I19" s="37">
        <f ca="1">IFERROR(__xludf.DUMMYFUNCTION("""COMPUTED_VALUE"""),1)</f>
        <v>1</v>
      </c>
      <c r="J19" s="37">
        <f ca="1">IFERROR(__xludf.DUMMYFUNCTION("""COMPUTED_VALUE"""),11)</f>
        <v>11</v>
      </c>
      <c r="K19" s="37">
        <f ca="1">IFERROR(__xludf.DUMMYFUNCTION("""COMPUTED_VALUE"""),3)</f>
        <v>3</v>
      </c>
      <c r="L19" s="37">
        <f ca="1">IFERROR(__xludf.DUMMYFUNCTION("""COMPUTED_VALUE"""),1)</f>
        <v>1</v>
      </c>
      <c r="M19" s="37">
        <f ca="1">IFERROR(__xludf.DUMMYFUNCTION("""COMPUTED_VALUE"""),0)</f>
        <v>0</v>
      </c>
      <c r="N19" s="39">
        <f ca="1">IFERROR(__xludf.DUMMYFUNCTION("""COMPUTED_VALUE"""),9.9)</f>
        <v>9.9</v>
      </c>
      <c r="O19" s="40">
        <f ca="1">IFERROR(__xludf.DUMMYFUNCTION("""COMPUTED_VALUE"""),16.7)</f>
        <v>16.7</v>
      </c>
      <c r="P19" s="37">
        <f ca="1">IFERROR(__xludf.DUMMYFUNCTION("""COMPUTED_VALUE"""),1)</f>
        <v>1</v>
      </c>
      <c r="Q19" s="37">
        <f ca="1">IFERROR(__xludf.DUMMYFUNCTION("""COMPUTED_VALUE"""),1)</f>
        <v>1</v>
      </c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F19" s="37"/>
      <c r="AG19" s="37"/>
      <c r="AH19" s="37"/>
      <c r="AI19" s="37"/>
      <c r="AJ19" s="37"/>
    </row>
    <row r="20" spans="1:36" x14ac:dyDescent="0.35">
      <c r="A20" s="37" t="str">
        <f ca="1">IFERROR(__xludf.DUMMYFUNCTION("""COMPUTED_VALUE"""),"4999,75")</f>
        <v>4999,75</v>
      </c>
      <c r="B20" s="37" t="str">
        <f ca="1">IFERROR(__xludf.DUMMYFUNCTION("""COMPUTED_VALUE"""),"Intraclastic packstone")</f>
        <v>Intraclastic packstone</v>
      </c>
      <c r="C20" s="37">
        <f ca="1">IFERROR(__xludf.DUMMYFUNCTION("""COMPUTED_VALUE"""),9)</f>
        <v>9</v>
      </c>
      <c r="D20" s="37">
        <f ca="1">IFERROR(__xludf.DUMMYFUNCTION("""COMPUTED_VALUE"""),61)</f>
        <v>61</v>
      </c>
      <c r="E20" s="37">
        <f ca="1">IFERROR(__xludf.DUMMYFUNCTION("""COMPUTED_VALUE"""),6)</f>
        <v>6</v>
      </c>
      <c r="F20" s="37">
        <f ca="1">IFERROR(__xludf.DUMMYFUNCTION("""COMPUTED_VALUE"""),5)</f>
        <v>5</v>
      </c>
      <c r="G20" s="37">
        <f ca="1">IFERROR(__xludf.DUMMYFUNCTION("""COMPUTED_VALUE"""),0)</f>
        <v>0</v>
      </c>
      <c r="H20" s="37">
        <f ca="1">IFERROR(__xludf.DUMMYFUNCTION("""COMPUTED_VALUE"""),4)</f>
        <v>4</v>
      </c>
      <c r="I20" s="37">
        <f ca="1">IFERROR(__xludf.DUMMYFUNCTION("""COMPUTED_VALUE"""),0)</f>
        <v>0</v>
      </c>
      <c r="J20" s="37">
        <f ca="1">IFERROR(__xludf.DUMMYFUNCTION("""COMPUTED_VALUE"""),12)</f>
        <v>12</v>
      </c>
      <c r="K20" s="37">
        <f ca="1">IFERROR(__xludf.DUMMYFUNCTION("""COMPUTED_VALUE"""),16)</f>
        <v>16</v>
      </c>
      <c r="L20" s="37">
        <f ca="1">IFERROR(__xludf.DUMMYFUNCTION("""COMPUTED_VALUE"""),1)</f>
        <v>1</v>
      </c>
      <c r="M20" s="37">
        <f ca="1">IFERROR(__xludf.DUMMYFUNCTION("""COMPUTED_VALUE"""),0)</f>
        <v>0</v>
      </c>
      <c r="N20" s="39">
        <f ca="1">IFERROR(__xludf.DUMMYFUNCTION("""COMPUTED_VALUE"""),9.4)</f>
        <v>9.4</v>
      </c>
      <c r="O20" s="40">
        <f ca="1">IFERROR(__xludf.DUMMYFUNCTION("""COMPUTED_VALUE"""),8.95)</f>
        <v>8.9499999999999993</v>
      </c>
      <c r="P20" s="37">
        <f ca="1">IFERROR(__xludf.DUMMYFUNCTION("""COMPUTED_VALUE"""),2)</f>
        <v>2</v>
      </c>
      <c r="Q20" s="37">
        <f ca="1">IFERROR(__xludf.DUMMYFUNCTION("""COMPUTED_VALUE"""),1)</f>
        <v>1</v>
      </c>
      <c r="R20" s="37" t="str">
        <f ca="1">IFERROR(__xludf.DUMMYFUNCTION("""COMPUTED_VALUE"""),"Effective porosity = empty spaces that are connected")</f>
        <v>Effective porosity = empty spaces that are connected</v>
      </c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F20" s="37"/>
      <c r="AG20" s="37"/>
      <c r="AH20" s="37"/>
      <c r="AI20" s="37"/>
      <c r="AJ20" s="37"/>
    </row>
    <row r="21" spans="1:36" x14ac:dyDescent="0.35">
      <c r="A21" s="37" t="str">
        <f ca="1">IFERROR(__xludf.DUMMYFUNCTION("""COMPUTED_VALUE"""),"5000,45")</f>
        <v>5000,45</v>
      </c>
      <c r="B21" s="37" t="str">
        <f ca="1">IFERROR(__xludf.DUMMYFUNCTION("""COMPUTED_VALUE"""),"Intraclastic packstone")</f>
        <v>Intraclastic packstone</v>
      </c>
      <c r="C21" s="37">
        <f ca="1">IFERROR(__xludf.DUMMYFUNCTION("""COMPUTED_VALUE"""),9)</f>
        <v>9</v>
      </c>
      <c r="D21" s="37">
        <f ca="1">IFERROR(__xludf.DUMMYFUNCTION("""COMPUTED_VALUE"""),52)</f>
        <v>52</v>
      </c>
      <c r="E21" s="37">
        <f ca="1">IFERROR(__xludf.DUMMYFUNCTION("""COMPUTED_VALUE"""),17)</f>
        <v>17</v>
      </c>
      <c r="F21" s="37">
        <f ca="1">IFERROR(__xludf.DUMMYFUNCTION("""COMPUTED_VALUE"""),21)</f>
        <v>21</v>
      </c>
      <c r="G21" s="37">
        <f ca="1">IFERROR(__xludf.DUMMYFUNCTION("""COMPUTED_VALUE"""),0)</f>
        <v>0</v>
      </c>
      <c r="H21" s="37">
        <f ca="1">IFERROR(__xludf.DUMMYFUNCTION("""COMPUTED_VALUE"""),4)</f>
        <v>4</v>
      </c>
      <c r="I21" s="37">
        <f ca="1">IFERROR(__xludf.DUMMYFUNCTION("""COMPUTED_VALUE"""),0)</f>
        <v>0</v>
      </c>
      <c r="J21" s="37">
        <f ca="1">IFERROR(__xludf.DUMMYFUNCTION("""COMPUTED_VALUE"""),5)</f>
        <v>5</v>
      </c>
      <c r="K21" s="37">
        <f ca="1">IFERROR(__xludf.DUMMYFUNCTION("""COMPUTED_VALUE"""),5)</f>
        <v>5</v>
      </c>
      <c r="L21" s="37">
        <f ca="1">IFERROR(__xludf.DUMMYFUNCTION("""COMPUTED_VALUE"""),0)</f>
        <v>0</v>
      </c>
      <c r="M21" s="37">
        <f ca="1">IFERROR(__xludf.DUMMYFUNCTION("""COMPUTED_VALUE"""),0)</f>
        <v>0</v>
      </c>
      <c r="N21" s="39">
        <f ca="1">IFERROR(__xludf.DUMMYFUNCTION("""COMPUTED_VALUE"""),8.7)</f>
        <v>8.6999999999999993</v>
      </c>
      <c r="O21" s="40">
        <f ca="1">IFERROR(__xludf.DUMMYFUNCTION("""COMPUTED_VALUE"""),36.7)</f>
        <v>36.700000000000003</v>
      </c>
      <c r="P21" s="37">
        <f ca="1">IFERROR(__xludf.DUMMYFUNCTION("""COMPUTED_VALUE"""),2)</f>
        <v>2</v>
      </c>
      <c r="Q21" s="37">
        <f ca="1">IFERROR(__xludf.DUMMYFUNCTION("""COMPUTED_VALUE"""),1)</f>
        <v>1</v>
      </c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F21" s="37"/>
      <c r="AG21" s="37"/>
      <c r="AH21" s="37"/>
      <c r="AI21" s="37"/>
      <c r="AJ21" s="37"/>
    </row>
    <row r="22" spans="1:36" x14ac:dyDescent="0.35">
      <c r="A22" s="37" t="str">
        <f ca="1">IFERROR(__xludf.DUMMYFUNCTION("""COMPUTED_VALUE"""),"5000,70")</f>
        <v>5000,70</v>
      </c>
      <c r="B22" s="37" t="str">
        <f ca="1">IFERROR(__xludf.DUMMYFUNCTION("""COMPUTED_VALUE"""),"Intraclastic packstone")</f>
        <v>Intraclastic packstone</v>
      </c>
      <c r="C22" s="37">
        <f ca="1">IFERROR(__xludf.DUMMYFUNCTION("""COMPUTED_VALUE"""),9)</f>
        <v>9</v>
      </c>
      <c r="D22" s="37">
        <f ca="1">IFERROR(__xludf.DUMMYFUNCTION("""COMPUTED_VALUE"""),52)</f>
        <v>52</v>
      </c>
      <c r="E22" s="37">
        <f ca="1">IFERROR(__xludf.DUMMYFUNCTION("""COMPUTED_VALUE"""),30)</f>
        <v>30</v>
      </c>
      <c r="F22" s="37">
        <f ca="1">IFERROR(__xludf.DUMMYFUNCTION("""COMPUTED_VALUE"""),7)</f>
        <v>7</v>
      </c>
      <c r="G22" s="37">
        <f ca="1">IFERROR(__xludf.DUMMYFUNCTION("""COMPUTED_VALUE"""),0)</f>
        <v>0</v>
      </c>
      <c r="H22" s="37">
        <f ca="1">IFERROR(__xludf.DUMMYFUNCTION("""COMPUTED_VALUE"""),3)</f>
        <v>3</v>
      </c>
      <c r="I22" s="37">
        <f ca="1">IFERROR(__xludf.DUMMYFUNCTION("""COMPUTED_VALUE"""),0)</f>
        <v>0</v>
      </c>
      <c r="J22" s="37">
        <f ca="1">IFERROR(__xludf.DUMMYFUNCTION("""COMPUTED_VALUE"""),8)</f>
        <v>8</v>
      </c>
      <c r="K22" s="37">
        <f ca="1">IFERROR(__xludf.DUMMYFUNCTION("""COMPUTED_VALUE"""),3)</f>
        <v>3</v>
      </c>
      <c r="L22" s="37">
        <f ca="1">IFERROR(__xludf.DUMMYFUNCTION("""COMPUTED_VALUE"""),1)</f>
        <v>1</v>
      </c>
      <c r="M22" s="37">
        <f ca="1">IFERROR(__xludf.DUMMYFUNCTION("""COMPUTED_VALUE"""),0)</f>
        <v>0</v>
      </c>
      <c r="N22" s="39">
        <f ca="1">IFERROR(__xludf.DUMMYFUNCTION("""COMPUTED_VALUE"""),13.8)</f>
        <v>13.8</v>
      </c>
      <c r="O22" s="40">
        <f ca="1">IFERROR(__xludf.DUMMYFUNCTION("""COMPUTED_VALUE"""),346)</f>
        <v>346</v>
      </c>
      <c r="P22" s="37">
        <f ca="1">IFERROR(__xludf.DUMMYFUNCTION("""COMPUTED_VALUE"""),2)</f>
        <v>2</v>
      </c>
      <c r="Q22" s="37">
        <f ca="1">IFERROR(__xludf.DUMMYFUNCTION("""COMPUTED_VALUE"""),3)</f>
        <v>3</v>
      </c>
      <c r="R22" s="37" t="str">
        <f ca="1">IFERROR(__xludf.DUMMYFUNCTION("""COMPUTED_VALUE"""),"Facies: in situ: 1; Reworked: 2")</f>
        <v>Facies: in situ: 1; Reworked: 2</v>
      </c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F22" s="37"/>
      <c r="AG22" s="37"/>
      <c r="AH22" s="37"/>
      <c r="AI22" s="37"/>
      <c r="AJ22" s="37"/>
    </row>
    <row r="23" spans="1:36" x14ac:dyDescent="0.35">
      <c r="A23" s="37" t="str">
        <f ca="1">IFERROR(__xludf.DUMMYFUNCTION("""COMPUTED_VALUE"""),"5001,45")</f>
        <v>5001,45</v>
      </c>
      <c r="B23" s="37" t="str">
        <f ca="1">IFERROR(__xludf.DUMMYFUNCTION("""COMPUTED_VALUE"""),"Intraclastic packstone")</f>
        <v>Intraclastic packstone</v>
      </c>
      <c r="C23" s="37">
        <f ca="1">IFERROR(__xludf.DUMMYFUNCTION("""COMPUTED_VALUE"""),9)</f>
        <v>9</v>
      </c>
      <c r="D23" s="37">
        <f ca="1">IFERROR(__xludf.DUMMYFUNCTION("""COMPUTED_VALUE"""),55)</f>
        <v>55</v>
      </c>
      <c r="E23" s="37">
        <f ca="1">IFERROR(__xludf.DUMMYFUNCTION("""COMPUTED_VALUE"""),18)</f>
        <v>18</v>
      </c>
      <c r="F23" s="37">
        <f ca="1">IFERROR(__xludf.DUMMYFUNCTION("""COMPUTED_VALUE"""),1)</f>
        <v>1</v>
      </c>
      <c r="G23" s="37">
        <f ca="1">IFERROR(__xludf.DUMMYFUNCTION("""COMPUTED_VALUE"""),0)</f>
        <v>0</v>
      </c>
      <c r="H23" s="37">
        <f ca="1">IFERROR(__xludf.DUMMYFUNCTION("""COMPUTED_VALUE"""),4)</f>
        <v>4</v>
      </c>
      <c r="I23" s="37">
        <f ca="1">IFERROR(__xludf.DUMMYFUNCTION("""COMPUTED_VALUE"""),0)</f>
        <v>0</v>
      </c>
      <c r="J23" s="37">
        <f ca="1">IFERROR(__xludf.DUMMYFUNCTION("""COMPUTED_VALUE"""),16)</f>
        <v>16</v>
      </c>
      <c r="K23" s="37">
        <f ca="1">IFERROR(__xludf.DUMMYFUNCTION("""COMPUTED_VALUE"""),10)</f>
        <v>10</v>
      </c>
      <c r="L23" s="37">
        <f ca="1">IFERROR(__xludf.DUMMYFUNCTION("""COMPUTED_VALUE"""),0)</f>
        <v>0</v>
      </c>
      <c r="M23" s="37">
        <f ca="1">IFERROR(__xludf.DUMMYFUNCTION("""COMPUTED_VALUE"""),0)</f>
        <v>0</v>
      </c>
      <c r="N23" s="39">
        <f ca="1">IFERROR(__xludf.DUMMYFUNCTION("""COMPUTED_VALUE"""),14.3)</f>
        <v>14.3</v>
      </c>
      <c r="O23" s="40">
        <f ca="1">IFERROR(__xludf.DUMMYFUNCTION("""COMPUTED_VALUE"""),67.9)</f>
        <v>67.900000000000006</v>
      </c>
      <c r="P23" s="37">
        <f ca="1">IFERROR(__xludf.DUMMYFUNCTION("""COMPUTED_VALUE"""),2)</f>
        <v>2</v>
      </c>
      <c r="Q23" s="37">
        <f ca="1">IFERROR(__xludf.DUMMYFUNCTION("""COMPUTED_VALUE"""),2)</f>
        <v>2</v>
      </c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F23" s="37"/>
      <c r="AG23" s="37"/>
      <c r="AH23" s="37"/>
      <c r="AI23" s="37"/>
      <c r="AJ23" s="37"/>
    </row>
    <row r="24" spans="1:36" x14ac:dyDescent="0.35">
      <c r="A24" s="37" t="str">
        <f ca="1">IFERROR(__xludf.DUMMYFUNCTION("""COMPUTED_VALUE"""),"5001,70")</f>
        <v>5001,70</v>
      </c>
      <c r="B24" s="37" t="str">
        <f ca="1">IFERROR(__xludf.DUMMYFUNCTION("""COMPUTED_VALUE"""),"Intraclastic packstone")</f>
        <v>Intraclastic packstone</v>
      </c>
      <c r="C24" s="37">
        <f ca="1">IFERROR(__xludf.DUMMYFUNCTION("""COMPUTED_VALUE"""),9)</f>
        <v>9</v>
      </c>
      <c r="D24" s="37">
        <f ca="1">IFERROR(__xludf.DUMMYFUNCTION("""COMPUTED_VALUE"""),46)</f>
        <v>46</v>
      </c>
      <c r="E24" s="37">
        <f ca="1">IFERROR(__xludf.DUMMYFUNCTION("""COMPUTED_VALUE"""),36)</f>
        <v>36</v>
      </c>
      <c r="F24" s="37">
        <f ca="1">IFERROR(__xludf.DUMMYFUNCTION("""COMPUTED_VALUE"""),1)</f>
        <v>1</v>
      </c>
      <c r="G24" s="37">
        <f ca="1">IFERROR(__xludf.DUMMYFUNCTION("""COMPUTED_VALUE"""),8)</f>
        <v>8</v>
      </c>
      <c r="H24" s="37">
        <f ca="1">IFERROR(__xludf.DUMMYFUNCTION("""COMPUTED_VALUE"""),4)</f>
        <v>4</v>
      </c>
      <c r="I24" s="37">
        <f ca="1">IFERROR(__xludf.DUMMYFUNCTION("""COMPUTED_VALUE"""),0)</f>
        <v>0</v>
      </c>
      <c r="J24" s="37">
        <f ca="1">IFERROR(__xludf.DUMMYFUNCTION("""COMPUTED_VALUE"""),5)</f>
        <v>5</v>
      </c>
      <c r="K24" s="37">
        <f ca="1">IFERROR(__xludf.DUMMYFUNCTION("""COMPUTED_VALUE"""),4)</f>
        <v>4</v>
      </c>
      <c r="L24" s="37">
        <f ca="1">IFERROR(__xludf.DUMMYFUNCTION("""COMPUTED_VALUE"""),0)</f>
        <v>0</v>
      </c>
      <c r="M24" s="37">
        <f ca="1">IFERROR(__xludf.DUMMYFUNCTION("""COMPUTED_VALUE"""),0)</f>
        <v>0</v>
      </c>
      <c r="N24" s="39">
        <f ca="1">IFERROR(__xludf.DUMMYFUNCTION("""COMPUTED_VALUE"""),9)</f>
        <v>9</v>
      </c>
      <c r="O24" s="40">
        <f ca="1">IFERROR(__xludf.DUMMYFUNCTION("""COMPUTED_VALUE"""),2.49)</f>
        <v>2.4900000000000002</v>
      </c>
      <c r="P24" s="37">
        <f ca="1">IFERROR(__xludf.DUMMYFUNCTION("""COMPUTED_VALUE"""),2)</f>
        <v>2</v>
      </c>
      <c r="Q24" s="37">
        <f ca="1">IFERROR(__xludf.DUMMYFUNCTION("""COMPUTED_VALUE"""),1)</f>
        <v>1</v>
      </c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F24" s="37"/>
      <c r="AG24" s="37"/>
      <c r="AH24" s="37"/>
      <c r="AI24" s="37"/>
      <c r="AJ24" s="37"/>
    </row>
    <row r="25" spans="1:36" x14ac:dyDescent="0.35">
      <c r="A25" s="37" t="str">
        <f ca="1">IFERROR(__xludf.DUMMYFUNCTION("""COMPUTED_VALUE"""),"5002,00")</f>
        <v>5002,00</v>
      </c>
      <c r="B25" s="37" t="str">
        <f ca="1">IFERROR(__xludf.DUMMYFUNCTION("""COMPUTED_VALUE"""),"Intraclastic packstone")</f>
        <v>Intraclastic packstone</v>
      </c>
      <c r="C25" s="37">
        <f ca="1">IFERROR(__xludf.DUMMYFUNCTION("""COMPUTED_VALUE"""),9)</f>
        <v>9</v>
      </c>
      <c r="D25" s="37">
        <f ca="1">IFERROR(__xludf.DUMMYFUNCTION("""COMPUTED_VALUE"""),56)</f>
        <v>56</v>
      </c>
      <c r="E25" s="37">
        <f ca="1">IFERROR(__xludf.DUMMYFUNCTION("""COMPUTED_VALUE"""),22)</f>
        <v>22</v>
      </c>
      <c r="F25" s="37">
        <f ca="1">IFERROR(__xludf.DUMMYFUNCTION("""COMPUTED_VALUE"""),1)</f>
        <v>1</v>
      </c>
      <c r="G25" s="37">
        <f ca="1">IFERROR(__xludf.DUMMYFUNCTION("""COMPUTED_VALUE"""),0)</f>
        <v>0</v>
      </c>
      <c r="H25" s="37">
        <f ca="1">IFERROR(__xludf.DUMMYFUNCTION("""COMPUTED_VALUE"""),4)</f>
        <v>4</v>
      </c>
      <c r="I25" s="37">
        <f ca="1">IFERROR(__xludf.DUMMYFUNCTION("""COMPUTED_VALUE"""),0)</f>
        <v>0</v>
      </c>
      <c r="J25" s="37">
        <f ca="1">IFERROR(__xludf.DUMMYFUNCTION("""COMPUTED_VALUE"""),7)</f>
        <v>7</v>
      </c>
      <c r="K25" s="37">
        <f ca="1">IFERROR(__xludf.DUMMYFUNCTION("""COMPUTED_VALUE"""),14)</f>
        <v>14</v>
      </c>
      <c r="L25" s="37">
        <f ca="1">IFERROR(__xludf.DUMMYFUNCTION("""COMPUTED_VALUE"""),0)</f>
        <v>0</v>
      </c>
      <c r="M25" s="37">
        <f ca="1">IFERROR(__xludf.DUMMYFUNCTION("""COMPUTED_VALUE"""),0)</f>
        <v>0</v>
      </c>
      <c r="N25" s="39">
        <f ca="1">IFERROR(__xludf.DUMMYFUNCTION("""COMPUTED_VALUE"""),13.7)</f>
        <v>13.7</v>
      </c>
      <c r="O25" s="40">
        <f ca="1">IFERROR(__xludf.DUMMYFUNCTION("""COMPUTED_VALUE"""),66.6)</f>
        <v>66.599999999999994</v>
      </c>
      <c r="P25" s="37">
        <f ca="1">IFERROR(__xludf.DUMMYFUNCTION("""COMPUTED_VALUE"""),2)</f>
        <v>2</v>
      </c>
      <c r="Q25" s="37">
        <f ca="1">IFERROR(__xludf.DUMMYFUNCTION("""COMPUTED_VALUE"""),2)</f>
        <v>2</v>
      </c>
      <c r="R25" s="37" t="str">
        <f ca="1">IFERROR(__xludf.DUMMYFUNCTION("""COMPUTED_VALUE"""),"Petrofacies 1")</f>
        <v>Petrofacies 1</v>
      </c>
      <c r="S25" s="37"/>
      <c r="T25" s="37"/>
      <c r="U25" s="37"/>
      <c r="V25" s="37"/>
      <c r="W25" s="37" t="str">
        <f ca="1">IFERROR(__xludf.DUMMYFUNCTION("""COMPUTED_VALUE"""),"Degree of relevance of the parameters:")</f>
        <v>Degree of relevance of the parameters:</v>
      </c>
      <c r="X25" s="37"/>
      <c r="Y25" s="37"/>
      <c r="Z25" s="37"/>
      <c r="AA25" s="37"/>
      <c r="AB25" s="37" t="str">
        <f ca="1">IFERROR(__xludf.DUMMYFUNCTION("""COMPUTED_VALUE"""),"Intraparticle porosity: 2")</f>
        <v>Intraparticle porosity: 2</v>
      </c>
      <c r="AC25" s="37"/>
      <c r="AF25" s="37"/>
      <c r="AG25" s="37"/>
      <c r="AH25" s="37"/>
      <c r="AI25" s="37"/>
      <c r="AJ25" s="37"/>
    </row>
    <row r="26" spans="1:36" x14ac:dyDescent="0.35">
      <c r="A26" s="37" t="str">
        <f ca="1">IFERROR(__xludf.DUMMYFUNCTION("""COMPUTED_VALUE"""),"5003,80")</f>
        <v>5003,80</v>
      </c>
      <c r="B26" s="37" t="str">
        <f ca="1">IFERROR(__xludf.DUMMYFUNCTION("""COMPUTED_VALUE"""),"Shrubby spherulitestone with mud")</f>
        <v>Shrubby spherulitestone with mud</v>
      </c>
      <c r="C26" s="37">
        <f ca="1">IFERROR(__xludf.DUMMYFUNCTION("""COMPUTED_VALUE"""),7)</f>
        <v>7</v>
      </c>
      <c r="D26" s="37">
        <f ca="1">IFERROR(__xludf.DUMMYFUNCTION("""COMPUTED_VALUE"""),63)</f>
        <v>63</v>
      </c>
      <c r="E26" s="37">
        <f ca="1">IFERROR(__xludf.DUMMYFUNCTION("""COMPUTED_VALUE"""),7)</f>
        <v>7</v>
      </c>
      <c r="F26" s="37">
        <f ca="1">IFERROR(__xludf.DUMMYFUNCTION("""COMPUTED_VALUE"""),16)</f>
        <v>16</v>
      </c>
      <c r="G26" s="37">
        <f ca="1">IFERROR(__xludf.DUMMYFUNCTION("""COMPUTED_VALUE"""),1)</f>
        <v>1</v>
      </c>
      <c r="H26" s="37">
        <f ca="1">IFERROR(__xludf.DUMMYFUNCTION("""COMPUTED_VALUE"""),4)</f>
        <v>4</v>
      </c>
      <c r="I26" s="37">
        <f ca="1">IFERROR(__xludf.DUMMYFUNCTION("""COMPUTED_VALUE"""),0)</f>
        <v>0</v>
      </c>
      <c r="J26" s="37">
        <f ca="1">IFERROR(__xludf.DUMMYFUNCTION("""COMPUTED_VALUE"""),9)</f>
        <v>9</v>
      </c>
      <c r="K26" s="37">
        <f ca="1">IFERROR(__xludf.DUMMYFUNCTION("""COMPUTED_VALUE"""),4)</f>
        <v>4</v>
      </c>
      <c r="L26" s="37">
        <f ca="1">IFERROR(__xludf.DUMMYFUNCTION("""COMPUTED_VALUE"""),1)</f>
        <v>1</v>
      </c>
      <c r="M26" s="37">
        <f ca="1">IFERROR(__xludf.DUMMYFUNCTION("""COMPUTED_VALUE"""),1)</f>
        <v>1</v>
      </c>
      <c r="N26" s="39">
        <f ca="1">IFERROR(__xludf.DUMMYFUNCTION("""COMPUTED_VALUE"""),13.4)</f>
        <v>13.4</v>
      </c>
      <c r="O26" s="40">
        <f ca="1">IFERROR(__xludf.DUMMYFUNCTION("""COMPUTED_VALUE"""),1800)</f>
        <v>1800</v>
      </c>
      <c r="P26" s="37">
        <f ca="1">IFERROR(__xludf.DUMMYFUNCTION("""COMPUTED_VALUE"""),1)</f>
        <v>1</v>
      </c>
      <c r="Q26" s="37">
        <f ca="1">IFERROR(__xludf.DUMMYFUNCTION("""COMPUTED_VALUE"""),5)</f>
        <v>5</v>
      </c>
      <c r="R26" s="37" t="str">
        <f ca="1">IFERROR(__xludf.DUMMYFUNCTION("""COMPUTED_VALUE"""),"Average absolute porosity: 9,10%")</f>
        <v>Average absolute porosity: 9,10%</v>
      </c>
      <c r="S26" s="37"/>
      <c r="T26" s="37"/>
      <c r="U26" s="37"/>
      <c r="V26" s="37"/>
      <c r="W26" s="37" t="str">
        <f ca="1">IFERROR(__xludf.DUMMYFUNCTION("""COMPUTED_VALUE"""),"Interparticle cementation (calcite and dolomite): 3")</f>
        <v>Interparticle cementation (calcite and dolomite): 3</v>
      </c>
      <c r="X26" s="37"/>
      <c r="Y26" s="37"/>
      <c r="Z26" s="37"/>
      <c r="AA26" s="37"/>
      <c r="AB26" s="37" t="str">
        <f ca="1">IFERROR(__xludf.DUMMYFUNCTION("""COMPUTED_VALUE"""),"Vugs: 3")</f>
        <v>Vugs: 3</v>
      </c>
      <c r="AC26" s="37"/>
      <c r="AF26" s="37"/>
      <c r="AG26" s="37"/>
      <c r="AH26" s="37"/>
      <c r="AI26" s="37"/>
      <c r="AJ26" s="37"/>
    </row>
    <row r="27" spans="1:36" x14ac:dyDescent="0.35">
      <c r="A27" s="37" t="str">
        <f ca="1">IFERROR(__xludf.DUMMYFUNCTION("""COMPUTED_VALUE"""),"5004,05")</f>
        <v>5004,05</v>
      </c>
      <c r="B27" s="37" t="str">
        <f ca="1">IFERROR(__xludf.DUMMYFUNCTION("""COMPUTED_VALUE"""),"Mudstone spherulitic")</f>
        <v>Mudstone spherulitic</v>
      </c>
      <c r="C27" s="37">
        <f ca="1">IFERROR(__xludf.DUMMYFUNCTION("""COMPUTED_VALUE"""),6)</f>
        <v>6</v>
      </c>
      <c r="D27" s="37">
        <f ca="1">IFERROR(__xludf.DUMMYFUNCTION("""COMPUTED_VALUE"""),45)</f>
        <v>45</v>
      </c>
      <c r="E27" s="37">
        <f ca="1">IFERROR(__xludf.DUMMYFUNCTION("""COMPUTED_VALUE"""),23)</f>
        <v>23</v>
      </c>
      <c r="F27" s="37">
        <f ca="1">IFERROR(__xludf.DUMMYFUNCTION("""COMPUTED_VALUE"""),20)</f>
        <v>20</v>
      </c>
      <c r="G27" s="37">
        <f ca="1">IFERROR(__xludf.DUMMYFUNCTION("""COMPUTED_VALUE"""),3)</f>
        <v>3</v>
      </c>
      <c r="H27" s="37">
        <f ca="1">IFERROR(__xludf.DUMMYFUNCTION("""COMPUTED_VALUE"""),4)</f>
        <v>4</v>
      </c>
      <c r="I27" s="37">
        <f ca="1">IFERROR(__xludf.DUMMYFUNCTION("""COMPUTED_VALUE"""),0)</f>
        <v>0</v>
      </c>
      <c r="J27" s="37">
        <f ca="1">IFERROR(__xludf.DUMMYFUNCTION("""COMPUTED_VALUE"""),7)</f>
        <v>7</v>
      </c>
      <c r="K27" s="37">
        <f ca="1">IFERROR(__xludf.DUMMYFUNCTION("""COMPUTED_VALUE"""),2)</f>
        <v>2</v>
      </c>
      <c r="L27" s="37">
        <f ca="1">IFERROR(__xludf.DUMMYFUNCTION("""COMPUTED_VALUE"""),0)</f>
        <v>0</v>
      </c>
      <c r="M27" s="37">
        <f ca="1">IFERROR(__xludf.DUMMYFUNCTION("""COMPUTED_VALUE"""),1)</f>
        <v>1</v>
      </c>
      <c r="N27" s="39">
        <f ca="1">IFERROR(__xludf.DUMMYFUNCTION("""COMPUTED_VALUE"""),10.3)</f>
        <v>10.3</v>
      </c>
      <c r="O27" s="40">
        <f ca="1">IFERROR(__xludf.DUMMYFUNCTION("""COMPUTED_VALUE"""),222)</f>
        <v>222</v>
      </c>
      <c r="P27" s="37">
        <f ca="1">IFERROR(__xludf.DUMMYFUNCTION("""COMPUTED_VALUE"""),1)</f>
        <v>1</v>
      </c>
      <c r="Q27" s="37">
        <f ca="1">IFERROR(__xludf.DUMMYFUNCTION("""COMPUTED_VALUE"""),3)</f>
        <v>3</v>
      </c>
      <c r="R27" s="37" t="str">
        <f ca="1">IFERROR(__xludf.DUMMYFUNCTION("""COMPUTED_VALUE"""),"Average effective porosity: 2,40%")</f>
        <v>Average effective porosity: 2,40%</v>
      </c>
      <c r="S27" s="37"/>
      <c r="T27" s="37"/>
      <c r="U27" s="37"/>
      <c r="V27" s="37"/>
      <c r="W27" s="37" t="str">
        <f ca="1">IFERROR(__xludf.DUMMYFUNCTION("""COMPUTED_VALUE"""),"Clay content (clay matrix): 3")</f>
        <v>Clay content (clay matrix): 3</v>
      </c>
      <c r="X27" s="37"/>
      <c r="Y27" s="37"/>
      <c r="Z27" s="37"/>
      <c r="AA27" s="37"/>
      <c r="AB27" s="37" t="str">
        <f ca="1">IFERROR(__xludf.DUMMYFUNCTION("""COMPUTED_VALUE"""),"Amalgamated particles: 1")</f>
        <v>Amalgamated particles: 1</v>
      </c>
      <c r="AC27" s="37"/>
      <c r="AF27" s="37"/>
      <c r="AG27" s="37"/>
      <c r="AH27" s="37"/>
      <c r="AI27" s="37"/>
      <c r="AJ27" s="37"/>
    </row>
    <row r="28" spans="1:36" x14ac:dyDescent="0.35">
      <c r="A28" s="37" t="str">
        <f ca="1">IFERROR(__xludf.DUMMYFUNCTION("""COMPUTED_VALUE"""),"5004,60")</f>
        <v>5004,60</v>
      </c>
      <c r="B28" s="37" t="str">
        <f ca="1">IFERROR(__xludf.DUMMYFUNCTION("""COMPUTED_VALUE"""),"Intraclastic packstone")</f>
        <v>Intraclastic packstone</v>
      </c>
      <c r="C28" s="37">
        <f ca="1">IFERROR(__xludf.DUMMYFUNCTION("""COMPUTED_VALUE"""),9)</f>
        <v>9</v>
      </c>
      <c r="D28" s="37">
        <f ca="1">IFERROR(__xludf.DUMMYFUNCTION("""COMPUTED_VALUE"""),23)</f>
        <v>23</v>
      </c>
      <c r="E28" s="37">
        <f ca="1">IFERROR(__xludf.DUMMYFUNCTION("""COMPUTED_VALUE"""),27)</f>
        <v>27</v>
      </c>
      <c r="F28" s="37">
        <f ca="1">IFERROR(__xludf.DUMMYFUNCTION("""COMPUTED_VALUE"""),30)</f>
        <v>30</v>
      </c>
      <c r="G28" s="37">
        <f ca="1">IFERROR(__xludf.DUMMYFUNCTION("""COMPUTED_VALUE"""),0)</f>
        <v>0</v>
      </c>
      <c r="H28" s="37">
        <f ca="1">IFERROR(__xludf.DUMMYFUNCTION("""COMPUTED_VALUE"""),4)</f>
        <v>4</v>
      </c>
      <c r="I28" s="37">
        <f ca="1">IFERROR(__xludf.DUMMYFUNCTION("""COMPUTED_VALUE"""),0)</f>
        <v>0</v>
      </c>
      <c r="J28" s="37">
        <f ca="1">IFERROR(__xludf.DUMMYFUNCTION("""COMPUTED_VALUE"""),9)</f>
        <v>9</v>
      </c>
      <c r="K28" s="37">
        <f ca="1">IFERROR(__xludf.DUMMYFUNCTION("""COMPUTED_VALUE"""),11)</f>
        <v>11</v>
      </c>
      <c r="L28" s="37">
        <f ca="1">IFERROR(__xludf.DUMMYFUNCTION("""COMPUTED_VALUE"""),0)</f>
        <v>0</v>
      </c>
      <c r="M28" s="37">
        <f ca="1">IFERROR(__xludf.DUMMYFUNCTION("""COMPUTED_VALUE"""),0)</f>
        <v>0</v>
      </c>
      <c r="N28" s="39">
        <f ca="1">IFERROR(__xludf.DUMMYFUNCTION("""COMPUTED_VALUE"""),9.3)</f>
        <v>9.3000000000000007</v>
      </c>
      <c r="O28" s="40">
        <f ca="1">IFERROR(__xludf.DUMMYFUNCTION("""COMPUTED_VALUE"""),4.89)</f>
        <v>4.8899999999999997</v>
      </c>
      <c r="P28" s="37">
        <f ca="1">IFERROR(__xludf.DUMMYFUNCTION("""COMPUTED_VALUE"""),2)</f>
        <v>2</v>
      </c>
      <c r="Q28" s="37">
        <f ca="1">IFERROR(__xludf.DUMMYFUNCTION("""COMPUTED_VALUE"""),1)</f>
        <v>1</v>
      </c>
      <c r="R28" s="37" t="str">
        <f ca="1">IFERROR(__xludf.DUMMYFUNCTION("""COMPUTED_VALUE"""),"Average laboratory porosity:  10,89%")</f>
        <v>Average laboratory porosity:  10,89%</v>
      </c>
      <c r="S28" s="37"/>
      <c r="T28" s="37"/>
      <c r="U28" s="37"/>
      <c r="V28" s="37"/>
      <c r="W28" s="37" t="str">
        <f ca="1">IFERROR(__xludf.DUMMYFUNCTION("""COMPUTED_VALUE"""),"
Interparticle silica: 3")</f>
        <v xml:space="preserve">
Interparticle silica: 3</v>
      </c>
      <c r="X28" s="37"/>
      <c r="Y28" s="37"/>
      <c r="Z28" s="37"/>
      <c r="AA28" s="37"/>
      <c r="AB28" s="37" t="str">
        <f ca="1">IFERROR(__xludf.DUMMYFUNCTION("""COMPUTED_VALUE"""),"Connection between pores: 3")</f>
        <v>Connection between pores: 3</v>
      </c>
      <c r="AC28" s="37"/>
      <c r="AF28" s="37"/>
      <c r="AG28" s="37"/>
      <c r="AH28" s="37"/>
      <c r="AI28" s="37"/>
      <c r="AJ28" s="37"/>
    </row>
    <row r="29" spans="1:36" x14ac:dyDescent="0.35">
      <c r="A29" s="37" t="str">
        <f ca="1">IFERROR(__xludf.DUMMYFUNCTION("""COMPUTED_VALUE"""),"5005,50")</f>
        <v>5005,50</v>
      </c>
      <c r="B29" s="37" t="str">
        <f ca="1">IFERROR(__xludf.DUMMYFUNCTION("""COMPUTED_VALUE"""),"Intraclastic packstone")</f>
        <v>Intraclastic packstone</v>
      </c>
      <c r="C29" s="37">
        <f ca="1">IFERROR(__xludf.DUMMYFUNCTION("""COMPUTED_VALUE"""),9)</f>
        <v>9</v>
      </c>
      <c r="D29" s="37">
        <f ca="1">IFERROR(__xludf.DUMMYFUNCTION("""COMPUTED_VALUE"""),55)</f>
        <v>55</v>
      </c>
      <c r="E29" s="37">
        <f ca="1">IFERROR(__xludf.DUMMYFUNCTION("""COMPUTED_VALUE"""),8)</f>
        <v>8</v>
      </c>
      <c r="F29" s="37">
        <f ca="1">IFERROR(__xludf.DUMMYFUNCTION("""COMPUTED_VALUE"""),4)</f>
        <v>4</v>
      </c>
      <c r="G29" s="37">
        <f ca="1">IFERROR(__xludf.DUMMYFUNCTION("""COMPUTED_VALUE"""),0)</f>
        <v>0</v>
      </c>
      <c r="H29" s="37">
        <f ca="1">IFERROR(__xludf.DUMMYFUNCTION("""COMPUTED_VALUE"""),4)</f>
        <v>4</v>
      </c>
      <c r="I29" s="37">
        <f ca="1">IFERROR(__xludf.DUMMYFUNCTION("""COMPUTED_VALUE"""),0)</f>
        <v>0</v>
      </c>
      <c r="J29" s="37">
        <f ca="1">IFERROR(__xludf.DUMMYFUNCTION("""COMPUTED_VALUE"""),15)</f>
        <v>15</v>
      </c>
      <c r="K29" s="37">
        <f ca="1">IFERROR(__xludf.DUMMYFUNCTION("""COMPUTED_VALUE"""),18)</f>
        <v>18</v>
      </c>
      <c r="L29" s="37">
        <f ca="1">IFERROR(__xludf.DUMMYFUNCTION("""COMPUTED_VALUE"""),0)</f>
        <v>0</v>
      </c>
      <c r="M29" s="37">
        <f ca="1">IFERROR(__xludf.DUMMYFUNCTION("""COMPUTED_VALUE"""),1)</f>
        <v>1</v>
      </c>
      <c r="N29" s="39">
        <f ca="1">IFERROR(__xludf.DUMMYFUNCTION("""COMPUTED_VALUE"""),18.2)</f>
        <v>18.2</v>
      </c>
      <c r="O29" s="40">
        <f ca="1">IFERROR(__xludf.DUMMYFUNCTION("""COMPUTED_VALUE"""),554)</f>
        <v>554</v>
      </c>
      <c r="P29" s="37">
        <f ca="1">IFERROR(__xludf.DUMMYFUNCTION("""COMPUTED_VALUE"""),2)</f>
        <v>2</v>
      </c>
      <c r="Q29" s="37">
        <f ca="1">IFERROR(__xludf.DUMMYFUNCTION("""COMPUTED_VALUE"""),4)</f>
        <v>4</v>
      </c>
      <c r="R29" s="37" t="str">
        <f ca="1">IFERROR(__xludf.DUMMYFUNCTION("""COMPUTED_VALUE"""),"Laboratory permeability: 0,001 a 50 mD")</f>
        <v>Laboratory permeability: 0,001 a 50 mD</v>
      </c>
      <c r="S29" s="37"/>
      <c r="T29" s="37"/>
      <c r="U29" s="37"/>
      <c r="V29" s="37"/>
      <c r="W29" s="37" t="str">
        <f ca="1">IFERROR(__xludf.DUMMYFUNCTION("""COMPUTED_VALUE"""),"interparticle porosity: 2")</f>
        <v>interparticle porosity: 2</v>
      </c>
      <c r="X29" s="37"/>
      <c r="Y29" s="37"/>
      <c r="Z29" s="37"/>
      <c r="AA29" s="37"/>
      <c r="AB29" s="37"/>
      <c r="AC29" s="37"/>
      <c r="AF29" s="37"/>
      <c r="AG29" s="37"/>
      <c r="AH29" s="37"/>
      <c r="AI29" s="37"/>
      <c r="AJ29" s="37"/>
    </row>
    <row r="30" spans="1:36" x14ac:dyDescent="0.35">
      <c r="A30" s="37" t="str">
        <f ca="1">IFERROR(__xludf.DUMMYFUNCTION("""COMPUTED_VALUE"""),"5005,85")</f>
        <v>5005,85</v>
      </c>
      <c r="B30" s="37" t="str">
        <f ca="1">IFERROR(__xludf.DUMMYFUNCTION("""COMPUTED_VALUE"""),"Intraclastic packstone")</f>
        <v>Intraclastic packstone</v>
      </c>
      <c r="C30" s="37">
        <f ca="1">IFERROR(__xludf.DUMMYFUNCTION("""COMPUTED_VALUE"""),9)</f>
        <v>9</v>
      </c>
      <c r="D30" s="37">
        <f ca="1">IFERROR(__xludf.DUMMYFUNCTION("""COMPUTED_VALUE"""),68)</f>
        <v>68</v>
      </c>
      <c r="E30" s="37">
        <f ca="1">IFERROR(__xludf.DUMMYFUNCTION("""COMPUTED_VALUE"""),15)</f>
        <v>15</v>
      </c>
      <c r="F30" s="37">
        <f ca="1">IFERROR(__xludf.DUMMYFUNCTION("""COMPUTED_VALUE"""),6)</f>
        <v>6</v>
      </c>
      <c r="G30" s="37">
        <f ca="1">IFERROR(__xludf.DUMMYFUNCTION("""COMPUTED_VALUE"""),1)</f>
        <v>1</v>
      </c>
      <c r="H30" s="37">
        <f ca="1">IFERROR(__xludf.DUMMYFUNCTION("""COMPUTED_VALUE"""),4)</f>
        <v>4</v>
      </c>
      <c r="I30" s="37">
        <f ca="1">IFERROR(__xludf.DUMMYFUNCTION("""COMPUTED_VALUE"""),0)</f>
        <v>0</v>
      </c>
      <c r="J30" s="37">
        <f ca="1">IFERROR(__xludf.DUMMYFUNCTION("""COMPUTED_VALUE"""),5)</f>
        <v>5</v>
      </c>
      <c r="K30" s="37">
        <f ca="1">IFERROR(__xludf.DUMMYFUNCTION("""COMPUTED_VALUE"""),5)</f>
        <v>5</v>
      </c>
      <c r="L30" s="37">
        <f ca="1">IFERROR(__xludf.DUMMYFUNCTION("""COMPUTED_VALUE"""),0)</f>
        <v>0</v>
      </c>
      <c r="M30" s="37">
        <f ca="1">IFERROR(__xludf.DUMMYFUNCTION("""COMPUTED_VALUE"""),0)</f>
        <v>0</v>
      </c>
      <c r="N30" s="39">
        <f ca="1">IFERROR(__xludf.DUMMYFUNCTION("""COMPUTED_VALUE"""),12.9)</f>
        <v>12.9</v>
      </c>
      <c r="O30" s="40">
        <f ca="1">IFERROR(__xludf.DUMMYFUNCTION("""COMPUTED_VALUE"""),16.9)</f>
        <v>16.899999999999999</v>
      </c>
      <c r="P30" s="37">
        <f ca="1">IFERROR(__xludf.DUMMYFUNCTION("""COMPUTED_VALUE"""),2)</f>
        <v>2</v>
      </c>
      <c r="Q30" s="37">
        <f ca="1">IFERROR(__xludf.DUMMYFUNCTION("""COMPUTED_VALUE"""),1)</f>
        <v>1</v>
      </c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F30" s="37"/>
      <c r="AG30" s="37"/>
      <c r="AH30" s="37"/>
      <c r="AI30" s="37"/>
      <c r="AJ30" s="37"/>
    </row>
    <row r="31" spans="1:36" x14ac:dyDescent="0.35">
      <c r="A31" s="37" t="str">
        <f ca="1">IFERROR(__xludf.DUMMYFUNCTION("""COMPUTED_VALUE"""),"5006,75")</f>
        <v>5006,75</v>
      </c>
      <c r="B31" s="37" t="str">
        <f ca="1">IFERROR(__xludf.DUMMYFUNCTION("""COMPUTED_VALUE"""),"Intraclastic packstone")</f>
        <v>Intraclastic packstone</v>
      </c>
      <c r="C31" s="37">
        <f ca="1">IFERROR(__xludf.DUMMYFUNCTION("""COMPUTED_VALUE"""),9)</f>
        <v>9</v>
      </c>
      <c r="D31" s="37">
        <f ca="1">IFERROR(__xludf.DUMMYFUNCTION("""COMPUTED_VALUE"""),62)</f>
        <v>62</v>
      </c>
      <c r="E31" s="37">
        <f ca="1">IFERROR(__xludf.DUMMYFUNCTION("""COMPUTED_VALUE"""),10)</f>
        <v>10</v>
      </c>
      <c r="F31" s="37">
        <f ca="1">IFERROR(__xludf.DUMMYFUNCTION("""COMPUTED_VALUE"""),12)</f>
        <v>12</v>
      </c>
      <c r="G31" s="37">
        <f ca="1">IFERROR(__xludf.DUMMYFUNCTION("""COMPUTED_VALUE"""),3)</f>
        <v>3</v>
      </c>
      <c r="H31" s="37">
        <f ca="1">IFERROR(__xludf.DUMMYFUNCTION("""COMPUTED_VALUE"""),4)</f>
        <v>4</v>
      </c>
      <c r="I31" s="37">
        <f ca="1">IFERROR(__xludf.DUMMYFUNCTION("""COMPUTED_VALUE"""),0)</f>
        <v>0</v>
      </c>
      <c r="J31" s="37">
        <f ca="1">IFERROR(__xludf.DUMMYFUNCTION("""COMPUTED_VALUE"""),11)</f>
        <v>11</v>
      </c>
      <c r="K31" s="37">
        <f ca="1">IFERROR(__xludf.DUMMYFUNCTION("""COMPUTED_VALUE"""),2)</f>
        <v>2</v>
      </c>
      <c r="L31" s="37">
        <f ca="1">IFERROR(__xludf.DUMMYFUNCTION("""COMPUTED_VALUE"""),0)</f>
        <v>0</v>
      </c>
      <c r="M31" s="37">
        <f ca="1">IFERROR(__xludf.DUMMYFUNCTION("""COMPUTED_VALUE"""),1)</f>
        <v>1</v>
      </c>
      <c r="N31" s="39">
        <f ca="1">IFERROR(__xludf.DUMMYFUNCTION("""COMPUTED_VALUE"""),15.8)</f>
        <v>15.8</v>
      </c>
      <c r="O31" s="40">
        <f ca="1">IFERROR(__xludf.DUMMYFUNCTION("""COMPUTED_VALUE"""),409)</f>
        <v>409</v>
      </c>
      <c r="P31" s="37">
        <f ca="1">IFERROR(__xludf.DUMMYFUNCTION("""COMPUTED_VALUE"""),2)</f>
        <v>2</v>
      </c>
      <c r="Q31" s="37">
        <f ca="1">IFERROR(__xludf.DUMMYFUNCTION("""COMPUTED_VALUE"""),3)</f>
        <v>3</v>
      </c>
      <c r="R31" s="37" t="str">
        <f ca="1">IFERROR(__xludf.DUMMYFUNCTION("""COMPUTED_VALUE"""),"Petrofacies 2")</f>
        <v>Petrofacies 2</v>
      </c>
      <c r="S31" s="37"/>
      <c r="T31" s="37"/>
      <c r="U31" s="37"/>
      <c r="V31" s="37"/>
      <c r="W31" s="37" t="str">
        <f ca="1">IFERROR(__xludf.DUMMYFUNCTION("""COMPUTED_VALUE"""),"Interparticle cementation (calcite and dolomite): 3")</f>
        <v>Interparticle cementation (calcite and dolomite): 3</v>
      </c>
      <c r="X31" s="37"/>
      <c r="Y31" s="37"/>
      <c r="Z31" s="37"/>
      <c r="AA31" s="37"/>
      <c r="AB31" s="37" t="str">
        <f ca="1">IFERROR(__xludf.DUMMYFUNCTION("""COMPUTED_VALUE"""),"Vugs: 3")</f>
        <v>Vugs: 3</v>
      </c>
      <c r="AC31" s="37"/>
      <c r="AF31" s="37"/>
      <c r="AG31" s="37"/>
      <c r="AH31" s="37"/>
      <c r="AI31" s="37"/>
      <c r="AJ31" s="37"/>
    </row>
    <row r="32" spans="1:36" x14ac:dyDescent="0.35">
      <c r="A32" s="37" t="str">
        <f ca="1">IFERROR(__xludf.DUMMYFUNCTION("""COMPUTED_VALUE"""),"5007,60")</f>
        <v>5007,60</v>
      </c>
      <c r="B32" s="37" t="str">
        <f ca="1">IFERROR(__xludf.DUMMYFUNCTION("""COMPUTED_VALUE"""),"Shrubby spherulitestone with mud")</f>
        <v>Shrubby spherulitestone with mud</v>
      </c>
      <c r="C32" s="37">
        <f ca="1">IFERROR(__xludf.DUMMYFUNCTION("""COMPUTED_VALUE"""),7)</f>
        <v>7</v>
      </c>
      <c r="D32" s="37">
        <f ca="1">IFERROR(__xludf.DUMMYFUNCTION("""COMPUTED_VALUE"""),70)</f>
        <v>70</v>
      </c>
      <c r="E32" s="37">
        <f ca="1">IFERROR(__xludf.DUMMYFUNCTION("""COMPUTED_VALUE"""),13)</f>
        <v>13</v>
      </c>
      <c r="F32" s="37">
        <f ca="1">IFERROR(__xludf.DUMMYFUNCTION("""COMPUTED_VALUE"""),5)</f>
        <v>5</v>
      </c>
      <c r="G32" s="37">
        <f ca="1">IFERROR(__xludf.DUMMYFUNCTION("""COMPUTED_VALUE"""),0)</f>
        <v>0</v>
      </c>
      <c r="H32" s="37">
        <f ca="1">IFERROR(__xludf.DUMMYFUNCTION("""COMPUTED_VALUE"""),4)</f>
        <v>4</v>
      </c>
      <c r="I32" s="37">
        <f ca="1">IFERROR(__xludf.DUMMYFUNCTION("""COMPUTED_VALUE"""),0)</f>
        <v>0</v>
      </c>
      <c r="J32" s="37">
        <f ca="1">IFERROR(__xludf.DUMMYFUNCTION("""COMPUTED_VALUE"""),12)</f>
        <v>12</v>
      </c>
      <c r="K32" s="37">
        <f ca="1">IFERROR(__xludf.DUMMYFUNCTION("""COMPUTED_VALUE"""),0)</f>
        <v>0</v>
      </c>
      <c r="L32" s="37">
        <f ca="1">IFERROR(__xludf.DUMMYFUNCTION("""COMPUTED_VALUE"""),1)</f>
        <v>1</v>
      </c>
      <c r="M32" s="37">
        <f ca="1">IFERROR(__xludf.DUMMYFUNCTION("""COMPUTED_VALUE"""),1)</f>
        <v>1</v>
      </c>
      <c r="N32" s="39">
        <f ca="1">IFERROR(__xludf.DUMMYFUNCTION("""COMPUTED_VALUE"""),13.6)</f>
        <v>13.6</v>
      </c>
      <c r="O32" s="40">
        <f ca="1">IFERROR(__xludf.DUMMYFUNCTION("""COMPUTED_VALUE"""),1810)</f>
        <v>1810</v>
      </c>
      <c r="P32" s="37">
        <f ca="1">IFERROR(__xludf.DUMMYFUNCTION("""COMPUTED_VALUE"""),1)</f>
        <v>1</v>
      </c>
      <c r="Q32" s="37">
        <f ca="1">IFERROR(__xludf.DUMMYFUNCTION("""COMPUTED_VALUE"""),5)</f>
        <v>5</v>
      </c>
      <c r="R32" s="37" t="str">
        <f ca="1">IFERROR(__xludf.DUMMYFUNCTION("""COMPUTED_VALUE"""),"Average absolute porosity: 16,65%")</f>
        <v>Average absolute porosity: 16,65%</v>
      </c>
      <c r="S32" s="37"/>
      <c r="T32" s="37"/>
      <c r="U32" s="37"/>
      <c r="V32" s="37"/>
      <c r="W32" s="37" t="str">
        <f ca="1">IFERROR(__xludf.DUMMYFUNCTION("""COMPUTED_VALUE"""),"Clay content (clay matrix): 3")</f>
        <v>Clay content (clay matrix): 3</v>
      </c>
      <c r="X32" s="37"/>
      <c r="Y32" s="37"/>
      <c r="Z32" s="37"/>
      <c r="AA32" s="37"/>
      <c r="AB32" s="37" t="str">
        <f ca="1">IFERROR(__xludf.DUMMYFUNCTION("""COMPUTED_VALUE"""),"Amalgamated particles: 1")</f>
        <v>Amalgamated particles: 1</v>
      </c>
      <c r="AC32" s="37"/>
      <c r="AF32" s="37"/>
      <c r="AG32" s="37"/>
      <c r="AH32" s="37"/>
      <c r="AI32" s="37"/>
      <c r="AJ32" s="37"/>
    </row>
    <row r="33" spans="1:36" x14ac:dyDescent="0.35">
      <c r="A33" s="37" t="str">
        <f ca="1">IFERROR(__xludf.DUMMYFUNCTION("""COMPUTED_VALUE"""),"5008,50")</f>
        <v>5008,50</v>
      </c>
      <c r="B33" s="37" t="str">
        <f ca="1">IFERROR(__xludf.DUMMYFUNCTION("""COMPUTED_VALUE"""),"Intraclastic packstone")</f>
        <v>Intraclastic packstone</v>
      </c>
      <c r="C33" s="37">
        <f ca="1">IFERROR(__xludf.DUMMYFUNCTION("""COMPUTED_VALUE"""),9)</f>
        <v>9</v>
      </c>
      <c r="D33" s="37">
        <f ca="1">IFERROR(__xludf.DUMMYFUNCTION("""COMPUTED_VALUE"""),66)</f>
        <v>66</v>
      </c>
      <c r="E33" s="37">
        <f ca="1">IFERROR(__xludf.DUMMYFUNCTION("""COMPUTED_VALUE"""),13)</f>
        <v>13</v>
      </c>
      <c r="F33" s="37">
        <f ca="1">IFERROR(__xludf.DUMMYFUNCTION("""COMPUTED_VALUE"""),7)</f>
        <v>7</v>
      </c>
      <c r="G33" s="37">
        <f ca="1">IFERROR(__xludf.DUMMYFUNCTION("""COMPUTED_VALUE"""),1)</f>
        <v>1</v>
      </c>
      <c r="H33" s="37">
        <f ca="1">IFERROR(__xludf.DUMMYFUNCTION("""COMPUTED_VALUE"""),4)</f>
        <v>4</v>
      </c>
      <c r="I33" s="37">
        <f ca="1">IFERROR(__xludf.DUMMYFUNCTION("""COMPUTED_VALUE"""),0)</f>
        <v>0</v>
      </c>
      <c r="J33" s="37">
        <f ca="1">IFERROR(__xludf.DUMMYFUNCTION("""COMPUTED_VALUE"""),8)</f>
        <v>8</v>
      </c>
      <c r="K33" s="37">
        <f ca="1">IFERROR(__xludf.DUMMYFUNCTION("""COMPUTED_VALUE"""),5)</f>
        <v>5</v>
      </c>
      <c r="L33" s="37">
        <f ca="1">IFERROR(__xludf.DUMMYFUNCTION("""COMPUTED_VALUE"""),0)</f>
        <v>0</v>
      </c>
      <c r="M33" s="37">
        <f ca="1">IFERROR(__xludf.DUMMYFUNCTION("""COMPUTED_VALUE"""),0)</f>
        <v>0</v>
      </c>
      <c r="N33" s="39">
        <f ca="1">IFERROR(__xludf.DUMMYFUNCTION("""COMPUTED_VALUE"""),10)</f>
        <v>10</v>
      </c>
      <c r="O33" s="40">
        <f ca="1">IFERROR(__xludf.DUMMYFUNCTION("""COMPUTED_VALUE"""),1.8)</f>
        <v>1.8</v>
      </c>
      <c r="P33" s="37">
        <f ca="1">IFERROR(__xludf.DUMMYFUNCTION("""COMPUTED_VALUE"""),2)</f>
        <v>2</v>
      </c>
      <c r="Q33" s="37">
        <f ca="1">IFERROR(__xludf.DUMMYFUNCTION("""COMPUTED_VALUE"""),1)</f>
        <v>1</v>
      </c>
      <c r="R33" s="37" t="str">
        <f ca="1">IFERROR(__xludf.DUMMYFUNCTION("""COMPUTED_VALUE"""),"Average effective porosity: 7,32%")</f>
        <v>Average effective porosity: 7,32%</v>
      </c>
      <c r="S33" s="37"/>
      <c r="T33" s="37"/>
      <c r="U33" s="37"/>
      <c r="V33" s="37"/>
      <c r="W33" s="37" t="str">
        <f ca="1">IFERROR(__xludf.DUMMYFUNCTION("""COMPUTED_VALUE"""),"Interparticle silica: 3")</f>
        <v>Interparticle silica: 3</v>
      </c>
      <c r="X33" s="37"/>
      <c r="Y33" s="37"/>
      <c r="Z33" s="37"/>
      <c r="AA33" s="37"/>
      <c r="AB33" s="37" t="str">
        <f ca="1">IFERROR(__xludf.DUMMYFUNCTION("""COMPUTED_VALUE"""),"Connection between pores: 3")</f>
        <v>Connection between pores: 3</v>
      </c>
      <c r="AC33" s="37"/>
      <c r="AF33" s="37"/>
      <c r="AG33" s="37"/>
      <c r="AH33" s="37"/>
      <c r="AI33" s="37"/>
      <c r="AJ33" s="37"/>
    </row>
    <row r="34" spans="1:36" x14ac:dyDescent="0.35">
      <c r="A34" s="37" t="str">
        <f ca="1">IFERROR(__xludf.DUMMYFUNCTION("""COMPUTED_VALUE"""),"5009,10")</f>
        <v>5009,10</v>
      </c>
      <c r="B34" s="37" t="str">
        <f ca="1">IFERROR(__xludf.DUMMYFUNCTION("""COMPUTED_VALUE"""),"Shrubstone")</f>
        <v>Shrubstone</v>
      </c>
      <c r="C34" s="37">
        <f ca="1">IFERROR(__xludf.DUMMYFUNCTION("""COMPUTED_VALUE"""),1)</f>
        <v>1</v>
      </c>
      <c r="D34" s="37">
        <f ca="1">IFERROR(__xludf.DUMMYFUNCTION("""COMPUTED_VALUE"""),70)</f>
        <v>70</v>
      </c>
      <c r="E34" s="37">
        <f ca="1">IFERROR(__xludf.DUMMYFUNCTION("""COMPUTED_VALUE"""),3)</f>
        <v>3</v>
      </c>
      <c r="F34" s="37">
        <f ca="1">IFERROR(__xludf.DUMMYFUNCTION("""COMPUTED_VALUE"""),5)</f>
        <v>5</v>
      </c>
      <c r="G34" s="37">
        <f ca="1">IFERROR(__xludf.DUMMYFUNCTION("""COMPUTED_VALUE"""),0)</f>
        <v>0</v>
      </c>
      <c r="H34" s="37">
        <f ca="1">IFERROR(__xludf.DUMMYFUNCTION("""COMPUTED_VALUE"""),4)</f>
        <v>4</v>
      </c>
      <c r="I34" s="37">
        <f ca="1">IFERROR(__xludf.DUMMYFUNCTION("""COMPUTED_VALUE"""),1)</f>
        <v>1</v>
      </c>
      <c r="J34" s="37">
        <f ca="1">IFERROR(__xludf.DUMMYFUNCTION("""COMPUTED_VALUE"""),12)</f>
        <v>12</v>
      </c>
      <c r="K34" s="37">
        <f ca="1">IFERROR(__xludf.DUMMYFUNCTION("""COMPUTED_VALUE"""),10)</f>
        <v>10</v>
      </c>
      <c r="L34" s="37">
        <f ca="1">IFERROR(__xludf.DUMMYFUNCTION("""COMPUTED_VALUE"""),1)</f>
        <v>1</v>
      </c>
      <c r="M34" s="37">
        <f ca="1">IFERROR(__xludf.DUMMYFUNCTION("""COMPUTED_VALUE"""),0)</f>
        <v>0</v>
      </c>
      <c r="N34" s="39">
        <f ca="1">IFERROR(__xludf.DUMMYFUNCTION("""COMPUTED_VALUE"""),9.3)</f>
        <v>9.3000000000000007</v>
      </c>
      <c r="O34" s="40">
        <f ca="1">IFERROR(__xludf.DUMMYFUNCTION("""COMPUTED_VALUE"""),0.715)</f>
        <v>0.71499999999999997</v>
      </c>
      <c r="P34" s="37">
        <f ca="1">IFERROR(__xludf.DUMMYFUNCTION("""COMPUTED_VALUE"""),1)</f>
        <v>1</v>
      </c>
      <c r="Q34" s="37">
        <f ca="1">IFERROR(__xludf.DUMMYFUNCTION("""COMPUTED_VALUE"""),1)</f>
        <v>1</v>
      </c>
      <c r="R34" s="37" t="str">
        <f ca="1">IFERROR(__xludf.DUMMYFUNCTION("""COMPUTED_VALUE"""),"Average laboratory porosity:  16,55%")</f>
        <v>Average laboratory porosity:  16,55%</v>
      </c>
      <c r="S34" s="37"/>
      <c r="T34" s="37"/>
      <c r="U34" s="37"/>
      <c r="V34" s="37"/>
      <c r="W34" s="37" t="str">
        <f ca="1">IFERROR(__xludf.DUMMYFUNCTION("""COMPUTED_VALUE"""),"Interparticle porosity: 2")</f>
        <v>Interparticle porosity: 2</v>
      </c>
      <c r="X34" s="37"/>
      <c r="Y34" s="37"/>
      <c r="Z34" s="37"/>
      <c r="AA34" s="37"/>
      <c r="AB34" s="37"/>
      <c r="AC34" s="37"/>
      <c r="AF34" s="37"/>
      <c r="AG34" s="37"/>
      <c r="AH34" s="37"/>
      <c r="AI34" s="37"/>
      <c r="AJ34" s="37"/>
    </row>
    <row r="35" spans="1:36" x14ac:dyDescent="0.35">
      <c r="A35" s="37" t="str">
        <f ca="1">IFERROR(__xludf.DUMMYFUNCTION("""COMPUTED_VALUE"""),"5010,00")</f>
        <v>5010,00</v>
      </c>
      <c r="B35" s="37" t="str">
        <f ca="1">IFERROR(__xludf.DUMMYFUNCTION("""COMPUTED_VALUE"""),"Mudstone spherulitic")</f>
        <v>Mudstone spherulitic</v>
      </c>
      <c r="C35" s="37">
        <f ca="1">IFERROR(__xludf.DUMMYFUNCTION("""COMPUTED_VALUE"""),6)</f>
        <v>6</v>
      </c>
      <c r="D35" s="37">
        <f ca="1">IFERROR(__xludf.DUMMYFUNCTION("""COMPUTED_VALUE"""),20)</f>
        <v>20</v>
      </c>
      <c r="E35" s="37">
        <f ca="1">IFERROR(__xludf.DUMMYFUNCTION("""COMPUTED_VALUE"""),20)</f>
        <v>20</v>
      </c>
      <c r="F35" s="37">
        <f ca="1">IFERROR(__xludf.DUMMYFUNCTION("""COMPUTED_VALUE"""),60)</f>
        <v>60</v>
      </c>
      <c r="G35" s="37">
        <f ca="1">IFERROR(__xludf.DUMMYFUNCTION("""COMPUTED_VALUE"""),0)</f>
        <v>0</v>
      </c>
      <c r="H35" s="37">
        <f ca="1">IFERROR(__xludf.DUMMYFUNCTION("""COMPUTED_VALUE"""),5)</f>
        <v>5</v>
      </c>
      <c r="I35" s="37">
        <f ca="1">IFERROR(__xludf.DUMMYFUNCTION("""COMPUTED_VALUE"""),0)</f>
        <v>0</v>
      </c>
      <c r="J35" s="37">
        <f ca="1">IFERROR(__xludf.DUMMYFUNCTION("""COMPUTED_VALUE"""),0)</f>
        <v>0</v>
      </c>
      <c r="K35" s="37">
        <f ca="1">IFERROR(__xludf.DUMMYFUNCTION("""COMPUTED_VALUE"""),0)</f>
        <v>0</v>
      </c>
      <c r="L35" s="37">
        <f ca="1">IFERROR(__xludf.DUMMYFUNCTION("""COMPUTED_VALUE"""),0)</f>
        <v>0</v>
      </c>
      <c r="M35" s="37">
        <f ca="1">IFERROR(__xludf.DUMMYFUNCTION("""COMPUTED_VALUE"""),0)</f>
        <v>0</v>
      </c>
      <c r="N35" s="39">
        <f ca="1">IFERROR(__xludf.DUMMYFUNCTION("""COMPUTED_VALUE"""),0.4)</f>
        <v>0.4</v>
      </c>
      <c r="O35" s="40">
        <f ca="1">IFERROR(__xludf.DUMMYFUNCTION("""COMPUTED_VALUE"""),0)</f>
        <v>0</v>
      </c>
      <c r="P35" s="37">
        <f ca="1">IFERROR(__xludf.DUMMYFUNCTION("""COMPUTED_VALUE"""),1)</f>
        <v>1</v>
      </c>
      <c r="Q35" s="37">
        <f ca="1">IFERROR(__xludf.DUMMYFUNCTION("""COMPUTED_VALUE"""),1)</f>
        <v>1</v>
      </c>
      <c r="R35" s="37" t="str">
        <f ca="1">IFERROR(__xludf.DUMMYFUNCTION("""COMPUTED_VALUE"""),"Laboratory permeability: 51 - 100 mD")</f>
        <v>Laboratory permeability: 51 - 100 mD</v>
      </c>
      <c r="S35" s="37"/>
      <c r="T35" s="37"/>
      <c r="U35" s="37"/>
      <c r="V35" s="37"/>
      <c r="W35" s="37" t="str">
        <f ca="1">IFERROR(__xludf.DUMMYFUNCTION("""COMPUTED_VALUE"""),"Intraparticle porosity: 2")</f>
        <v>Intraparticle porosity: 2</v>
      </c>
      <c r="X35" s="37"/>
      <c r="Y35" s="37"/>
      <c r="Z35" s="37"/>
      <c r="AA35" s="37"/>
      <c r="AB35" s="37"/>
      <c r="AC35" s="37"/>
      <c r="AF35" s="37"/>
      <c r="AG35" s="37"/>
      <c r="AH35" s="37"/>
      <c r="AI35" s="37"/>
      <c r="AJ35" s="37"/>
    </row>
    <row r="36" spans="1:36" x14ac:dyDescent="0.35">
      <c r="A36" s="37" t="str">
        <f ca="1">IFERROR(__xludf.DUMMYFUNCTION("""COMPUTED_VALUE"""),"5010,50")</f>
        <v>5010,50</v>
      </c>
      <c r="B36" s="37" t="str">
        <f ca="1">IFERROR(__xludf.DUMMYFUNCTION("""COMPUTED_VALUE"""),"Mudstone spherulitic")</f>
        <v>Mudstone spherulitic</v>
      </c>
      <c r="C36" s="37">
        <f ca="1">IFERROR(__xludf.DUMMYFUNCTION("""COMPUTED_VALUE"""),6)</f>
        <v>6</v>
      </c>
      <c r="D36" s="37">
        <f ca="1">IFERROR(__xludf.DUMMYFUNCTION("""COMPUTED_VALUE"""),30)</f>
        <v>30</v>
      </c>
      <c r="E36" s="37">
        <f ca="1">IFERROR(__xludf.DUMMYFUNCTION("""COMPUTED_VALUE"""),70)</f>
        <v>70</v>
      </c>
      <c r="F36" s="37">
        <f ca="1">IFERROR(__xludf.DUMMYFUNCTION("""COMPUTED_VALUE"""),0)</f>
        <v>0</v>
      </c>
      <c r="G36" s="37">
        <f ca="1">IFERROR(__xludf.DUMMYFUNCTION("""COMPUTED_VALUE"""),0)</f>
        <v>0</v>
      </c>
      <c r="H36" s="37">
        <f ca="1">IFERROR(__xludf.DUMMYFUNCTION("""COMPUTED_VALUE"""),5)</f>
        <v>5</v>
      </c>
      <c r="I36" s="37">
        <f ca="1">IFERROR(__xludf.DUMMYFUNCTION("""COMPUTED_VALUE"""),0)</f>
        <v>0</v>
      </c>
      <c r="J36" s="37">
        <f ca="1">IFERROR(__xludf.DUMMYFUNCTION("""COMPUTED_VALUE"""),0)</f>
        <v>0</v>
      </c>
      <c r="K36" s="37">
        <f ca="1">IFERROR(__xludf.DUMMYFUNCTION("""COMPUTED_VALUE"""),0)</f>
        <v>0</v>
      </c>
      <c r="L36" s="37">
        <f ca="1">IFERROR(__xludf.DUMMYFUNCTION("""COMPUTED_VALUE"""),0)</f>
        <v>0</v>
      </c>
      <c r="M36" s="37">
        <f ca="1">IFERROR(__xludf.DUMMYFUNCTION("""COMPUTED_VALUE"""),0)</f>
        <v>0</v>
      </c>
      <c r="N36" s="39">
        <f ca="1">IFERROR(__xludf.DUMMYFUNCTION("""COMPUTED_VALUE"""),1.6)</f>
        <v>1.6</v>
      </c>
      <c r="O36" s="40">
        <f ca="1">IFERROR(__xludf.DUMMYFUNCTION("""COMPUTED_VALUE"""),0)</f>
        <v>0</v>
      </c>
      <c r="P36" s="37">
        <f ca="1">IFERROR(__xludf.DUMMYFUNCTION("""COMPUTED_VALUE"""),1)</f>
        <v>1</v>
      </c>
      <c r="Q36" s="37">
        <f ca="1">IFERROR(__xludf.DUMMYFUNCTION("""COMPUTED_VALUE"""),1)</f>
        <v>1</v>
      </c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F36" s="37"/>
      <c r="AG36" s="37"/>
      <c r="AH36" s="37"/>
      <c r="AI36" s="37"/>
      <c r="AJ36" s="37"/>
    </row>
    <row r="37" spans="1:36" x14ac:dyDescent="0.35">
      <c r="A37" s="37" t="str">
        <f ca="1">IFERROR(__xludf.DUMMYFUNCTION("""COMPUTED_VALUE"""),"5013,70")</f>
        <v>5013,70</v>
      </c>
      <c r="B37" s="37" t="str">
        <f ca="1">IFERROR(__xludf.DUMMYFUNCTION("""COMPUTED_VALUE"""),"Mudstone spherulitic")</f>
        <v>Mudstone spherulitic</v>
      </c>
      <c r="C37" s="37">
        <f ca="1">IFERROR(__xludf.DUMMYFUNCTION("""COMPUTED_VALUE"""),6)</f>
        <v>6</v>
      </c>
      <c r="D37" s="37">
        <f ca="1">IFERROR(__xludf.DUMMYFUNCTION("""COMPUTED_VALUE"""),28)</f>
        <v>28</v>
      </c>
      <c r="E37" s="37">
        <f ca="1">IFERROR(__xludf.DUMMYFUNCTION("""COMPUTED_VALUE"""),10)</f>
        <v>10</v>
      </c>
      <c r="F37" s="37">
        <f ca="1">IFERROR(__xludf.DUMMYFUNCTION("""COMPUTED_VALUE"""),1)</f>
        <v>1</v>
      </c>
      <c r="G37" s="37">
        <f ca="1">IFERROR(__xludf.DUMMYFUNCTION("""COMPUTED_VALUE"""),38)</f>
        <v>38</v>
      </c>
      <c r="H37" s="37">
        <f ca="1">IFERROR(__xludf.DUMMYFUNCTION("""COMPUTED_VALUE"""),4)</f>
        <v>4</v>
      </c>
      <c r="I37" s="37">
        <f ca="1">IFERROR(__xludf.DUMMYFUNCTION("""COMPUTED_VALUE"""),0)</f>
        <v>0</v>
      </c>
      <c r="J37" s="37">
        <f ca="1">IFERROR(__xludf.DUMMYFUNCTION("""COMPUTED_VALUE"""),8)</f>
        <v>8</v>
      </c>
      <c r="K37" s="37">
        <f ca="1">IFERROR(__xludf.DUMMYFUNCTION("""COMPUTED_VALUE"""),15)</f>
        <v>15</v>
      </c>
      <c r="L37" s="37">
        <f ca="1">IFERROR(__xludf.DUMMYFUNCTION("""COMPUTED_VALUE"""),0)</f>
        <v>0</v>
      </c>
      <c r="M37" s="37">
        <f ca="1">IFERROR(__xludf.DUMMYFUNCTION("""COMPUTED_VALUE"""),1)</f>
        <v>1</v>
      </c>
      <c r="N37" s="39">
        <f ca="1">IFERROR(__xludf.DUMMYFUNCTION("""COMPUTED_VALUE"""),22.9)</f>
        <v>22.9</v>
      </c>
      <c r="O37" s="40">
        <f ca="1">IFERROR(__xludf.DUMMYFUNCTION("""COMPUTED_VALUE"""),47)</f>
        <v>47</v>
      </c>
      <c r="P37" s="37">
        <f ca="1">IFERROR(__xludf.DUMMYFUNCTION("""COMPUTED_VALUE"""),1)</f>
        <v>1</v>
      </c>
      <c r="Q37" s="37">
        <f ca="1">IFERROR(__xludf.DUMMYFUNCTION("""COMPUTED_VALUE"""),1)</f>
        <v>1</v>
      </c>
      <c r="R37" s="37" t="str">
        <f ca="1">IFERROR(__xludf.DUMMYFUNCTION("""COMPUTED_VALUE"""),"Petrofacies 3")</f>
        <v>Petrofacies 3</v>
      </c>
      <c r="S37" s="37"/>
      <c r="T37" s="37"/>
      <c r="U37" s="37"/>
      <c r="V37" s="37"/>
      <c r="W37" s="37" t="str">
        <f ca="1">IFERROR(__xludf.DUMMYFUNCTION("""COMPUTED_VALUE"""),"Interparticle cementation (calcite and dolomite): 3")</f>
        <v>Interparticle cementation (calcite and dolomite): 3</v>
      </c>
      <c r="X37" s="37"/>
      <c r="Y37" s="37"/>
      <c r="Z37" s="37"/>
      <c r="AA37" s="37"/>
      <c r="AB37" s="37" t="str">
        <f ca="1">IFERROR(__xludf.DUMMYFUNCTION("""COMPUTED_VALUE"""),"Vugs: 3")</f>
        <v>Vugs: 3</v>
      </c>
      <c r="AC37" s="37"/>
      <c r="AF37" s="37"/>
      <c r="AG37" s="37"/>
      <c r="AH37" s="37"/>
      <c r="AI37" s="37"/>
      <c r="AJ37" s="37"/>
    </row>
    <row r="38" spans="1:36" x14ac:dyDescent="0.35">
      <c r="A38" s="37" t="str">
        <f ca="1">IFERROR(__xludf.DUMMYFUNCTION("""COMPUTED_VALUE"""),"5013,95")</f>
        <v>5013,95</v>
      </c>
      <c r="B38" s="37" t="str">
        <f ca="1">IFERROR(__xludf.DUMMYFUNCTION("""COMPUTED_VALUE"""),"Mudstone")</f>
        <v>Mudstone</v>
      </c>
      <c r="C38" s="37">
        <f ca="1">IFERROR(__xludf.DUMMYFUNCTION("""COMPUTED_VALUE"""),3)</f>
        <v>3</v>
      </c>
      <c r="D38" s="37">
        <f ca="1">IFERROR(__xludf.DUMMYFUNCTION("""COMPUTED_VALUE"""),52)</f>
        <v>52</v>
      </c>
      <c r="E38" s="37">
        <f ca="1">IFERROR(__xludf.DUMMYFUNCTION("""COMPUTED_VALUE"""),16)</f>
        <v>16</v>
      </c>
      <c r="F38" s="37">
        <f ca="1">IFERROR(__xludf.DUMMYFUNCTION("""COMPUTED_VALUE"""),1)</f>
        <v>1</v>
      </c>
      <c r="G38" s="37">
        <f ca="1">IFERROR(__xludf.DUMMYFUNCTION("""COMPUTED_VALUE"""),3)</f>
        <v>3</v>
      </c>
      <c r="H38" s="37">
        <f ca="1">IFERROR(__xludf.DUMMYFUNCTION("""COMPUTED_VALUE"""),4)</f>
        <v>4</v>
      </c>
      <c r="I38" s="37">
        <f ca="1">IFERROR(__xludf.DUMMYFUNCTION("""COMPUTED_VALUE"""),0)</f>
        <v>0</v>
      </c>
      <c r="J38" s="37">
        <f ca="1">IFERROR(__xludf.DUMMYFUNCTION("""COMPUTED_VALUE"""),21)</f>
        <v>21</v>
      </c>
      <c r="K38" s="37">
        <f ca="1">IFERROR(__xludf.DUMMYFUNCTION("""COMPUTED_VALUE"""),7)</f>
        <v>7</v>
      </c>
      <c r="L38" s="37">
        <f ca="1">IFERROR(__xludf.DUMMYFUNCTION("""COMPUTED_VALUE"""),0)</f>
        <v>0</v>
      </c>
      <c r="M38" s="37">
        <f ca="1">IFERROR(__xludf.DUMMYFUNCTION("""COMPUTED_VALUE"""),1)</f>
        <v>1</v>
      </c>
      <c r="N38" s="39">
        <f ca="1">IFERROR(__xludf.DUMMYFUNCTION("""COMPUTED_VALUE"""),27.2)</f>
        <v>27.2</v>
      </c>
      <c r="O38" s="40">
        <f ca="1">IFERROR(__xludf.DUMMYFUNCTION("""COMPUTED_VALUE"""),491)</f>
        <v>491</v>
      </c>
      <c r="P38" s="37">
        <f ca="1">IFERROR(__xludf.DUMMYFUNCTION("""COMPUTED_VALUE"""),1)</f>
        <v>1</v>
      </c>
      <c r="Q38" s="37">
        <f ca="1">IFERROR(__xludf.DUMMYFUNCTION("""COMPUTED_VALUE"""),3)</f>
        <v>3</v>
      </c>
      <c r="R38" s="37" t="str">
        <f ca="1">IFERROR(__xludf.DUMMYFUNCTION("""COMPUTED_VALUE"""),"Average absolute porosity: 18,67%")</f>
        <v>Average absolute porosity: 18,67%</v>
      </c>
      <c r="S38" s="37"/>
      <c r="T38" s="37"/>
      <c r="U38" s="37"/>
      <c r="V38" s="37"/>
      <c r="W38" s="37" t="str">
        <f ca="1">IFERROR(__xludf.DUMMYFUNCTION("""COMPUTED_VALUE"""),"Clay content (clay matrix): 2")</f>
        <v>Clay content (clay matrix): 2</v>
      </c>
      <c r="X38" s="37"/>
      <c r="Y38" s="37"/>
      <c r="Z38" s="37"/>
      <c r="AA38" s="37"/>
      <c r="AB38" s="37" t="str">
        <f ca="1">IFERROR(__xludf.DUMMYFUNCTION("""COMPUTED_VALUE"""),"Amalgamated particles: 1")</f>
        <v>Amalgamated particles: 1</v>
      </c>
      <c r="AC38" s="37"/>
      <c r="AF38" s="37"/>
      <c r="AG38" s="37"/>
      <c r="AH38" s="37"/>
      <c r="AI38" s="37"/>
      <c r="AJ38" s="37"/>
    </row>
    <row r="39" spans="1:36" x14ac:dyDescent="0.35">
      <c r="A39" s="37" t="str">
        <f ca="1">IFERROR(__xludf.DUMMYFUNCTION("""COMPUTED_VALUE"""),"5017,40")</f>
        <v>5017,40</v>
      </c>
      <c r="B39" s="37" t="str">
        <f ca="1">IFERROR(__xludf.DUMMYFUNCTION("""COMPUTED_VALUE"""),"Shrubby spherulitestone")</f>
        <v>Shrubby spherulitestone</v>
      </c>
      <c r="C39" s="37">
        <f ca="1">IFERROR(__xludf.DUMMYFUNCTION("""COMPUTED_VALUE"""),4)</f>
        <v>4</v>
      </c>
      <c r="D39" s="37">
        <f ca="1">IFERROR(__xludf.DUMMYFUNCTION("""COMPUTED_VALUE"""),35)</f>
        <v>35</v>
      </c>
      <c r="E39" s="37">
        <f ca="1">IFERROR(__xludf.DUMMYFUNCTION("""COMPUTED_VALUE"""),9)</f>
        <v>9</v>
      </c>
      <c r="F39" s="37">
        <f ca="1">IFERROR(__xludf.DUMMYFUNCTION("""COMPUTED_VALUE"""),0)</f>
        <v>0</v>
      </c>
      <c r="G39" s="37">
        <f ca="1">IFERROR(__xludf.DUMMYFUNCTION("""COMPUTED_VALUE"""),23)</f>
        <v>23</v>
      </c>
      <c r="H39" s="37">
        <f ca="1">IFERROR(__xludf.DUMMYFUNCTION("""COMPUTED_VALUE"""),4)</f>
        <v>4</v>
      </c>
      <c r="I39" s="37">
        <f ca="1">IFERROR(__xludf.DUMMYFUNCTION("""COMPUTED_VALUE"""),1)</f>
        <v>1</v>
      </c>
      <c r="J39" s="37">
        <f ca="1">IFERROR(__xludf.DUMMYFUNCTION("""COMPUTED_VALUE"""),10)</f>
        <v>10</v>
      </c>
      <c r="K39" s="37">
        <f ca="1">IFERROR(__xludf.DUMMYFUNCTION("""COMPUTED_VALUE"""),23)</f>
        <v>23</v>
      </c>
      <c r="L39" s="37">
        <f ca="1">IFERROR(__xludf.DUMMYFUNCTION("""COMPUTED_VALUE"""),0)</f>
        <v>0</v>
      </c>
      <c r="M39" s="37">
        <f ca="1">IFERROR(__xludf.DUMMYFUNCTION("""COMPUTED_VALUE"""),1)</f>
        <v>1</v>
      </c>
      <c r="N39" s="39">
        <f ca="1">IFERROR(__xludf.DUMMYFUNCTION("""COMPUTED_VALUE"""),19.9)</f>
        <v>19.899999999999999</v>
      </c>
      <c r="O39" s="40">
        <f ca="1">IFERROR(__xludf.DUMMYFUNCTION("""COMPUTED_VALUE"""),164)</f>
        <v>164</v>
      </c>
      <c r="P39" s="37">
        <f ca="1">IFERROR(__xludf.DUMMYFUNCTION("""COMPUTED_VALUE"""),1)</f>
        <v>1</v>
      </c>
      <c r="Q39" s="37">
        <f ca="1">IFERROR(__xludf.DUMMYFUNCTION("""COMPUTED_VALUE"""),2)</f>
        <v>2</v>
      </c>
      <c r="R39" s="37" t="str">
        <f ca="1">IFERROR(__xludf.DUMMYFUNCTION("""COMPUTED_VALUE"""),"Average effective porosity: 9,30%")</f>
        <v>Average effective porosity: 9,30%</v>
      </c>
      <c r="S39" s="37"/>
      <c r="T39" s="37"/>
      <c r="U39" s="37"/>
      <c r="V39" s="37"/>
      <c r="W39" s="37" t="str">
        <f ca="1">IFERROR(__xludf.DUMMYFUNCTION("""COMPUTED_VALUE"""),"Interparticle silica: 3")</f>
        <v>Interparticle silica: 3</v>
      </c>
      <c r="X39" s="37"/>
      <c r="Y39" s="37"/>
      <c r="Z39" s="37"/>
      <c r="AA39" s="37"/>
      <c r="AB39" s="37" t="str">
        <f ca="1">IFERROR(__xludf.DUMMYFUNCTION("""COMPUTED_VALUE"""),"Connection between poress: 3")</f>
        <v>Connection between poress: 3</v>
      </c>
      <c r="AC39" s="37"/>
      <c r="AF39" s="37"/>
      <c r="AG39" s="37"/>
      <c r="AH39" s="37"/>
      <c r="AI39" s="37"/>
      <c r="AJ39" s="37"/>
    </row>
    <row r="40" spans="1:36" x14ac:dyDescent="0.35">
      <c r="A40" s="37" t="str">
        <f ca="1">IFERROR(__xludf.DUMMYFUNCTION("""COMPUTED_VALUE"""),"5017,80")</f>
        <v>5017,80</v>
      </c>
      <c r="B40" s="37" t="str">
        <f ca="1">IFERROR(__xludf.DUMMYFUNCTION("""COMPUTED_VALUE"""),"Spherulitestone")</f>
        <v>Spherulitestone</v>
      </c>
      <c r="C40" s="37">
        <f ca="1">IFERROR(__xludf.DUMMYFUNCTION("""COMPUTED_VALUE"""),2)</f>
        <v>2</v>
      </c>
      <c r="D40" s="37">
        <f ca="1">IFERROR(__xludf.DUMMYFUNCTION("""COMPUTED_VALUE"""),42)</f>
        <v>42</v>
      </c>
      <c r="E40" s="37">
        <f ca="1">IFERROR(__xludf.DUMMYFUNCTION("""COMPUTED_VALUE"""),3)</f>
        <v>3</v>
      </c>
      <c r="F40" s="37">
        <f ca="1">IFERROR(__xludf.DUMMYFUNCTION("""COMPUTED_VALUE"""),0)</f>
        <v>0</v>
      </c>
      <c r="G40" s="37">
        <f ca="1">IFERROR(__xludf.DUMMYFUNCTION("""COMPUTED_VALUE"""),30)</f>
        <v>30</v>
      </c>
      <c r="H40" s="37">
        <f ca="1">IFERROR(__xludf.DUMMYFUNCTION("""COMPUTED_VALUE"""),3)</f>
        <v>3</v>
      </c>
      <c r="I40" s="37">
        <f ca="1">IFERROR(__xludf.DUMMYFUNCTION("""COMPUTED_VALUE"""),1)</f>
        <v>1</v>
      </c>
      <c r="J40" s="37">
        <f ca="1">IFERROR(__xludf.DUMMYFUNCTION("""COMPUTED_VALUE"""),9)</f>
        <v>9</v>
      </c>
      <c r="K40" s="37">
        <f ca="1">IFERROR(__xludf.DUMMYFUNCTION("""COMPUTED_VALUE"""),16)</f>
        <v>16</v>
      </c>
      <c r="L40" s="37">
        <f ca="1">IFERROR(__xludf.DUMMYFUNCTION("""COMPUTED_VALUE"""),0)</f>
        <v>0</v>
      </c>
      <c r="M40" s="37">
        <f ca="1">IFERROR(__xludf.DUMMYFUNCTION("""COMPUTED_VALUE"""),1)</f>
        <v>1</v>
      </c>
      <c r="N40" s="39">
        <f ca="1">IFERROR(__xludf.DUMMYFUNCTION("""COMPUTED_VALUE"""),19)</f>
        <v>19</v>
      </c>
      <c r="O40" s="40">
        <f ca="1">IFERROR(__xludf.DUMMYFUNCTION("""COMPUTED_VALUE"""),63.1)</f>
        <v>63.1</v>
      </c>
      <c r="P40" s="37">
        <f ca="1">IFERROR(__xludf.DUMMYFUNCTION("""COMPUTED_VALUE"""),1)</f>
        <v>1</v>
      </c>
      <c r="Q40" s="37">
        <f ca="1">IFERROR(__xludf.DUMMYFUNCTION("""COMPUTED_VALUE"""),2)</f>
        <v>2</v>
      </c>
      <c r="R40" s="37" t="str">
        <f ca="1">IFERROR(__xludf.DUMMYFUNCTION("""COMPUTED_VALUE"""),"Average laboratory porosity: 18,65%")</f>
        <v>Average laboratory porosity: 18,65%</v>
      </c>
      <c r="S40" s="37"/>
      <c r="T40" s="37"/>
      <c r="U40" s="37"/>
      <c r="V40" s="37"/>
      <c r="W40" s="37" t="str">
        <f ca="1">IFERROR(__xludf.DUMMYFUNCTION("""COMPUTED_VALUE"""),"Interparticle porosity: 3")</f>
        <v>Interparticle porosity: 3</v>
      </c>
      <c r="X40" s="37"/>
      <c r="Y40" s="37"/>
      <c r="Z40" s="37"/>
      <c r="AA40" s="37"/>
      <c r="AB40" s="37"/>
      <c r="AC40" s="37"/>
      <c r="AF40" s="37"/>
      <c r="AG40" s="37"/>
      <c r="AH40" s="37"/>
      <c r="AI40" s="37"/>
      <c r="AJ40" s="37"/>
    </row>
    <row r="41" spans="1:36" x14ac:dyDescent="0.35">
      <c r="A41" s="37" t="str">
        <f ca="1">IFERROR(__xludf.DUMMYFUNCTION("""COMPUTED_VALUE"""),"5018,95")</f>
        <v>5018,95</v>
      </c>
      <c r="B41" s="37" t="str">
        <f ca="1">IFERROR(__xludf.DUMMYFUNCTION("""COMPUTED_VALUE"""),"Shrubstone")</f>
        <v>Shrubstone</v>
      </c>
      <c r="C41" s="37">
        <f ca="1">IFERROR(__xludf.DUMMYFUNCTION("""COMPUTED_VALUE"""),1)</f>
        <v>1</v>
      </c>
      <c r="D41" s="37">
        <f ca="1">IFERROR(__xludf.DUMMYFUNCTION("""COMPUTED_VALUE"""),66)</f>
        <v>66</v>
      </c>
      <c r="E41" s="37">
        <f ca="1">IFERROR(__xludf.DUMMYFUNCTION("""COMPUTED_VALUE"""),4)</f>
        <v>4</v>
      </c>
      <c r="F41" s="37">
        <f ca="1">IFERROR(__xludf.DUMMYFUNCTION("""COMPUTED_VALUE"""),0)</f>
        <v>0</v>
      </c>
      <c r="G41" s="37">
        <f ca="1">IFERROR(__xludf.DUMMYFUNCTION("""COMPUTED_VALUE"""),13)</f>
        <v>13</v>
      </c>
      <c r="H41" s="37">
        <f ca="1">IFERROR(__xludf.DUMMYFUNCTION("""COMPUTED_VALUE"""),4)</f>
        <v>4</v>
      </c>
      <c r="I41" s="37">
        <f ca="1">IFERROR(__xludf.DUMMYFUNCTION("""COMPUTED_VALUE"""),1)</f>
        <v>1</v>
      </c>
      <c r="J41" s="37">
        <f ca="1">IFERROR(__xludf.DUMMYFUNCTION("""COMPUTED_VALUE"""),10)</f>
        <v>10</v>
      </c>
      <c r="K41" s="37">
        <f ca="1">IFERROR(__xludf.DUMMYFUNCTION("""COMPUTED_VALUE"""),7)</f>
        <v>7</v>
      </c>
      <c r="L41" s="37">
        <f ca="1">IFERROR(__xludf.DUMMYFUNCTION("""COMPUTED_VALUE"""),0)</f>
        <v>0</v>
      </c>
      <c r="M41" s="37">
        <f ca="1">IFERROR(__xludf.DUMMYFUNCTION("""COMPUTED_VALUE"""),1)</f>
        <v>1</v>
      </c>
      <c r="N41" s="39">
        <f ca="1">IFERROR(__xludf.DUMMYFUNCTION("""COMPUTED_VALUE"""),19)</f>
        <v>19</v>
      </c>
      <c r="O41" s="40">
        <f ca="1">IFERROR(__xludf.DUMMYFUNCTION("""COMPUTED_VALUE"""),733)</f>
        <v>733</v>
      </c>
      <c r="P41" s="37">
        <f ca="1">IFERROR(__xludf.DUMMYFUNCTION("""COMPUTED_VALUE"""),1)</f>
        <v>1</v>
      </c>
      <c r="Q41" s="37">
        <f ca="1">IFERROR(__xludf.DUMMYFUNCTION("""COMPUTED_VALUE"""),4)</f>
        <v>4</v>
      </c>
      <c r="R41" s="37" t="str">
        <f ca="1">IFERROR(__xludf.DUMMYFUNCTION("""COMPUTED_VALUE"""),"Laboratory permeability: de 101 até 500 mD")</f>
        <v>Laboratory permeability: de 101 até 500 mD</v>
      </c>
      <c r="S41" s="37"/>
      <c r="T41" s="37"/>
      <c r="U41" s="37"/>
      <c r="V41" s="37"/>
      <c r="W41" s="37" t="str">
        <f ca="1">IFERROR(__xludf.DUMMYFUNCTION("""COMPUTED_VALUE"""),"Intraparticle porosity: 3")</f>
        <v>Intraparticle porosity: 3</v>
      </c>
      <c r="X41" s="37"/>
      <c r="Y41" s="37"/>
      <c r="Z41" s="37"/>
      <c r="AA41" s="37"/>
      <c r="AB41" s="37"/>
      <c r="AC41" s="37"/>
      <c r="AF41" s="37"/>
      <c r="AG41" s="37"/>
      <c r="AH41" s="37"/>
      <c r="AI41" s="37"/>
      <c r="AJ41" s="37"/>
    </row>
    <row r="42" spans="1:36" x14ac:dyDescent="0.35">
      <c r="A42" s="37" t="str">
        <f ca="1">IFERROR(__xludf.DUMMYFUNCTION("""COMPUTED_VALUE"""),"5019,50")</f>
        <v>5019,50</v>
      </c>
      <c r="B42" s="37" t="str">
        <f ca="1">IFERROR(__xludf.DUMMYFUNCTION("""COMPUTED_VALUE"""),"Shrubstone")</f>
        <v>Shrubstone</v>
      </c>
      <c r="C42" s="37">
        <f ca="1">IFERROR(__xludf.DUMMYFUNCTION("""COMPUTED_VALUE"""),1)</f>
        <v>1</v>
      </c>
      <c r="D42" s="37">
        <f ca="1">IFERROR(__xludf.DUMMYFUNCTION("""COMPUTED_VALUE"""),60)</f>
        <v>60</v>
      </c>
      <c r="E42" s="37">
        <f ca="1">IFERROR(__xludf.DUMMYFUNCTION("""COMPUTED_VALUE"""),6)</f>
        <v>6</v>
      </c>
      <c r="F42" s="37">
        <f ca="1">IFERROR(__xludf.DUMMYFUNCTION("""COMPUTED_VALUE"""),0)</f>
        <v>0</v>
      </c>
      <c r="G42" s="37">
        <f ca="1">IFERROR(__xludf.DUMMYFUNCTION("""COMPUTED_VALUE"""),19)</f>
        <v>19</v>
      </c>
      <c r="H42" s="37">
        <f ca="1">IFERROR(__xludf.DUMMYFUNCTION("""COMPUTED_VALUE"""),4)</f>
        <v>4</v>
      </c>
      <c r="I42" s="37">
        <f ca="1">IFERROR(__xludf.DUMMYFUNCTION("""COMPUTED_VALUE"""),0)</f>
        <v>0</v>
      </c>
      <c r="J42" s="37">
        <f ca="1">IFERROR(__xludf.DUMMYFUNCTION("""COMPUTED_VALUE"""),8)</f>
        <v>8</v>
      </c>
      <c r="K42" s="37">
        <f ca="1">IFERROR(__xludf.DUMMYFUNCTION("""COMPUTED_VALUE"""),7)</f>
        <v>7</v>
      </c>
      <c r="L42" s="37">
        <f ca="1">IFERROR(__xludf.DUMMYFUNCTION("""COMPUTED_VALUE"""),1)</f>
        <v>1</v>
      </c>
      <c r="M42" s="37">
        <f ca="1">IFERROR(__xludf.DUMMYFUNCTION("""COMPUTED_VALUE"""),1)</f>
        <v>1</v>
      </c>
      <c r="N42" s="39">
        <f ca="1">IFERROR(__xludf.DUMMYFUNCTION("""COMPUTED_VALUE"""),18.6)</f>
        <v>18.600000000000001</v>
      </c>
      <c r="O42" s="40">
        <f ca="1">IFERROR(__xludf.DUMMYFUNCTION("""COMPUTED_VALUE"""),2180)</f>
        <v>2180</v>
      </c>
      <c r="P42" s="37">
        <f ca="1">IFERROR(__xludf.DUMMYFUNCTION("""COMPUTED_VALUE"""),1)</f>
        <v>1</v>
      </c>
      <c r="Q42" s="37">
        <f ca="1">IFERROR(__xludf.DUMMYFUNCTION("""COMPUTED_VALUE"""),5)</f>
        <v>5</v>
      </c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F42" s="37"/>
      <c r="AG42" s="37"/>
      <c r="AH42" s="37"/>
      <c r="AI42" s="37"/>
      <c r="AJ42" s="37"/>
    </row>
    <row r="43" spans="1:36" x14ac:dyDescent="0.35">
      <c r="A43" s="37" t="str">
        <f ca="1">IFERROR(__xludf.DUMMYFUNCTION("""COMPUTED_VALUE"""),"5020,90")</f>
        <v>5020,90</v>
      </c>
      <c r="B43" s="37" t="str">
        <f ca="1">IFERROR(__xludf.DUMMYFUNCTION("""COMPUTED_VALUE"""),"Intraclastic grainstone")</f>
        <v>Intraclastic grainstone</v>
      </c>
      <c r="C43" s="37">
        <f ca="1">IFERROR(__xludf.DUMMYFUNCTION("""COMPUTED_VALUE"""),9)</f>
        <v>9</v>
      </c>
      <c r="D43" s="37">
        <f ca="1">IFERROR(__xludf.DUMMYFUNCTION("""COMPUTED_VALUE"""),51)</f>
        <v>51</v>
      </c>
      <c r="E43" s="37">
        <f ca="1">IFERROR(__xludf.DUMMYFUNCTION("""COMPUTED_VALUE"""),13)</f>
        <v>13</v>
      </c>
      <c r="F43" s="37">
        <f ca="1">IFERROR(__xludf.DUMMYFUNCTION("""COMPUTED_VALUE"""),0)</f>
        <v>0</v>
      </c>
      <c r="G43" s="37">
        <f ca="1">IFERROR(__xludf.DUMMYFUNCTION("""COMPUTED_VALUE"""),10)</f>
        <v>10</v>
      </c>
      <c r="H43" s="37">
        <f ca="1">IFERROR(__xludf.DUMMYFUNCTION("""COMPUTED_VALUE"""),4)</f>
        <v>4</v>
      </c>
      <c r="I43" s="37">
        <f ca="1">IFERROR(__xludf.DUMMYFUNCTION("""COMPUTED_VALUE"""),0)</f>
        <v>0</v>
      </c>
      <c r="J43" s="37">
        <f ca="1">IFERROR(__xludf.DUMMYFUNCTION("""COMPUTED_VALUE"""),8)</f>
        <v>8</v>
      </c>
      <c r="K43" s="37">
        <f ca="1">IFERROR(__xludf.DUMMYFUNCTION("""COMPUTED_VALUE"""),18)</f>
        <v>18</v>
      </c>
      <c r="L43" s="37">
        <f ca="1">IFERROR(__xludf.DUMMYFUNCTION("""COMPUTED_VALUE"""),0)</f>
        <v>0</v>
      </c>
      <c r="M43" s="37">
        <f ca="1">IFERROR(__xludf.DUMMYFUNCTION("""COMPUTED_VALUE"""),1)</f>
        <v>1</v>
      </c>
      <c r="N43" s="39">
        <f ca="1">IFERROR(__xludf.DUMMYFUNCTION("""COMPUTED_VALUE"""),23.2)</f>
        <v>23.2</v>
      </c>
      <c r="O43" s="40">
        <f ca="1">IFERROR(__xludf.DUMMYFUNCTION("""COMPUTED_VALUE"""),82.9)</f>
        <v>82.9</v>
      </c>
      <c r="P43" s="37">
        <f ca="1">IFERROR(__xludf.DUMMYFUNCTION("""COMPUTED_VALUE"""),2)</f>
        <v>2</v>
      </c>
      <c r="Q43" s="37">
        <f ca="1">IFERROR(__xludf.DUMMYFUNCTION("""COMPUTED_VALUE"""),2)</f>
        <v>2</v>
      </c>
      <c r="R43" s="37" t="str">
        <f ca="1">IFERROR(__xludf.DUMMYFUNCTION("""COMPUTED_VALUE"""),"Petrofacies 4")</f>
        <v>Petrofacies 4</v>
      </c>
      <c r="S43" s="37"/>
      <c r="T43" s="37"/>
      <c r="U43" s="37"/>
      <c r="V43" s="37"/>
      <c r="W43" s="37" t="str">
        <f ca="1">IFERROR(__xludf.DUMMYFUNCTION("""COMPUTED_VALUE"""),"Interparticle cementation (calcite and dolomite): 3")</f>
        <v>Interparticle cementation (calcite and dolomite): 3</v>
      </c>
      <c r="X43" s="37"/>
      <c r="Y43" s="37"/>
      <c r="Z43" s="37"/>
      <c r="AA43" s="37"/>
      <c r="AB43" s="37" t="str">
        <f ca="1">IFERROR(__xludf.DUMMYFUNCTION("""COMPUTED_VALUE"""),"Vugs: 3")</f>
        <v>Vugs: 3</v>
      </c>
      <c r="AC43" s="37"/>
      <c r="AF43" s="37"/>
      <c r="AG43" s="37"/>
      <c r="AH43" s="37"/>
      <c r="AI43" s="37"/>
      <c r="AJ43" s="37"/>
    </row>
    <row r="44" spans="1:36" x14ac:dyDescent="0.35">
      <c r="A44" s="37" t="str">
        <f ca="1">IFERROR(__xludf.DUMMYFUNCTION("""COMPUTED_VALUE"""),"5021,35")</f>
        <v>5021,35</v>
      </c>
      <c r="B44" s="37" t="str">
        <f ca="1">IFERROR(__xludf.DUMMYFUNCTION("""COMPUTED_VALUE"""),"Intraclastic graisntone")</f>
        <v>Intraclastic graisntone</v>
      </c>
      <c r="C44" s="37">
        <f ca="1">IFERROR(__xludf.DUMMYFUNCTION("""COMPUTED_VALUE"""),9)</f>
        <v>9</v>
      </c>
      <c r="D44" s="37">
        <f ca="1">IFERROR(__xludf.DUMMYFUNCTION("""COMPUTED_VALUE"""),74)</f>
        <v>74</v>
      </c>
      <c r="E44" s="37">
        <f ca="1">IFERROR(__xludf.DUMMYFUNCTION("""COMPUTED_VALUE"""),10)</f>
        <v>10</v>
      </c>
      <c r="F44" s="37">
        <f ca="1">IFERROR(__xludf.DUMMYFUNCTION("""COMPUTED_VALUE"""),0)</f>
        <v>0</v>
      </c>
      <c r="G44" s="37">
        <f ca="1">IFERROR(__xludf.DUMMYFUNCTION("""COMPUTED_VALUE"""),0)</f>
        <v>0</v>
      </c>
      <c r="H44" s="37">
        <f ca="1">IFERROR(__xludf.DUMMYFUNCTION("""COMPUTED_VALUE"""),4)</f>
        <v>4</v>
      </c>
      <c r="I44" s="37">
        <f ca="1">IFERROR(__xludf.DUMMYFUNCTION("""COMPUTED_VALUE"""),0)</f>
        <v>0</v>
      </c>
      <c r="J44" s="37">
        <f ca="1">IFERROR(__xludf.DUMMYFUNCTION("""COMPUTED_VALUE"""),4)</f>
        <v>4</v>
      </c>
      <c r="K44" s="37">
        <f ca="1">IFERROR(__xludf.DUMMYFUNCTION("""COMPUTED_VALUE"""),12)</f>
        <v>12</v>
      </c>
      <c r="L44" s="37">
        <f ca="1">IFERROR(__xludf.DUMMYFUNCTION("""COMPUTED_VALUE"""),0)</f>
        <v>0</v>
      </c>
      <c r="M44" s="37">
        <f ca="1">IFERROR(__xludf.DUMMYFUNCTION("""COMPUTED_VALUE"""),0)</f>
        <v>0</v>
      </c>
      <c r="N44" s="39">
        <f ca="1">IFERROR(__xludf.DUMMYFUNCTION("""COMPUTED_VALUE"""),17.6)</f>
        <v>17.600000000000001</v>
      </c>
      <c r="O44" s="40">
        <f ca="1">IFERROR(__xludf.DUMMYFUNCTION("""COMPUTED_VALUE"""),40.5)</f>
        <v>40.5</v>
      </c>
      <c r="P44" s="37">
        <f ca="1">IFERROR(__xludf.DUMMYFUNCTION("""COMPUTED_VALUE"""),2)</f>
        <v>2</v>
      </c>
      <c r="Q44" s="37">
        <f ca="1">IFERROR(__xludf.DUMMYFUNCTION("""COMPUTED_VALUE"""),1)</f>
        <v>1</v>
      </c>
      <c r="R44" s="37" t="str">
        <f ca="1">IFERROR(__xludf.DUMMYFUNCTION("""COMPUTED_VALUE"""),"Average absolute porosity: 19,76%")</f>
        <v>Average absolute porosity: 19,76%</v>
      </c>
      <c r="S44" s="37"/>
      <c r="T44" s="37"/>
      <c r="U44" s="37"/>
      <c r="V44" s="37"/>
      <c r="W44" s="37" t="str">
        <f ca="1">IFERROR(__xludf.DUMMYFUNCTION("""COMPUTED_VALUE"""),"Clay content (clay matrix): 3")</f>
        <v>Clay content (clay matrix): 3</v>
      </c>
      <c r="X44" s="37"/>
      <c r="Y44" s="37"/>
      <c r="Z44" s="37"/>
      <c r="AA44" s="37"/>
      <c r="AB44" s="37" t="str">
        <f ca="1">IFERROR(__xludf.DUMMYFUNCTION("""COMPUTED_VALUE"""),"Amalgamated particles: 2")</f>
        <v>Amalgamated particles: 2</v>
      </c>
      <c r="AC44" s="37"/>
      <c r="AF44" s="37"/>
      <c r="AG44" s="37"/>
      <c r="AH44" s="37"/>
      <c r="AI44" s="37"/>
      <c r="AJ44" s="37"/>
    </row>
    <row r="45" spans="1:36" x14ac:dyDescent="0.35">
      <c r="A45" s="37" t="str">
        <f ca="1">IFERROR(__xludf.DUMMYFUNCTION("""COMPUTED_VALUE"""),"5021,60")</f>
        <v>5021,60</v>
      </c>
      <c r="B45" s="37" t="str">
        <f ca="1">IFERROR(__xludf.DUMMYFUNCTION("""COMPUTED_VALUE"""),"Shrubby spherulitestone")</f>
        <v>Shrubby spherulitestone</v>
      </c>
      <c r="C45" s="37">
        <f ca="1">IFERROR(__xludf.DUMMYFUNCTION("""COMPUTED_VALUE"""),4)</f>
        <v>4</v>
      </c>
      <c r="D45" s="37">
        <f ca="1">IFERROR(__xludf.DUMMYFUNCTION("""COMPUTED_VALUE"""),56)</f>
        <v>56</v>
      </c>
      <c r="E45" s="37">
        <f ca="1">IFERROR(__xludf.DUMMYFUNCTION("""COMPUTED_VALUE"""),24)</f>
        <v>24</v>
      </c>
      <c r="F45" s="37">
        <f ca="1">IFERROR(__xludf.DUMMYFUNCTION("""COMPUTED_VALUE"""),3)</f>
        <v>3</v>
      </c>
      <c r="G45" s="37">
        <f ca="1">IFERROR(__xludf.DUMMYFUNCTION("""COMPUTED_VALUE"""),5)</f>
        <v>5</v>
      </c>
      <c r="H45" s="37">
        <f ca="1">IFERROR(__xludf.DUMMYFUNCTION("""COMPUTED_VALUE"""),4)</f>
        <v>4</v>
      </c>
      <c r="I45" s="37">
        <f ca="1">IFERROR(__xludf.DUMMYFUNCTION("""COMPUTED_VALUE"""),1)</f>
        <v>1</v>
      </c>
      <c r="J45" s="37">
        <f ca="1">IFERROR(__xludf.DUMMYFUNCTION("""COMPUTED_VALUE"""),12)</f>
        <v>12</v>
      </c>
      <c r="K45" s="37">
        <f ca="1">IFERROR(__xludf.DUMMYFUNCTION("""COMPUTED_VALUE"""),0)</f>
        <v>0</v>
      </c>
      <c r="L45" s="37">
        <f ca="1">IFERROR(__xludf.DUMMYFUNCTION("""COMPUTED_VALUE"""),1)</f>
        <v>1</v>
      </c>
      <c r="M45" s="37">
        <f ca="1">IFERROR(__xludf.DUMMYFUNCTION("""COMPUTED_VALUE"""),0)</f>
        <v>0</v>
      </c>
      <c r="N45" s="39">
        <f ca="1">IFERROR(__xludf.DUMMYFUNCTION("""COMPUTED_VALUE"""),13.3)</f>
        <v>13.3</v>
      </c>
      <c r="O45" s="40">
        <f ca="1">IFERROR(__xludf.DUMMYFUNCTION("""COMPUTED_VALUE"""),883)</f>
        <v>883</v>
      </c>
      <c r="P45" s="37">
        <f ca="1">IFERROR(__xludf.DUMMYFUNCTION("""COMPUTED_VALUE"""),1)</f>
        <v>1</v>
      </c>
      <c r="Q45" s="37">
        <f ca="1">IFERROR(__xludf.DUMMYFUNCTION("""COMPUTED_VALUE"""),4)</f>
        <v>4</v>
      </c>
      <c r="R45" s="37" t="str">
        <f ca="1">IFERROR(__xludf.DUMMYFUNCTION("""COMPUTED_VALUE"""),"Average effective porosity: 13,53%")</f>
        <v>Average effective porosity: 13,53%</v>
      </c>
      <c r="S45" s="37"/>
      <c r="T45" s="37"/>
      <c r="U45" s="37"/>
      <c r="V45" s="37"/>
      <c r="W45" s="37" t="str">
        <f ca="1">IFERROR(__xludf.DUMMYFUNCTION("""COMPUTED_VALUE"""),"Interparticle silica: 3")</f>
        <v>Interparticle silica: 3</v>
      </c>
      <c r="X45" s="37"/>
      <c r="Y45" s="37"/>
      <c r="Z45" s="37"/>
      <c r="AA45" s="37"/>
      <c r="AB45" s="37" t="str">
        <f ca="1">IFERROR(__xludf.DUMMYFUNCTION("""COMPUTED_VALUE"""),"Connection between pores: 3")</f>
        <v>Connection between pores: 3</v>
      </c>
      <c r="AC45" s="37"/>
      <c r="AF45" s="37"/>
      <c r="AG45" s="37"/>
      <c r="AH45" s="37"/>
      <c r="AI45" s="37"/>
      <c r="AJ45" s="37"/>
    </row>
    <row r="46" spans="1:36" x14ac:dyDescent="0.35">
      <c r="A46" s="37" t="str">
        <f ca="1">IFERROR(__xludf.DUMMYFUNCTION("""COMPUTED_VALUE"""),"5023,65")</f>
        <v>5023,65</v>
      </c>
      <c r="B46" s="37" t="str">
        <f ca="1">IFERROR(__xludf.DUMMYFUNCTION("""COMPUTED_VALUE"""),"Shrubstone")</f>
        <v>Shrubstone</v>
      </c>
      <c r="C46" s="37">
        <f ca="1">IFERROR(__xludf.DUMMYFUNCTION("""COMPUTED_VALUE"""),1)</f>
        <v>1</v>
      </c>
      <c r="D46" s="37">
        <f ca="1">IFERROR(__xludf.DUMMYFUNCTION("""COMPUTED_VALUE"""),28)</f>
        <v>28</v>
      </c>
      <c r="E46" s="37">
        <f ca="1">IFERROR(__xludf.DUMMYFUNCTION("""COMPUTED_VALUE"""),44)</f>
        <v>44</v>
      </c>
      <c r="F46" s="37">
        <f ca="1">IFERROR(__xludf.DUMMYFUNCTION("""COMPUTED_VALUE"""),7)</f>
        <v>7</v>
      </c>
      <c r="G46" s="37">
        <f ca="1">IFERROR(__xludf.DUMMYFUNCTION("""COMPUTED_VALUE"""),14)</f>
        <v>14</v>
      </c>
      <c r="H46" s="37">
        <f ca="1">IFERROR(__xludf.DUMMYFUNCTION("""COMPUTED_VALUE"""),4)</f>
        <v>4</v>
      </c>
      <c r="I46" s="37">
        <f ca="1">IFERROR(__xludf.DUMMYFUNCTION("""COMPUTED_VALUE"""),0)</f>
        <v>0</v>
      </c>
      <c r="J46" s="37">
        <f ca="1">IFERROR(__xludf.DUMMYFUNCTION("""COMPUTED_VALUE"""),1)</f>
        <v>1</v>
      </c>
      <c r="K46" s="37">
        <f ca="1">IFERROR(__xludf.DUMMYFUNCTION("""COMPUTED_VALUE"""),6)</f>
        <v>6</v>
      </c>
      <c r="L46" s="37">
        <f ca="1">IFERROR(__xludf.DUMMYFUNCTION("""COMPUTED_VALUE"""),1)</f>
        <v>1</v>
      </c>
      <c r="M46" s="37">
        <f ca="1">IFERROR(__xludf.DUMMYFUNCTION("""COMPUTED_VALUE"""),0)</f>
        <v>0</v>
      </c>
      <c r="N46" s="39">
        <f ca="1">IFERROR(__xludf.DUMMYFUNCTION("""COMPUTED_VALUE"""),13.5)</f>
        <v>13.5</v>
      </c>
      <c r="O46" s="40">
        <f ca="1">IFERROR(__xludf.DUMMYFUNCTION("""COMPUTED_VALUE"""),178)</f>
        <v>178</v>
      </c>
      <c r="P46" s="37">
        <f ca="1">IFERROR(__xludf.DUMMYFUNCTION("""COMPUTED_VALUE"""),1)</f>
        <v>1</v>
      </c>
      <c r="Q46" s="37">
        <f ca="1">IFERROR(__xludf.DUMMYFUNCTION("""COMPUTED_VALUE"""),2)</f>
        <v>2</v>
      </c>
      <c r="R46" s="37" t="str">
        <f ca="1">IFERROR(__xludf.DUMMYFUNCTION("""COMPUTED_VALUE"""),"Average laboratory porosity:  17,90%")</f>
        <v>Average laboratory porosity:  17,90%</v>
      </c>
      <c r="S46" s="37"/>
      <c r="T46" s="37"/>
      <c r="U46" s="37"/>
      <c r="V46" s="37"/>
      <c r="W46" s="37" t="str">
        <f ca="1">IFERROR(__xludf.DUMMYFUNCTION("""COMPUTED_VALUE"""),"Interparticle porosity: 2")</f>
        <v>Interparticle porosity: 2</v>
      </c>
      <c r="X46" s="37"/>
      <c r="Y46" s="37"/>
      <c r="Z46" s="37"/>
      <c r="AA46" s="37"/>
      <c r="AB46" s="37"/>
      <c r="AC46" s="37"/>
      <c r="AF46" s="37"/>
      <c r="AG46" s="37"/>
      <c r="AH46" s="37"/>
      <c r="AI46" s="37"/>
      <c r="AJ46" s="37"/>
    </row>
    <row r="47" spans="1:36" x14ac:dyDescent="0.35">
      <c r="A47" s="37" t="str">
        <f ca="1">IFERROR(__xludf.DUMMYFUNCTION("""COMPUTED_VALUE"""),"5024,40")</f>
        <v>5024,40</v>
      </c>
      <c r="B47" s="37" t="str">
        <f ca="1">IFERROR(__xludf.DUMMYFUNCTION("""COMPUTED_VALUE"""),"Mudstone spherulitic")</f>
        <v>Mudstone spherulitic</v>
      </c>
      <c r="C47" s="37">
        <f ca="1">IFERROR(__xludf.DUMMYFUNCTION("""COMPUTED_VALUE"""),6)</f>
        <v>6</v>
      </c>
      <c r="D47" s="37">
        <f ca="1">IFERROR(__xludf.DUMMYFUNCTION("""COMPUTED_VALUE"""),12)</f>
        <v>12</v>
      </c>
      <c r="E47" s="37">
        <f ca="1">IFERROR(__xludf.DUMMYFUNCTION("""COMPUTED_VALUE"""),54)</f>
        <v>54</v>
      </c>
      <c r="F47" s="37">
        <f ca="1">IFERROR(__xludf.DUMMYFUNCTION("""COMPUTED_VALUE"""),27)</f>
        <v>27</v>
      </c>
      <c r="G47" s="37">
        <f ca="1">IFERROR(__xludf.DUMMYFUNCTION("""COMPUTED_VALUE"""),4)</f>
        <v>4</v>
      </c>
      <c r="H47" s="37">
        <f ca="1">IFERROR(__xludf.DUMMYFUNCTION("""COMPUTED_VALUE"""),4)</f>
        <v>4</v>
      </c>
      <c r="I47" s="37">
        <f ca="1">IFERROR(__xludf.DUMMYFUNCTION("""COMPUTED_VALUE"""),0)</f>
        <v>0</v>
      </c>
      <c r="J47" s="37">
        <f ca="1">IFERROR(__xludf.DUMMYFUNCTION("""COMPUTED_VALUE"""),0)</f>
        <v>0</v>
      </c>
      <c r="K47" s="37">
        <f ca="1">IFERROR(__xludf.DUMMYFUNCTION("""COMPUTED_VALUE"""),3)</f>
        <v>3</v>
      </c>
      <c r="L47" s="37">
        <f ca="1">IFERROR(__xludf.DUMMYFUNCTION("""COMPUTED_VALUE"""),0)</f>
        <v>0</v>
      </c>
      <c r="M47" s="37">
        <f ca="1">IFERROR(__xludf.DUMMYFUNCTION("""COMPUTED_VALUE"""),0)</f>
        <v>0</v>
      </c>
      <c r="N47" s="39">
        <f ca="1">IFERROR(__xludf.DUMMYFUNCTION("""COMPUTED_VALUE"""),4.5)</f>
        <v>4.5</v>
      </c>
      <c r="O47" s="40">
        <f ca="1">IFERROR(__xludf.DUMMYFUNCTION("""COMPUTED_VALUE"""),22.4)</f>
        <v>22.4</v>
      </c>
      <c r="P47" s="37">
        <f ca="1">IFERROR(__xludf.DUMMYFUNCTION("""COMPUTED_VALUE"""),1)</f>
        <v>1</v>
      </c>
      <c r="Q47" s="37">
        <f ca="1">IFERROR(__xludf.DUMMYFUNCTION("""COMPUTED_VALUE"""),1)</f>
        <v>1</v>
      </c>
      <c r="R47" s="37" t="str">
        <f ca="1">IFERROR(__xludf.DUMMYFUNCTION("""COMPUTED_VALUE"""),"Laboratory permeability: 501 a 1000 mD")</f>
        <v>Laboratory permeability: 501 a 1000 mD</v>
      </c>
      <c r="S47" s="37"/>
      <c r="T47" s="37"/>
      <c r="U47" s="37"/>
      <c r="V47" s="37"/>
      <c r="W47" s="37" t="str">
        <f ca="1">IFERROR(__xludf.DUMMYFUNCTION("""COMPUTED_VALUE"""),"Intraparticle porosity: 2")</f>
        <v>Intraparticle porosity: 2</v>
      </c>
      <c r="X47" s="37"/>
      <c r="Y47" s="37"/>
      <c r="Z47" s="37"/>
      <c r="AA47" s="37"/>
      <c r="AB47" s="37"/>
      <c r="AC47" s="37"/>
      <c r="AF47" s="37"/>
      <c r="AG47" s="37"/>
      <c r="AH47" s="37"/>
      <c r="AI47" s="37"/>
      <c r="AJ47" s="37"/>
    </row>
    <row r="48" spans="1:36" x14ac:dyDescent="0.35">
      <c r="A48" s="37" t="str">
        <f ca="1">IFERROR(__xludf.DUMMYFUNCTION("""COMPUTED_VALUE"""),"5024,60")</f>
        <v>5024,60</v>
      </c>
      <c r="B48" s="37" t="str">
        <f ca="1">IFERROR(__xludf.DUMMYFUNCTION("""COMPUTED_VALUE"""),"Shrubby spherulitestone")</f>
        <v>Shrubby spherulitestone</v>
      </c>
      <c r="C48" s="37">
        <f ca="1">IFERROR(__xludf.DUMMYFUNCTION("""COMPUTED_VALUE"""),4)</f>
        <v>4</v>
      </c>
      <c r="D48" s="37">
        <f ca="1">IFERROR(__xludf.DUMMYFUNCTION("""COMPUTED_VALUE"""),53)</f>
        <v>53</v>
      </c>
      <c r="E48" s="37">
        <f ca="1">IFERROR(__xludf.DUMMYFUNCTION("""COMPUTED_VALUE"""),26)</f>
        <v>26</v>
      </c>
      <c r="F48" s="37">
        <f ca="1">IFERROR(__xludf.DUMMYFUNCTION("""COMPUTED_VALUE"""),0)</f>
        <v>0</v>
      </c>
      <c r="G48" s="37">
        <f ca="1">IFERROR(__xludf.DUMMYFUNCTION("""COMPUTED_VALUE"""),0)</f>
        <v>0</v>
      </c>
      <c r="H48" s="37">
        <f ca="1">IFERROR(__xludf.DUMMYFUNCTION("""COMPUTED_VALUE"""),4)</f>
        <v>4</v>
      </c>
      <c r="I48" s="37">
        <f ca="1">IFERROR(__xludf.DUMMYFUNCTION("""COMPUTED_VALUE"""),1)</f>
        <v>1</v>
      </c>
      <c r="J48" s="37">
        <f ca="1">IFERROR(__xludf.DUMMYFUNCTION("""COMPUTED_VALUE"""),14)</f>
        <v>14</v>
      </c>
      <c r="K48" s="37">
        <f ca="1">IFERROR(__xludf.DUMMYFUNCTION("""COMPUTED_VALUE"""),7)</f>
        <v>7</v>
      </c>
      <c r="L48" s="37">
        <f ca="1">IFERROR(__xludf.DUMMYFUNCTION("""COMPUTED_VALUE"""),0)</f>
        <v>0</v>
      </c>
      <c r="M48" s="37">
        <f ca="1">IFERROR(__xludf.DUMMYFUNCTION("""COMPUTED_VALUE"""),1)</f>
        <v>1</v>
      </c>
      <c r="N48" s="39">
        <f ca="1">IFERROR(__xludf.DUMMYFUNCTION("""COMPUTED_VALUE"""),10.3)</f>
        <v>10.3</v>
      </c>
      <c r="O48" s="40">
        <f ca="1">IFERROR(__xludf.DUMMYFUNCTION("""COMPUTED_VALUE"""),15)</f>
        <v>15</v>
      </c>
      <c r="P48" s="37">
        <f ca="1">IFERROR(__xludf.DUMMYFUNCTION("""COMPUTED_VALUE"""),1)</f>
        <v>1</v>
      </c>
      <c r="Q48" s="37">
        <f ca="1">IFERROR(__xludf.DUMMYFUNCTION("""COMPUTED_VALUE"""),1)</f>
        <v>1</v>
      </c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F48" s="37"/>
      <c r="AG48" s="37"/>
      <c r="AH48" s="37"/>
      <c r="AI48" s="37"/>
      <c r="AJ48" s="37"/>
    </row>
    <row r="49" spans="1:36" x14ac:dyDescent="0.35">
      <c r="A49" s="37" t="str">
        <f ca="1">IFERROR(__xludf.DUMMYFUNCTION("""COMPUTED_VALUE"""),"5026,50")</f>
        <v>5026,50</v>
      </c>
      <c r="B49" s="37" t="str">
        <f ca="1">IFERROR(__xludf.DUMMYFUNCTION("""COMPUTED_VALUE"""),"Shrubby spherulitestone")</f>
        <v>Shrubby spherulitestone</v>
      </c>
      <c r="C49" s="37">
        <f ca="1">IFERROR(__xludf.DUMMYFUNCTION("""COMPUTED_VALUE"""),4)</f>
        <v>4</v>
      </c>
      <c r="D49" s="37">
        <f ca="1">IFERROR(__xludf.DUMMYFUNCTION("""COMPUTED_VALUE"""),70)</f>
        <v>70</v>
      </c>
      <c r="E49" s="37">
        <f ca="1">IFERROR(__xludf.DUMMYFUNCTION("""COMPUTED_VALUE"""),20)</f>
        <v>20</v>
      </c>
      <c r="F49" s="37">
        <f ca="1">IFERROR(__xludf.DUMMYFUNCTION("""COMPUTED_VALUE"""),0)</f>
        <v>0</v>
      </c>
      <c r="G49" s="37">
        <f ca="1">IFERROR(__xludf.DUMMYFUNCTION("""COMPUTED_VALUE"""),8)</f>
        <v>8</v>
      </c>
      <c r="H49" s="37">
        <f ca="1">IFERROR(__xludf.DUMMYFUNCTION("""COMPUTED_VALUE"""),4)</f>
        <v>4</v>
      </c>
      <c r="I49" s="37">
        <f ca="1">IFERROR(__xludf.DUMMYFUNCTION("""COMPUTED_VALUE"""),1)</f>
        <v>1</v>
      </c>
      <c r="J49" s="37">
        <f ca="1">IFERROR(__xludf.DUMMYFUNCTION("""COMPUTED_VALUE"""),1)</f>
        <v>1</v>
      </c>
      <c r="K49" s="37">
        <f ca="1">IFERROR(__xludf.DUMMYFUNCTION("""COMPUTED_VALUE"""),1)</f>
        <v>1</v>
      </c>
      <c r="L49" s="37">
        <f ca="1">IFERROR(__xludf.DUMMYFUNCTION("""COMPUTED_VALUE"""),0)</f>
        <v>0</v>
      </c>
      <c r="M49" s="37">
        <f ca="1">IFERROR(__xludf.DUMMYFUNCTION("""COMPUTED_VALUE"""),0)</f>
        <v>0</v>
      </c>
      <c r="N49" s="39">
        <f ca="1">IFERROR(__xludf.DUMMYFUNCTION("""COMPUTED_VALUE"""),1.6)</f>
        <v>1.6</v>
      </c>
      <c r="O49" s="40">
        <f ca="1">IFERROR(__xludf.DUMMYFUNCTION("""COMPUTED_VALUE"""),0.017)</f>
        <v>1.7000000000000001E-2</v>
      </c>
      <c r="P49" s="37">
        <f ca="1">IFERROR(__xludf.DUMMYFUNCTION("""COMPUTED_VALUE"""),1)</f>
        <v>1</v>
      </c>
      <c r="Q49" s="37">
        <f ca="1">IFERROR(__xludf.DUMMYFUNCTION("""COMPUTED_VALUE"""),1)</f>
        <v>1</v>
      </c>
      <c r="R49" s="37" t="str">
        <f ca="1">IFERROR(__xludf.DUMMYFUNCTION("""COMPUTED_VALUE"""),"Petrofacies 5")</f>
        <v>Petrofacies 5</v>
      </c>
      <c r="S49" s="37"/>
      <c r="T49" s="37"/>
      <c r="U49" s="37"/>
      <c r="V49" s="37"/>
      <c r="W49" s="37" t="str">
        <f ca="1">IFERROR(__xludf.DUMMYFUNCTION("""COMPUTED_VALUE"""),"Interparticle cementation (calcite and dolomite): 2")</f>
        <v>Interparticle cementation (calcite and dolomite): 2</v>
      </c>
      <c r="X49" s="37"/>
      <c r="Y49" s="37"/>
      <c r="Z49" s="37"/>
      <c r="AA49" s="37"/>
      <c r="AB49" s="37" t="str">
        <f ca="1">IFERROR(__xludf.DUMMYFUNCTION("""COMPUTED_VALUE"""),"Vugs: 3")</f>
        <v>Vugs: 3</v>
      </c>
      <c r="AC49" s="37"/>
      <c r="AF49" s="37"/>
      <c r="AG49" s="37"/>
      <c r="AH49" s="37"/>
      <c r="AI49" s="37"/>
      <c r="AJ49" s="37"/>
    </row>
    <row r="50" spans="1:36" x14ac:dyDescent="0.35">
      <c r="A50" s="37" t="str">
        <f ca="1">IFERROR(__xludf.DUMMYFUNCTION("""COMPUTED_VALUE"""),"5026,70")</f>
        <v>5026,70</v>
      </c>
      <c r="B50" s="37" t="str">
        <f ca="1">IFERROR(__xludf.DUMMYFUNCTION("""COMPUTED_VALUE"""),"Mudstone spherulitic")</f>
        <v>Mudstone spherulitic</v>
      </c>
      <c r="C50" s="37">
        <f ca="1">IFERROR(__xludf.DUMMYFUNCTION("""COMPUTED_VALUE"""),6)</f>
        <v>6</v>
      </c>
      <c r="D50" s="37">
        <f ca="1">IFERROR(__xludf.DUMMYFUNCTION("""COMPUTED_VALUE"""),50)</f>
        <v>50</v>
      </c>
      <c r="E50" s="37">
        <f ca="1">IFERROR(__xludf.DUMMYFUNCTION("""COMPUTED_VALUE"""),40)</f>
        <v>40</v>
      </c>
      <c r="F50" s="37">
        <f ca="1">IFERROR(__xludf.DUMMYFUNCTION("""COMPUTED_VALUE"""),0)</f>
        <v>0</v>
      </c>
      <c r="G50" s="37">
        <f ca="1">IFERROR(__xludf.DUMMYFUNCTION("""COMPUTED_VALUE"""),3)</f>
        <v>3</v>
      </c>
      <c r="H50" s="37">
        <f ca="1">IFERROR(__xludf.DUMMYFUNCTION("""COMPUTED_VALUE"""),4)</f>
        <v>4</v>
      </c>
      <c r="I50" s="37">
        <f ca="1">IFERROR(__xludf.DUMMYFUNCTION("""COMPUTED_VALUE"""),0)</f>
        <v>0</v>
      </c>
      <c r="J50" s="37">
        <f ca="1">IFERROR(__xludf.DUMMYFUNCTION("""COMPUTED_VALUE"""),6)</f>
        <v>6</v>
      </c>
      <c r="K50" s="37">
        <f ca="1">IFERROR(__xludf.DUMMYFUNCTION("""COMPUTED_VALUE"""),1)</f>
        <v>1</v>
      </c>
      <c r="L50" s="37">
        <f ca="1">IFERROR(__xludf.DUMMYFUNCTION("""COMPUTED_VALUE"""),0)</f>
        <v>0</v>
      </c>
      <c r="M50" s="37">
        <f ca="1">IFERROR(__xludf.DUMMYFUNCTION("""COMPUTED_VALUE"""),1)</f>
        <v>1</v>
      </c>
      <c r="N50" s="39">
        <f ca="1">IFERROR(__xludf.DUMMYFUNCTION("""COMPUTED_VALUE"""),5.2)</f>
        <v>5.2</v>
      </c>
      <c r="O50" s="40">
        <f ca="1">IFERROR(__xludf.DUMMYFUNCTION("""COMPUTED_VALUE"""),22.7)</f>
        <v>22.7</v>
      </c>
      <c r="P50" s="37">
        <f ca="1">IFERROR(__xludf.DUMMYFUNCTION("""COMPUTED_VALUE"""),1)</f>
        <v>1</v>
      </c>
      <c r="Q50" s="37">
        <f ca="1">IFERROR(__xludf.DUMMYFUNCTION("""COMPUTED_VALUE"""),1)</f>
        <v>1</v>
      </c>
      <c r="R50" s="37" t="str">
        <f ca="1">IFERROR(__xludf.DUMMYFUNCTION("""COMPUTED_VALUE"""),"Average absolute porosity: 18,33%")</f>
        <v>Average absolute porosity: 18,33%</v>
      </c>
      <c r="S50" s="37"/>
      <c r="T50" s="37"/>
      <c r="U50" s="37"/>
      <c r="V50" s="37"/>
      <c r="W50" s="37" t="str">
        <f ca="1">IFERROR(__xludf.DUMMYFUNCTION("""COMPUTED_VALUE"""),"Clay content (clay matrix): 1")</f>
        <v>Clay content (clay matrix): 1</v>
      </c>
      <c r="X50" s="37"/>
      <c r="Y50" s="37"/>
      <c r="Z50" s="37"/>
      <c r="AA50" s="37"/>
      <c r="AB50" s="37" t="str">
        <f ca="1">IFERROR(__xludf.DUMMYFUNCTION("""COMPUTED_VALUE"""),"Amalgamated particles: 2")</f>
        <v>Amalgamated particles: 2</v>
      </c>
      <c r="AC50" s="37"/>
      <c r="AF50" s="37"/>
      <c r="AG50" s="37"/>
      <c r="AH50" s="37"/>
      <c r="AI50" s="37"/>
      <c r="AJ50" s="37"/>
    </row>
    <row r="51" spans="1:36" x14ac:dyDescent="0.35">
      <c r="A51" s="37" t="str">
        <f ca="1">IFERROR(__xludf.DUMMYFUNCTION("""COMPUTED_VALUE"""),"5027,60")</f>
        <v>5027,60</v>
      </c>
      <c r="B51" s="37" t="str">
        <f ca="1">IFERROR(__xludf.DUMMYFUNCTION("""COMPUTED_VALUE"""),"Mudstone spherulitic")</f>
        <v>Mudstone spherulitic</v>
      </c>
      <c r="C51" s="37">
        <f ca="1">IFERROR(__xludf.DUMMYFUNCTION("""COMPUTED_VALUE"""),6)</f>
        <v>6</v>
      </c>
      <c r="D51" s="37">
        <f ca="1">IFERROR(__xludf.DUMMYFUNCTION("""COMPUTED_VALUE"""),24)</f>
        <v>24</v>
      </c>
      <c r="E51" s="37">
        <f ca="1">IFERROR(__xludf.DUMMYFUNCTION("""COMPUTED_VALUE"""),38)</f>
        <v>38</v>
      </c>
      <c r="F51" s="37">
        <f ca="1">IFERROR(__xludf.DUMMYFUNCTION("""COMPUTED_VALUE"""),19)</f>
        <v>19</v>
      </c>
      <c r="G51" s="37">
        <f ca="1">IFERROR(__xludf.DUMMYFUNCTION("""COMPUTED_VALUE"""),9)</f>
        <v>9</v>
      </c>
      <c r="H51" s="37">
        <f ca="1">IFERROR(__xludf.DUMMYFUNCTION("""COMPUTED_VALUE"""),4)</f>
        <v>4</v>
      </c>
      <c r="I51" s="37">
        <f ca="1">IFERROR(__xludf.DUMMYFUNCTION("""COMPUTED_VALUE"""),0)</f>
        <v>0</v>
      </c>
      <c r="J51" s="37">
        <f ca="1">IFERROR(__xludf.DUMMYFUNCTION("""COMPUTED_VALUE"""),8)</f>
        <v>8</v>
      </c>
      <c r="K51" s="37">
        <f ca="1">IFERROR(__xludf.DUMMYFUNCTION("""COMPUTED_VALUE"""),2)</f>
        <v>2</v>
      </c>
      <c r="L51" s="37">
        <f ca="1">IFERROR(__xludf.DUMMYFUNCTION("""COMPUTED_VALUE"""),0)</f>
        <v>0</v>
      </c>
      <c r="M51" s="37">
        <f ca="1">IFERROR(__xludf.DUMMYFUNCTION("""COMPUTED_VALUE"""),1)</f>
        <v>1</v>
      </c>
      <c r="N51" s="39">
        <f ca="1">IFERROR(__xludf.DUMMYFUNCTION("""COMPUTED_VALUE"""),12)</f>
        <v>12</v>
      </c>
      <c r="O51" s="40">
        <f ca="1">IFERROR(__xludf.DUMMYFUNCTION("""COMPUTED_VALUE"""),37.8)</f>
        <v>37.799999999999997</v>
      </c>
      <c r="P51" s="37">
        <f ca="1">IFERROR(__xludf.DUMMYFUNCTION("""COMPUTED_VALUE"""),1)</f>
        <v>1</v>
      </c>
      <c r="Q51" s="37">
        <f ca="1">IFERROR(__xludf.DUMMYFUNCTION("""COMPUTED_VALUE"""),1)</f>
        <v>1</v>
      </c>
      <c r="R51" s="37" t="str">
        <f ca="1">IFERROR(__xludf.DUMMYFUNCTION("""COMPUTED_VALUE"""),"Average effective porosity: 12,50%")</f>
        <v>Average effective porosity: 12,50%</v>
      </c>
      <c r="S51" s="37"/>
      <c r="T51" s="37"/>
      <c r="U51" s="37"/>
      <c r="V51" s="37"/>
      <c r="W51" s="37" t="str">
        <f ca="1">IFERROR(__xludf.DUMMYFUNCTION("""COMPUTED_VALUE"""),"Interparticle silica: 2")</f>
        <v>Interparticle silica: 2</v>
      </c>
      <c r="X51" s="37"/>
      <c r="Y51" s="37"/>
      <c r="Z51" s="37"/>
      <c r="AA51" s="37"/>
      <c r="AB51" s="37" t="str">
        <f ca="1">IFERROR(__xludf.DUMMYFUNCTION("""COMPUTED_VALUE"""),"Connection between pores: 3")</f>
        <v>Connection between pores: 3</v>
      </c>
      <c r="AC51" s="37"/>
      <c r="AF51" s="37"/>
      <c r="AG51" s="37"/>
      <c r="AH51" s="37"/>
      <c r="AI51" s="37"/>
      <c r="AJ51" s="37"/>
    </row>
    <row r="52" spans="1:36" x14ac:dyDescent="0.35">
      <c r="A52" s="37" t="str">
        <f ca="1">IFERROR(__xludf.DUMMYFUNCTION("""COMPUTED_VALUE"""),"5028,15")</f>
        <v>5028,15</v>
      </c>
      <c r="B52" s="37" t="str">
        <f ca="1">IFERROR(__xludf.DUMMYFUNCTION("""COMPUTED_VALUE"""),"Shrubby spherulitestone with mud")</f>
        <v>Shrubby spherulitestone with mud</v>
      </c>
      <c r="C52" s="37">
        <f ca="1">IFERROR(__xludf.DUMMYFUNCTION("""COMPUTED_VALUE"""),7)</f>
        <v>7</v>
      </c>
      <c r="D52" s="37">
        <f ca="1">IFERROR(__xludf.DUMMYFUNCTION("""COMPUTED_VALUE"""),56)</f>
        <v>56</v>
      </c>
      <c r="E52" s="37">
        <f ca="1">IFERROR(__xludf.DUMMYFUNCTION("""COMPUTED_VALUE"""),20)</f>
        <v>20</v>
      </c>
      <c r="F52" s="37">
        <f ca="1">IFERROR(__xludf.DUMMYFUNCTION("""COMPUTED_VALUE"""),9)</f>
        <v>9</v>
      </c>
      <c r="G52" s="37">
        <f ca="1">IFERROR(__xludf.DUMMYFUNCTION("""COMPUTED_VALUE"""),0)</f>
        <v>0</v>
      </c>
      <c r="H52" s="37">
        <f ca="1">IFERROR(__xludf.DUMMYFUNCTION("""COMPUTED_VALUE"""),3)</f>
        <v>3</v>
      </c>
      <c r="I52" s="37">
        <f ca="1">IFERROR(__xludf.DUMMYFUNCTION("""COMPUTED_VALUE"""),1)</f>
        <v>1</v>
      </c>
      <c r="J52" s="37">
        <f ca="1">IFERROR(__xludf.DUMMYFUNCTION("""COMPUTED_VALUE"""),10)</f>
        <v>10</v>
      </c>
      <c r="K52" s="37">
        <f ca="1">IFERROR(__xludf.DUMMYFUNCTION("""COMPUTED_VALUE"""),5)</f>
        <v>5</v>
      </c>
      <c r="L52" s="37">
        <f ca="1">IFERROR(__xludf.DUMMYFUNCTION("""COMPUTED_VALUE"""),0)</f>
        <v>0</v>
      </c>
      <c r="M52" s="37">
        <f ca="1">IFERROR(__xludf.DUMMYFUNCTION("""COMPUTED_VALUE"""),1)</f>
        <v>1</v>
      </c>
      <c r="N52" s="39">
        <f ca="1">IFERROR(__xludf.DUMMYFUNCTION("""COMPUTED_VALUE"""),16)</f>
        <v>16</v>
      </c>
      <c r="O52" s="40">
        <f ca="1">IFERROR(__xludf.DUMMYFUNCTION("""COMPUTED_VALUE"""),85.6)</f>
        <v>85.6</v>
      </c>
      <c r="P52" s="37">
        <f ca="1">IFERROR(__xludf.DUMMYFUNCTION("""COMPUTED_VALUE"""),1)</f>
        <v>1</v>
      </c>
      <c r="Q52" s="37">
        <f ca="1">IFERROR(__xludf.DUMMYFUNCTION("""COMPUTED_VALUE"""),2)</f>
        <v>2</v>
      </c>
      <c r="R52" s="37" t="str">
        <f ca="1">IFERROR(__xludf.DUMMYFUNCTION("""COMPUTED_VALUE"""),"Average laboratory porosity:  18,43%")</f>
        <v>Average laboratory porosity:  18,43%</v>
      </c>
      <c r="S52" s="37"/>
      <c r="T52" s="37"/>
      <c r="U52" s="37"/>
      <c r="V52" s="37"/>
      <c r="W52" s="37" t="str">
        <f ca="1">IFERROR(__xludf.DUMMYFUNCTION("""COMPUTED_VALUE"""),"Interparticle porosity: 3")</f>
        <v>Interparticle porosity: 3</v>
      </c>
      <c r="X52" s="37"/>
      <c r="Y52" s="37"/>
      <c r="Z52" s="37"/>
      <c r="AA52" s="37"/>
      <c r="AB52" s="37"/>
      <c r="AC52" s="37"/>
      <c r="AF52" s="37"/>
      <c r="AG52" s="37"/>
      <c r="AH52" s="37"/>
      <c r="AI52" s="37"/>
      <c r="AJ52" s="37"/>
    </row>
    <row r="53" spans="1:36" x14ac:dyDescent="0.35">
      <c r="A53" s="37" t="str">
        <f ca="1">IFERROR(__xludf.DUMMYFUNCTION("""COMPUTED_VALUE"""),"5028,75")</f>
        <v>5028,75</v>
      </c>
      <c r="B53" s="37" t="str">
        <f ca="1">IFERROR(__xludf.DUMMYFUNCTION("""COMPUTED_VALUE"""),"Intraclastic grainstone")</f>
        <v>Intraclastic grainstone</v>
      </c>
      <c r="C53" s="37">
        <f ca="1">IFERROR(__xludf.DUMMYFUNCTION("""COMPUTED_VALUE"""),9)</f>
        <v>9</v>
      </c>
      <c r="D53" s="37">
        <f ca="1">IFERROR(__xludf.DUMMYFUNCTION("""COMPUTED_VALUE"""),67)</f>
        <v>67</v>
      </c>
      <c r="E53" s="37">
        <f ca="1">IFERROR(__xludf.DUMMYFUNCTION("""COMPUTED_VALUE"""),17)</f>
        <v>17</v>
      </c>
      <c r="F53" s="37">
        <f ca="1">IFERROR(__xludf.DUMMYFUNCTION("""COMPUTED_VALUE"""),0)</f>
        <v>0</v>
      </c>
      <c r="G53" s="37">
        <f ca="1">IFERROR(__xludf.DUMMYFUNCTION("""COMPUTED_VALUE"""),0)</f>
        <v>0</v>
      </c>
      <c r="H53" s="37">
        <f ca="1">IFERROR(__xludf.DUMMYFUNCTION("""COMPUTED_VALUE"""),4)</f>
        <v>4</v>
      </c>
      <c r="I53" s="37">
        <f ca="1">IFERROR(__xludf.DUMMYFUNCTION("""COMPUTED_VALUE"""),0)</f>
        <v>0</v>
      </c>
      <c r="J53" s="37">
        <f ca="1">IFERROR(__xludf.DUMMYFUNCTION("""COMPUTED_VALUE"""),3)</f>
        <v>3</v>
      </c>
      <c r="K53" s="37">
        <f ca="1">IFERROR(__xludf.DUMMYFUNCTION("""COMPUTED_VALUE"""),13)</f>
        <v>13</v>
      </c>
      <c r="L53" s="37">
        <f ca="1">IFERROR(__xludf.DUMMYFUNCTION("""COMPUTED_VALUE"""),0)</f>
        <v>0</v>
      </c>
      <c r="M53" s="37">
        <f ca="1">IFERROR(__xludf.DUMMYFUNCTION("""COMPUTED_VALUE"""),0)</f>
        <v>0</v>
      </c>
      <c r="N53" s="39">
        <f ca="1">IFERROR(__xludf.DUMMYFUNCTION("""COMPUTED_VALUE"""),9.1)</f>
        <v>9.1</v>
      </c>
      <c r="O53" s="40">
        <f ca="1">IFERROR(__xludf.DUMMYFUNCTION("""COMPUTED_VALUE"""),4.6)</f>
        <v>4.5999999999999996</v>
      </c>
      <c r="P53" s="37">
        <f ca="1">IFERROR(__xludf.DUMMYFUNCTION("""COMPUTED_VALUE"""),2)</f>
        <v>2</v>
      </c>
      <c r="Q53" s="37">
        <f ca="1">IFERROR(__xludf.DUMMYFUNCTION("""COMPUTED_VALUE"""),1)</f>
        <v>1</v>
      </c>
      <c r="R53" s="37" t="str">
        <f ca="1">IFERROR(__xludf.DUMMYFUNCTION("""COMPUTED_VALUE"""),"Laboratory permeability: &gt; 1000 mD")</f>
        <v>Laboratory permeability: &gt; 1000 mD</v>
      </c>
      <c r="S53" s="37"/>
      <c r="T53" s="37"/>
      <c r="U53" s="37"/>
      <c r="V53" s="37"/>
      <c r="W53" s="37" t="str">
        <f ca="1">IFERROR(__xludf.DUMMYFUNCTION("""COMPUTED_VALUE"""),"Intraparticle porositya: 1")</f>
        <v>Intraparticle porositya: 1</v>
      </c>
      <c r="X53" s="37"/>
      <c r="Y53" s="37"/>
      <c r="Z53" s="37"/>
      <c r="AA53" s="37"/>
      <c r="AB53" s="37"/>
      <c r="AC53" s="37"/>
      <c r="AF53" s="37"/>
      <c r="AG53" s="37"/>
      <c r="AH53" s="37"/>
      <c r="AI53" s="37"/>
      <c r="AJ53" s="37"/>
    </row>
    <row r="54" spans="1:36" x14ac:dyDescent="0.35">
      <c r="A54" s="37" t="str">
        <f ca="1">IFERROR(__xludf.DUMMYFUNCTION("""COMPUTED_VALUE"""),"5029,25")</f>
        <v>5029,25</v>
      </c>
      <c r="B54" s="37" t="str">
        <f ca="1">IFERROR(__xludf.DUMMYFUNCTION("""COMPUTED_VALUE"""),"Shrubby spherulitestone")</f>
        <v>Shrubby spherulitestone</v>
      </c>
      <c r="C54" s="37">
        <f ca="1">IFERROR(__xludf.DUMMYFUNCTION("""COMPUTED_VALUE"""),4)</f>
        <v>4</v>
      </c>
      <c r="D54" s="37">
        <f ca="1">IFERROR(__xludf.DUMMYFUNCTION("""COMPUTED_VALUE"""),45)</f>
        <v>45</v>
      </c>
      <c r="E54" s="37">
        <f ca="1">IFERROR(__xludf.DUMMYFUNCTION("""COMPUTED_VALUE"""),38)</f>
        <v>38</v>
      </c>
      <c r="F54" s="37">
        <f ca="1">IFERROR(__xludf.DUMMYFUNCTION("""COMPUTED_VALUE"""),4)</f>
        <v>4</v>
      </c>
      <c r="G54" s="37">
        <f ca="1">IFERROR(__xludf.DUMMYFUNCTION("""COMPUTED_VALUE"""),7)</f>
        <v>7</v>
      </c>
      <c r="H54" s="37">
        <f ca="1">IFERROR(__xludf.DUMMYFUNCTION("""COMPUTED_VALUE"""),4)</f>
        <v>4</v>
      </c>
      <c r="I54" s="37">
        <f ca="1">IFERROR(__xludf.DUMMYFUNCTION("""COMPUTED_VALUE"""),0)</f>
        <v>0</v>
      </c>
      <c r="J54" s="37">
        <f ca="1">IFERROR(__xludf.DUMMYFUNCTION("""COMPUTED_VALUE"""),4)</f>
        <v>4</v>
      </c>
      <c r="K54" s="37">
        <f ca="1">IFERROR(__xludf.DUMMYFUNCTION("""COMPUTED_VALUE"""),2)</f>
        <v>2</v>
      </c>
      <c r="L54" s="37">
        <f ca="1">IFERROR(__xludf.DUMMYFUNCTION("""COMPUTED_VALUE"""),0)</f>
        <v>0</v>
      </c>
      <c r="M54" s="37">
        <f ca="1">IFERROR(__xludf.DUMMYFUNCTION("""COMPUTED_VALUE"""),1)</f>
        <v>1</v>
      </c>
      <c r="N54" s="39">
        <f ca="1">IFERROR(__xludf.DUMMYFUNCTION("""COMPUTED_VALUE"""),5.5)</f>
        <v>5.5</v>
      </c>
      <c r="O54" s="40">
        <f ca="1">IFERROR(__xludf.DUMMYFUNCTION("""COMPUTED_VALUE"""),4.46)</f>
        <v>4.46</v>
      </c>
      <c r="P54" s="37">
        <f ca="1">IFERROR(__xludf.DUMMYFUNCTION("""COMPUTED_VALUE"""),1)</f>
        <v>1</v>
      </c>
      <c r="Q54" s="37">
        <f ca="1">IFERROR(__xludf.DUMMYFUNCTION("""COMPUTED_VALUE"""),1)</f>
        <v>1</v>
      </c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F54" s="37"/>
      <c r="AG54" s="37"/>
      <c r="AH54" s="37"/>
      <c r="AI54" s="37"/>
      <c r="AJ54" s="37"/>
    </row>
    <row r="55" spans="1:36" x14ac:dyDescent="0.35">
      <c r="A55" s="37" t="str">
        <f ca="1">IFERROR(__xludf.DUMMYFUNCTION("""COMPUTED_VALUE"""),"5030,15")</f>
        <v>5030,15</v>
      </c>
      <c r="B55" s="37" t="str">
        <f ca="1">IFERROR(__xludf.DUMMYFUNCTION("""COMPUTED_VALUE"""),"Spherulitestone")</f>
        <v>Spherulitestone</v>
      </c>
      <c r="C55" s="37">
        <f ca="1">IFERROR(__xludf.DUMMYFUNCTION("""COMPUTED_VALUE"""),2)</f>
        <v>2</v>
      </c>
      <c r="D55" s="37">
        <f ca="1">IFERROR(__xludf.DUMMYFUNCTION("""COMPUTED_VALUE"""),75)</f>
        <v>75</v>
      </c>
      <c r="E55" s="37">
        <f ca="1">IFERROR(__xludf.DUMMYFUNCTION("""COMPUTED_VALUE"""),22)</f>
        <v>22</v>
      </c>
      <c r="F55" s="37">
        <f ca="1">IFERROR(__xludf.DUMMYFUNCTION("""COMPUTED_VALUE"""),0)</f>
        <v>0</v>
      </c>
      <c r="G55" s="37">
        <f ca="1">IFERROR(__xludf.DUMMYFUNCTION("""COMPUTED_VALUE"""),0)</f>
        <v>0</v>
      </c>
      <c r="H55" s="37">
        <f ca="1">IFERROR(__xludf.DUMMYFUNCTION("""COMPUTED_VALUE"""),4)</f>
        <v>4</v>
      </c>
      <c r="I55" s="37">
        <f ca="1">IFERROR(__xludf.DUMMYFUNCTION("""COMPUTED_VALUE"""),0)</f>
        <v>0</v>
      </c>
      <c r="J55" s="37">
        <f ca="1">IFERROR(__xludf.DUMMYFUNCTION("""COMPUTED_VALUE"""),3)</f>
        <v>3</v>
      </c>
      <c r="K55" s="37">
        <f ca="1">IFERROR(__xludf.DUMMYFUNCTION("""COMPUTED_VALUE"""),0)</f>
        <v>0</v>
      </c>
      <c r="L55" s="37">
        <f ca="1">IFERROR(__xludf.DUMMYFUNCTION("""COMPUTED_VALUE"""),0)</f>
        <v>0</v>
      </c>
      <c r="M55" s="37">
        <f ca="1">IFERROR(__xludf.DUMMYFUNCTION("""COMPUTED_VALUE"""),1)</f>
        <v>1</v>
      </c>
      <c r="N55" s="39">
        <f ca="1">IFERROR(__xludf.DUMMYFUNCTION("""COMPUTED_VALUE"""),5.8)</f>
        <v>5.8</v>
      </c>
      <c r="O55" s="40">
        <f ca="1">IFERROR(__xludf.DUMMYFUNCTION("""COMPUTED_VALUE"""),28.6)</f>
        <v>28.6</v>
      </c>
      <c r="P55" s="37">
        <f ca="1">IFERROR(__xludf.DUMMYFUNCTION("""COMPUTED_VALUE"""),1)</f>
        <v>1</v>
      </c>
      <c r="Q55" s="37">
        <f ca="1">IFERROR(__xludf.DUMMYFUNCTION("""COMPUTED_VALUE"""),1)</f>
        <v>1</v>
      </c>
      <c r="R55" s="37"/>
      <c r="S55" s="37" t="str">
        <f ca="1">IFERROR(__xludf.DUMMYFUNCTION("""COMPUTED_VALUE"""),"0 - 50 mD")</f>
        <v>0 - 50 mD</v>
      </c>
      <c r="T55" s="37"/>
      <c r="U55" s="37"/>
      <c r="V55" s="37"/>
      <c r="W55" s="37"/>
      <c r="X55" s="37"/>
      <c r="Y55" s="37"/>
      <c r="Z55" s="37"/>
      <c r="AA55" s="37"/>
      <c r="AB55" s="37"/>
      <c r="AC55" s="37"/>
      <c r="AF55" s="37"/>
      <c r="AG55" s="37"/>
      <c r="AH55" s="37"/>
      <c r="AI55" s="37"/>
      <c r="AJ55" s="37"/>
    </row>
    <row r="56" spans="1:36" x14ac:dyDescent="0.35">
      <c r="A56" s="37" t="str">
        <f ca="1">IFERROR(__xludf.DUMMYFUNCTION("""COMPUTED_VALUE"""),"5031,80")</f>
        <v>5031,80</v>
      </c>
      <c r="B56" s="37" t="str">
        <f ca="1">IFERROR(__xludf.DUMMYFUNCTION("""COMPUTED_VALUE"""),"Shrubstone")</f>
        <v>Shrubstone</v>
      </c>
      <c r="C56" s="37">
        <f ca="1">IFERROR(__xludf.DUMMYFUNCTION("""COMPUTED_VALUE"""),1)</f>
        <v>1</v>
      </c>
      <c r="D56" s="37">
        <f ca="1">IFERROR(__xludf.DUMMYFUNCTION("""COMPUTED_VALUE"""),86)</f>
        <v>86</v>
      </c>
      <c r="E56" s="37">
        <f ca="1">IFERROR(__xludf.DUMMYFUNCTION("""COMPUTED_VALUE"""),5)</f>
        <v>5</v>
      </c>
      <c r="F56" s="37">
        <f ca="1">IFERROR(__xludf.DUMMYFUNCTION("""COMPUTED_VALUE"""),0)</f>
        <v>0</v>
      </c>
      <c r="G56" s="37">
        <f ca="1">IFERROR(__xludf.DUMMYFUNCTION("""COMPUTED_VALUE"""),0)</f>
        <v>0</v>
      </c>
      <c r="H56" s="37">
        <f ca="1">IFERROR(__xludf.DUMMYFUNCTION("""COMPUTED_VALUE"""),0)</f>
        <v>0</v>
      </c>
      <c r="I56" s="37">
        <f ca="1">IFERROR(__xludf.DUMMYFUNCTION("""COMPUTED_VALUE"""),1)</f>
        <v>1</v>
      </c>
      <c r="J56" s="37">
        <f ca="1">IFERROR(__xludf.DUMMYFUNCTION("""COMPUTED_VALUE"""),7)</f>
        <v>7</v>
      </c>
      <c r="K56" s="37">
        <f ca="1">IFERROR(__xludf.DUMMYFUNCTION("""COMPUTED_VALUE"""),2)</f>
        <v>2</v>
      </c>
      <c r="L56" s="37">
        <f ca="1">IFERROR(__xludf.DUMMYFUNCTION("""COMPUTED_VALUE"""),0)</f>
        <v>0</v>
      </c>
      <c r="M56" s="37">
        <f ca="1">IFERROR(__xludf.DUMMYFUNCTION("""COMPUTED_VALUE"""),0)</f>
        <v>0</v>
      </c>
      <c r="N56" s="39">
        <f ca="1">IFERROR(__xludf.DUMMYFUNCTION("""COMPUTED_VALUE"""),13.3)</f>
        <v>13.3</v>
      </c>
      <c r="O56" s="40">
        <f ca="1">IFERROR(__xludf.DUMMYFUNCTION("""COMPUTED_VALUE"""),580)</f>
        <v>580</v>
      </c>
      <c r="P56" s="37">
        <f ca="1">IFERROR(__xludf.DUMMYFUNCTION("""COMPUTED_VALUE"""),1)</f>
        <v>1</v>
      </c>
      <c r="Q56" s="37">
        <f ca="1">IFERROR(__xludf.DUMMYFUNCTION("""COMPUTED_VALUE"""),4)</f>
        <v>4</v>
      </c>
      <c r="R56" s="37"/>
      <c r="S56" s="37" t="str">
        <f ca="1">IFERROR(__xludf.DUMMYFUNCTION("""COMPUTED_VALUE"""),"51 - 100 mD")</f>
        <v>51 - 100 mD</v>
      </c>
      <c r="T56" s="37"/>
      <c r="U56" s="37"/>
      <c r="V56" s="37"/>
      <c r="W56" s="37"/>
      <c r="X56" s="37"/>
      <c r="Y56" s="37"/>
      <c r="Z56" s="37"/>
      <c r="AA56" s="37"/>
      <c r="AB56" s="37"/>
      <c r="AC56" s="37"/>
      <c r="AF56" s="37"/>
      <c r="AG56" s="37"/>
      <c r="AH56" s="37"/>
      <c r="AI56" s="37"/>
      <c r="AJ56" s="37"/>
    </row>
    <row r="57" spans="1:36" x14ac:dyDescent="0.35">
      <c r="A57" s="37" t="str">
        <f ca="1">IFERROR(__xludf.DUMMYFUNCTION("""COMPUTED_VALUE"""),"5032,90")</f>
        <v>5032,90</v>
      </c>
      <c r="B57" s="37" t="str">
        <f ca="1">IFERROR(__xludf.DUMMYFUNCTION("""COMPUTED_VALUE"""),"Intraclastic grainstone")</f>
        <v>Intraclastic grainstone</v>
      </c>
      <c r="C57" s="37">
        <f ca="1">IFERROR(__xludf.DUMMYFUNCTION("""COMPUTED_VALUE"""),9)</f>
        <v>9</v>
      </c>
      <c r="D57" s="37">
        <f ca="1">IFERROR(__xludf.DUMMYFUNCTION("""COMPUTED_VALUE"""),75)</f>
        <v>75</v>
      </c>
      <c r="E57" s="37">
        <f ca="1">IFERROR(__xludf.DUMMYFUNCTION("""COMPUTED_VALUE"""),4)</f>
        <v>4</v>
      </c>
      <c r="F57" s="37">
        <f ca="1">IFERROR(__xludf.DUMMYFUNCTION("""COMPUTED_VALUE"""),0)</f>
        <v>0</v>
      </c>
      <c r="G57" s="37">
        <f ca="1">IFERROR(__xludf.DUMMYFUNCTION("""COMPUTED_VALUE"""),1)</f>
        <v>1</v>
      </c>
      <c r="H57" s="37">
        <f ca="1">IFERROR(__xludf.DUMMYFUNCTION("""COMPUTED_VALUE"""),4)</f>
        <v>4</v>
      </c>
      <c r="I57" s="37">
        <f ca="1">IFERROR(__xludf.DUMMYFUNCTION("""COMPUTED_VALUE"""),0)</f>
        <v>0</v>
      </c>
      <c r="J57" s="37">
        <f ca="1">IFERROR(__xludf.DUMMYFUNCTION("""COMPUTED_VALUE"""),6)</f>
        <v>6</v>
      </c>
      <c r="K57" s="37">
        <f ca="1">IFERROR(__xludf.DUMMYFUNCTION("""COMPUTED_VALUE"""),14)</f>
        <v>14</v>
      </c>
      <c r="L57" s="37">
        <f ca="1">IFERROR(__xludf.DUMMYFUNCTION("""COMPUTED_VALUE"""),0)</f>
        <v>0</v>
      </c>
      <c r="M57" s="37">
        <f ca="1">IFERROR(__xludf.DUMMYFUNCTION("""COMPUTED_VALUE"""),1)</f>
        <v>1</v>
      </c>
      <c r="N57" s="39">
        <f ca="1">IFERROR(__xludf.DUMMYFUNCTION("""COMPUTED_VALUE"""),16.4)</f>
        <v>16.399999999999999</v>
      </c>
      <c r="O57" s="40">
        <f ca="1">IFERROR(__xludf.DUMMYFUNCTION("""COMPUTED_VALUE"""),600)</f>
        <v>600</v>
      </c>
      <c r="P57" s="37">
        <f ca="1">IFERROR(__xludf.DUMMYFUNCTION("""COMPUTED_VALUE"""),2)</f>
        <v>2</v>
      </c>
      <c r="Q57" s="37">
        <f ca="1">IFERROR(__xludf.DUMMYFUNCTION("""COMPUTED_VALUE"""),4)</f>
        <v>4</v>
      </c>
      <c r="R57" s="37"/>
      <c r="S57" s="37" t="str">
        <f ca="1">IFERROR(__xludf.DUMMYFUNCTION("""COMPUTED_VALUE"""),"101 - 500 mD")</f>
        <v>101 - 500 mD</v>
      </c>
      <c r="T57" s="37"/>
      <c r="U57" s="37"/>
      <c r="V57" s="37"/>
      <c r="W57" s="37"/>
      <c r="X57" s="37"/>
      <c r="Y57" s="37"/>
      <c r="Z57" s="37"/>
      <c r="AA57" s="37"/>
      <c r="AB57" s="37"/>
      <c r="AC57" s="37"/>
      <c r="AF57" s="37"/>
      <c r="AG57" s="37"/>
      <c r="AH57" s="37"/>
      <c r="AI57" s="37"/>
      <c r="AJ57" s="37"/>
    </row>
    <row r="58" spans="1:36" x14ac:dyDescent="0.35">
      <c r="A58" s="37" t="str">
        <f ca="1">IFERROR(__xludf.DUMMYFUNCTION("""COMPUTED_VALUE"""),"5035,25")</f>
        <v>5035,25</v>
      </c>
      <c r="B58" s="37" t="str">
        <f ca="1">IFERROR(__xludf.DUMMYFUNCTION("""COMPUTED_VALUE"""),"Mudstone")</f>
        <v>Mudstone</v>
      </c>
      <c r="C58" s="37">
        <f ca="1">IFERROR(__xludf.DUMMYFUNCTION("""COMPUTED_VALUE"""),3)</f>
        <v>3</v>
      </c>
      <c r="D58" s="37">
        <f ca="1">IFERROR(__xludf.DUMMYFUNCTION("""COMPUTED_VALUE"""),6)</f>
        <v>6</v>
      </c>
      <c r="E58" s="37">
        <f ca="1">IFERROR(__xludf.DUMMYFUNCTION("""COMPUTED_VALUE"""),15)</f>
        <v>15</v>
      </c>
      <c r="F58" s="37">
        <f ca="1">IFERROR(__xludf.DUMMYFUNCTION("""COMPUTED_VALUE"""),75)</f>
        <v>75</v>
      </c>
      <c r="G58" s="37">
        <f ca="1">IFERROR(__xludf.DUMMYFUNCTION("""COMPUTED_VALUE"""),4)</f>
        <v>4</v>
      </c>
      <c r="H58" s="37">
        <f ca="1">IFERROR(__xludf.DUMMYFUNCTION("""COMPUTED_VALUE"""),4)</f>
        <v>4</v>
      </c>
      <c r="I58" s="37">
        <f ca="1">IFERROR(__xludf.DUMMYFUNCTION("""COMPUTED_VALUE"""),0)</f>
        <v>0</v>
      </c>
      <c r="J58" s="37">
        <f ca="1">IFERROR(__xludf.DUMMYFUNCTION("""COMPUTED_VALUE"""),0)</f>
        <v>0</v>
      </c>
      <c r="K58" s="37">
        <f ca="1">IFERROR(__xludf.DUMMYFUNCTION("""COMPUTED_VALUE"""),0)</f>
        <v>0</v>
      </c>
      <c r="L58" s="37">
        <f ca="1">IFERROR(__xludf.DUMMYFUNCTION("""COMPUTED_VALUE"""),0)</f>
        <v>0</v>
      </c>
      <c r="M58" s="37">
        <f ca="1">IFERROR(__xludf.DUMMYFUNCTION("""COMPUTED_VALUE"""),0)</f>
        <v>0</v>
      </c>
      <c r="N58" s="39">
        <f ca="1">IFERROR(__xludf.DUMMYFUNCTION("""COMPUTED_VALUE"""),3.4)</f>
        <v>3.4</v>
      </c>
      <c r="O58" s="40">
        <f ca="1">IFERROR(__xludf.DUMMYFUNCTION("""COMPUTED_VALUE"""),0.002)</f>
        <v>2E-3</v>
      </c>
      <c r="P58" s="37">
        <f ca="1">IFERROR(__xludf.DUMMYFUNCTION("""COMPUTED_VALUE"""),1)</f>
        <v>1</v>
      </c>
      <c r="Q58" s="37">
        <f ca="1">IFERROR(__xludf.DUMMYFUNCTION("""COMPUTED_VALUE"""),1)</f>
        <v>1</v>
      </c>
      <c r="R58" s="37"/>
      <c r="S58" s="37" t="str">
        <f ca="1">IFERROR(__xludf.DUMMYFUNCTION("""COMPUTED_VALUE"""),"501- 1000 mD")</f>
        <v>501- 1000 mD</v>
      </c>
      <c r="T58" s="37"/>
      <c r="U58" s="37"/>
      <c r="V58" s="37"/>
      <c r="W58" s="37"/>
      <c r="X58" s="37"/>
      <c r="Y58" s="37"/>
      <c r="Z58" s="37"/>
      <c r="AA58" s="37"/>
      <c r="AB58" s="37"/>
      <c r="AC58" s="37"/>
      <c r="AF58" s="37"/>
      <c r="AG58" s="37"/>
      <c r="AH58" s="37"/>
      <c r="AI58" s="37"/>
      <c r="AJ58" s="37"/>
    </row>
    <row r="59" spans="1:36" x14ac:dyDescent="0.35">
      <c r="A59" s="37" t="str">
        <f ca="1">IFERROR(__xludf.DUMMYFUNCTION("""COMPUTED_VALUE"""),"5035,65")</f>
        <v>5035,65</v>
      </c>
      <c r="B59" s="37" t="str">
        <f ca="1">IFERROR(__xludf.DUMMYFUNCTION("""COMPUTED_VALUE"""),"Intraclastic packstone")</f>
        <v>Intraclastic packstone</v>
      </c>
      <c r="C59" s="37">
        <f ca="1">IFERROR(__xludf.DUMMYFUNCTION("""COMPUTED_VALUE"""),9)</f>
        <v>9</v>
      </c>
      <c r="D59" s="37">
        <f ca="1">IFERROR(__xludf.DUMMYFUNCTION("""COMPUTED_VALUE"""),60)</f>
        <v>60</v>
      </c>
      <c r="E59" s="37">
        <f ca="1">IFERROR(__xludf.DUMMYFUNCTION("""COMPUTED_VALUE"""),35)</f>
        <v>35</v>
      </c>
      <c r="F59" s="37">
        <f ca="1">IFERROR(__xludf.DUMMYFUNCTION("""COMPUTED_VALUE"""),0)</f>
        <v>0</v>
      </c>
      <c r="G59" s="37">
        <f ca="1">IFERROR(__xludf.DUMMYFUNCTION("""COMPUTED_VALUE"""),5)</f>
        <v>5</v>
      </c>
      <c r="H59" s="37">
        <f ca="1">IFERROR(__xludf.DUMMYFUNCTION("""COMPUTED_VALUE"""),4)</f>
        <v>4</v>
      </c>
      <c r="I59" s="37">
        <f ca="1">IFERROR(__xludf.DUMMYFUNCTION("""COMPUTED_VALUE"""),0)</f>
        <v>0</v>
      </c>
      <c r="J59" s="37">
        <f ca="1">IFERROR(__xludf.DUMMYFUNCTION("""COMPUTED_VALUE"""),0)</f>
        <v>0</v>
      </c>
      <c r="K59" s="37">
        <f ca="1">IFERROR(__xludf.DUMMYFUNCTION("""COMPUTED_VALUE"""),0)</f>
        <v>0</v>
      </c>
      <c r="L59" s="37">
        <f ca="1">IFERROR(__xludf.DUMMYFUNCTION("""COMPUTED_VALUE"""),0)</f>
        <v>0</v>
      </c>
      <c r="M59" s="37">
        <f ca="1">IFERROR(__xludf.DUMMYFUNCTION("""COMPUTED_VALUE"""),0)</f>
        <v>0</v>
      </c>
      <c r="N59" s="39">
        <f ca="1">IFERROR(__xludf.DUMMYFUNCTION("""COMPUTED_VALUE"""),1)</f>
        <v>1</v>
      </c>
      <c r="O59" s="40">
        <f ca="1">IFERROR(__xludf.DUMMYFUNCTION("""COMPUTED_VALUE"""),0)</f>
        <v>0</v>
      </c>
      <c r="P59" s="37">
        <f ca="1">IFERROR(__xludf.DUMMYFUNCTION("""COMPUTED_VALUE"""),2)</f>
        <v>2</v>
      </c>
      <c r="Q59" s="37">
        <f ca="1">IFERROR(__xludf.DUMMYFUNCTION("""COMPUTED_VALUE"""),1)</f>
        <v>1</v>
      </c>
      <c r="R59" s="37"/>
      <c r="S59" s="37" t="str">
        <f ca="1">IFERROR(__xludf.DUMMYFUNCTION("""COMPUTED_VALUE"""),"&gt; 1000 mD")</f>
        <v>&gt; 1000 mD</v>
      </c>
      <c r="T59" s="37"/>
      <c r="U59" s="37"/>
      <c r="V59" s="37"/>
      <c r="W59" s="37"/>
      <c r="X59" s="37"/>
      <c r="Y59" s="37"/>
      <c r="Z59" s="37"/>
      <c r="AA59" s="37"/>
      <c r="AB59" s="37"/>
      <c r="AC59" s="37"/>
      <c r="AF59" s="37"/>
      <c r="AG59" s="37"/>
      <c r="AH59" s="37"/>
      <c r="AI59" s="37"/>
      <c r="AJ59" s="37"/>
    </row>
    <row r="60" spans="1:36" x14ac:dyDescent="0.35">
      <c r="A60" s="37" t="str">
        <f ca="1">IFERROR(__xludf.DUMMYFUNCTION("""COMPUTED_VALUE"""),"5036,20")</f>
        <v>5036,20</v>
      </c>
      <c r="B60" s="37" t="str">
        <f ca="1">IFERROR(__xludf.DUMMYFUNCTION("""COMPUTED_VALUE"""),"Mudstone")</f>
        <v>Mudstone</v>
      </c>
      <c r="C60" s="37">
        <f ca="1">IFERROR(__xludf.DUMMYFUNCTION("""COMPUTED_VALUE"""),3)</f>
        <v>3</v>
      </c>
      <c r="D60" s="37">
        <f ca="1">IFERROR(__xludf.DUMMYFUNCTION("""COMPUTED_VALUE"""),0)</f>
        <v>0</v>
      </c>
      <c r="E60" s="37">
        <f ca="1">IFERROR(__xludf.DUMMYFUNCTION("""COMPUTED_VALUE"""),0)</f>
        <v>0</v>
      </c>
      <c r="F60" s="37">
        <f ca="1">IFERROR(__xludf.DUMMYFUNCTION("""COMPUTED_VALUE"""),90)</f>
        <v>90</v>
      </c>
      <c r="G60" s="37">
        <f ca="1">IFERROR(__xludf.DUMMYFUNCTION("""COMPUTED_VALUE"""),10)</f>
        <v>10</v>
      </c>
      <c r="H60" s="37">
        <f ca="1">IFERROR(__xludf.DUMMYFUNCTION("""COMPUTED_VALUE"""),4)</f>
        <v>4</v>
      </c>
      <c r="I60" s="37">
        <f ca="1">IFERROR(__xludf.DUMMYFUNCTION("""COMPUTED_VALUE"""),0)</f>
        <v>0</v>
      </c>
      <c r="J60" s="37">
        <f ca="1">IFERROR(__xludf.DUMMYFUNCTION("""COMPUTED_VALUE"""),0)</f>
        <v>0</v>
      </c>
      <c r="K60" s="37">
        <f ca="1">IFERROR(__xludf.DUMMYFUNCTION("""COMPUTED_VALUE"""),0)</f>
        <v>0</v>
      </c>
      <c r="L60" s="37">
        <f ca="1">IFERROR(__xludf.DUMMYFUNCTION("""COMPUTED_VALUE"""),0)</f>
        <v>0</v>
      </c>
      <c r="M60" s="37">
        <f ca="1">IFERROR(__xludf.DUMMYFUNCTION("""COMPUTED_VALUE"""),0)</f>
        <v>0</v>
      </c>
      <c r="N60" s="39">
        <f ca="1">IFERROR(__xludf.DUMMYFUNCTION("""COMPUTED_VALUE"""),3.4)</f>
        <v>3.4</v>
      </c>
      <c r="O60" s="40">
        <f ca="1">IFERROR(__xludf.DUMMYFUNCTION("""COMPUTED_VALUE"""),0.053)</f>
        <v>5.2999999999999999E-2</v>
      </c>
      <c r="P60" s="37">
        <f ca="1">IFERROR(__xludf.DUMMYFUNCTION("""COMPUTED_VALUE"""),1)</f>
        <v>1</v>
      </c>
      <c r="Q60" s="37">
        <f ca="1">IFERROR(__xludf.DUMMYFUNCTION("""COMPUTED_VALUE"""),1)</f>
        <v>1</v>
      </c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F60" s="37"/>
      <c r="AG60" s="37"/>
      <c r="AH60" s="37"/>
      <c r="AI60" s="37"/>
      <c r="AJ60" s="37"/>
    </row>
    <row r="61" spans="1:36" x14ac:dyDescent="0.35">
      <c r="A61" s="37" t="str">
        <f ca="1">IFERROR(__xludf.DUMMYFUNCTION("""COMPUTED_VALUE"""),"5037,40")</f>
        <v>5037,40</v>
      </c>
      <c r="B61" s="37" t="str">
        <f ca="1">IFERROR(__xludf.DUMMYFUNCTION("""COMPUTED_VALUE"""),"Mudstone")</f>
        <v>Mudstone</v>
      </c>
      <c r="C61" s="37">
        <f ca="1">IFERROR(__xludf.DUMMYFUNCTION("""COMPUTED_VALUE"""),3)</f>
        <v>3</v>
      </c>
      <c r="D61" s="37">
        <f ca="1">IFERROR(__xludf.DUMMYFUNCTION("""COMPUTED_VALUE"""),0)</f>
        <v>0</v>
      </c>
      <c r="E61" s="37">
        <f ca="1">IFERROR(__xludf.DUMMYFUNCTION("""COMPUTED_VALUE"""),13)</f>
        <v>13</v>
      </c>
      <c r="F61" s="37">
        <f ca="1">IFERROR(__xludf.DUMMYFUNCTION("""COMPUTED_VALUE"""),40)</f>
        <v>40</v>
      </c>
      <c r="G61" s="37">
        <f ca="1">IFERROR(__xludf.DUMMYFUNCTION("""COMPUTED_VALUE"""),47)</f>
        <v>47</v>
      </c>
      <c r="H61" s="37">
        <f ca="1">IFERROR(__xludf.DUMMYFUNCTION("""COMPUTED_VALUE"""),5)</f>
        <v>5</v>
      </c>
      <c r="I61" s="37">
        <f ca="1">IFERROR(__xludf.DUMMYFUNCTION("""COMPUTED_VALUE"""),0)</f>
        <v>0</v>
      </c>
      <c r="J61" s="37">
        <f ca="1">IFERROR(__xludf.DUMMYFUNCTION("""COMPUTED_VALUE"""),0)</f>
        <v>0</v>
      </c>
      <c r="K61" s="37">
        <f ca="1">IFERROR(__xludf.DUMMYFUNCTION("""COMPUTED_VALUE"""),0)</f>
        <v>0</v>
      </c>
      <c r="L61" s="37">
        <f ca="1">IFERROR(__xludf.DUMMYFUNCTION("""COMPUTED_VALUE"""),0)</f>
        <v>0</v>
      </c>
      <c r="M61" s="37">
        <f ca="1">IFERROR(__xludf.DUMMYFUNCTION("""COMPUTED_VALUE"""),0)</f>
        <v>0</v>
      </c>
      <c r="N61" s="39">
        <f ca="1">IFERROR(__xludf.DUMMYFUNCTION("""COMPUTED_VALUE"""),1.2)</f>
        <v>1.2</v>
      </c>
      <c r="O61" s="40">
        <f ca="1">IFERROR(__xludf.DUMMYFUNCTION("""COMPUTED_VALUE"""),0)</f>
        <v>0</v>
      </c>
      <c r="P61" s="37">
        <f ca="1">IFERROR(__xludf.DUMMYFUNCTION("""COMPUTED_VALUE"""),1)</f>
        <v>1</v>
      </c>
      <c r="Q61" s="37">
        <f ca="1">IFERROR(__xludf.DUMMYFUNCTION("""COMPUTED_VALUE"""),1)</f>
        <v>1</v>
      </c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F61" s="37"/>
      <c r="AG61" s="37"/>
      <c r="AH61" s="37"/>
      <c r="AI61" s="37"/>
      <c r="AJ61" s="37"/>
    </row>
    <row r="62" spans="1:36" x14ac:dyDescent="0.35">
      <c r="A62" s="37" t="str">
        <f ca="1">IFERROR(__xludf.DUMMYFUNCTION("""COMPUTED_VALUE"""),"5037,85")</f>
        <v>5037,85</v>
      </c>
      <c r="B62" s="37" t="str">
        <f ca="1">IFERROR(__xludf.DUMMYFUNCTION("""COMPUTED_VALUE"""),"Intraclastic packstone")</f>
        <v>Intraclastic packstone</v>
      </c>
      <c r="C62" s="37">
        <f ca="1">IFERROR(__xludf.DUMMYFUNCTION("""COMPUTED_VALUE"""),9)</f>
        <v>9</v>
      </c>
      <c r="D62" s="37">
        <f ca="1">IFERROR(__xludf.DUMMYFUNCTION("""COMPUTED_VALUE"""),52)</f>
        <v>52</v>
      </c>
      <c r="E62" s="37">
        <f ca="1">IFERROR(__xludf.DUMMYFUNCTION("""COMPUTED_VALUE"""),10)</f>
        <v>10</v>
      </c>
      <c r="F62" s="37">
        <f ca="1">IFERROR(__xludf.DUMMYFUNCTION("""COMPUTED_VALUE"""),25)</f>
        <v>25</v>
      </c>
      <c r="G62" s="37">
        <f ca="1">IFERROR(__xludf.DUMMYFUNCTION("""COMPUTED_VALUE"""),5)</f>
        <v>5</v>
      </c>
      <c r="H62" s="37">
        <f ca="1">IFERROR(__xludf.DUMMYFUNCTION("""COMPUTED_VALUE"""),4)</f>
        <v>4</v>
      </c>
      <c r="I62" s="37">
        <f ca="1">IFERROR(__xludf.DUMMYFUNCTION("""COMPUTED_VALUE"""),0)</f>
        <v>0</v>
      </c>
      <c r="J62" s="37">
        <f ca="1">IFERROR(__xludf.DUMMYFUNCTION("""COMPUTED_VALUE"""),8)</f>
        <v>8</v>
      </c>
      <c r="K62" s="37">
        <f ca="1">IFERROR(__xludf.DUMMYFUNCTION("""COMPUTED_VALUE"""),0)</f>
        <v>0</v>
      </c>
      <c r="L62" s="37">
        <f ca="1">IFERROR(__xludf.DUMMYFUNCTION("""COMPUTED_VALUE"""),0)</f>
        <v>0</v>
      </c>
      <c r="M62" s="37">
        <f ca="1">IFERROR(__xludf.DUMMYFUNCTION("""COMPUTED_VALUE"""),0)</f>
        <v>0</v>
      </c>
      <c r="N62" s="39">
        <f ca="1">IFERROR(__xludf.DUMMYFUNCTION("""COMPUTED_VALUE"""),10.6)</f>
        <v>10.6</v>
      </c>
      <c r="O62" s="40">
        <f ca="1">IFERROR(__xludf.DUMMYFUNCTION("""COMPUTED_VALUE"""),33.9)</f>
        <v>33.9</v>
      </c>
      <c r="P62" s="37">
        <f ca="1">IFERROR(__xludf.DUMMYFUNCTION("""COMPUTED_VALUE"""),2)</f>
        <v>2</v>
      </c>
      <c r="Q62" s="37">
        <f ca="1">IFERROR(__xludf.DUMMYFUNCTION("""COMPUTED_VALUE"""),1)</f>
        <v>1</v>
      </c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F62" s="37"/>
      <c r="AG62" s="37"/>
      <c r="AH62" s="37"/>
      <c r="AI62" s="37"/>
      <c r="AJ62" s="37"/>
    </row>
    <row r="63" spans="1:36" x14ac:dyDescent="0.35">
      <c r="A63" s="37" t="str">
        <f ca="1">IFERROR(__xludf.DUMMYFUNCTION("""COMPUTED_VALUE"""),"5038,65")</f>
        <v>5038,65</v>
      </c>
      <c r="B63" s="37" t="str">
        <f ca="1">IFERROR(__xludf.DUMMYFUNCTION("""COMPUTED_VALUE"""),"Mudstone")</f>
        <v>Mudstone</v>
      </c>
      <c r="C63" s="37">
        <f ca="1">IFERROR(__xludf.DUMMYFUNCTION("""COMPUTED_VALUE"""),3)</f>
        <v>3</v>
      </c>
      <c r="D63" s="37">
        <f ca="1">IFERROR(__xludf.DUMMYFUNCTION("""COMPUTED_VALUE"""),0)</f>
        <v>0</v>
      </c>
      <c r="E63" s="37">
        <f ca="1">IFERROR(__xludf.DUMMYFUNCTION("""COMPUTED_VALUE"""),57)</f>
        <v>57</v>
      </c>
      <c r="F63" s="37">
        <f ca="1">IFERROR(__xludf.DUMMYFUNCTION("""COMPUTED_VALUE"""),25)</f>
        <v>25</v>
      </c>
      <c r="G63" s="37">
        <f ca="1">IFERROR(__xludf.DUMMYFUNCTION("""COMPUTED_VALUE"""),15)</f>
        <v>15</v>
      </c>
      <c r="H63" s="37">
        <f ca="1">IFERROR(__xludf.DUMMYFUNCTION("""COMPUTED_VALUE"""),0)</f>
        <v>0</v>
      </c>
      <c r="I63" s="37">
        <f ca="1">IFERROR(__xludf.DUMMYFUNCTION("""COMPUTED_VALUE"""),0)</f>
        <v>0</v>
      </c>
      <c r="J63" s="37">
        <f ca="1">IFERROR(__xludf.DUMMYFUNCTION("""COMPUTED_VALUE"""),2)</f>
        <v>2</v>
      </c>
      <c r="K63" s="37">
        <f ca="1">IFERROR(__xludf.DUMMYFUNCTION("""COMPUTED_VALUE"""),1)</f>
        <v>1</v>
      </c>
      <c r="L63" s="37">
        <f ca="1">IFERROR(__xludf.DUMMYFUNCTION("""COMPUTED_VALUE"""),0)</f>
        <v>0</v>
      </c>
      <c r="M63" s="37">
        <f ca="1">IFERROR(__xludf.DUMMYFUNCTION("""COMPUTED_VALUE"""),0)</f>
        <v>0</v>
      </c>
      <c r="N63" s="39">
        <f ca="1">IFERROR(__xludf.DUMMYFUNCTION("""COMPUTED_VALUE"""),9.6)</f>
        <v>9.6</v>
      </c>
      <c r="O63" s="40">
        <f ca="1">IFERROR(__xludf.DUMMYFUNCTION("""COMPUTED_VALUE"""),0.875)</f>
        <v>0.875</v>
      </c>
      <c r="P63" s="37">
        <f ca="1">IFERROR(__xludf.DUMMYFUNCTION("""COMPUTED_VALUE"""),1)</f>
        <v>1</v>
      </c>
      <c r="Q63" s="37">
        <f ca="1">IFERROR(__xludf.DUMMYFUNCTION("""COMPUTED_VALUE"""),1)</f>
        <v>1</v>
      </c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F63" s="37"/>
      <c r="AG63" s="37"/>
      <c r="AH63" s="37"/>
      <c r="AI63" s="37"/>
      <c r="AJ63" s="37"/>
    </row>
    <row r="64" spans="1:36" x14ac:dyDescent="0.35">
      <c r="A64" s="37" t="str">
        <f ca="1">IFERROR(__xludf.DUMMYFUNCTION("""COMPUTED_VALUE"""),"5039,85")</f>
        <v>5039,85</v>
      </c>
      <c r="B64" s="37" t="str">
        <f ca="1">IFERROR(__xludf.DUMMYFUNCTION("""COMPUTED_VALUE"""),"Intraclastic packstone")</f>
        <v>Intraclastic packstone</v>
      </c>
      <c r="C64" s="37">
        <f ca="1">IFERROR(__xludf.DUMMYFUNCTION("""COMPUTED_VALUE"""),9)</f>
        <v>9</v>
      </c>
      <c r="D64" s="37">
        <f ca="1">IFERROR(__xludf.DUMMYFUNCTION("""COMPUTED_VALUE"""),56)</f>
        <v>56</v>
      </c>
      <c r="E64" s="37">
        <f ca="1">IFERROR(__xludf.DUMMYFUNCTION("""COMPUTED_VALUE"""),8)</f>
        <v>8</v>
      </c>
      <c r="F64" s="37">
        <f ca="1">IFERROR(__xludf.DUMMYFUNCTION("""COMPUTED_VALUE"""),18)</f>
        <v>18</v>
      </c>
      <c r="G64" s="37">
        <f ca="1">IFERROR(__xludf.DUMMYFUNCTION("""COMPUTED_VALUE"""),6)</f>
        <v>6</v>
      </c>
      <c r="H64" s="37">
        <f ca="1">IFERROR(__xludf.DUMMYFUNCTION("""COMPUTED_VALUE"""),4)</f>
        <v>4</v>
      </c>
      <c r="I64" s="37">
        <f ca="1">IFERROR(__xludf.DUMMYFUNCTION("""COMPUTED_VALUE"""),0)</f>
        <v>0</v>
      </c>
      <c r="J64" s="37">
        <f ca="1">IFERROR(__xludf.DUMMYFUNCTION("""COMPUTED_VALUE"""),8)</f>
        <v>8</v>
      </c>
      <c r="K64" s="37">
        <f ca="1">IFERROR(__xludf.DUMMYFUNCTION("""COMPUTED_VALUE"""),4)</f>
        <v>4</v>
      </c>
      <c r="L64" s="37">
        <f ca="1">IFERROR(__xludf.DUMMYFUNCTION("""COMPUTED_VALUE"""),0)</f>
        <v>0</v>
      </c>
      <c r="M64" s="37">
        <f ca="1">IFERROR(__xludf.DUMMYFUNCTION("""COMPUTED_VALUE"""),1)</f>
        <v>1</v>
      </c>
      <c r="N64" s="39">
        <f ca="1">IFERROR(__xludf.DUMMYFUNCTION("""COMPUTED_VALUE"""),10.6)</f>
        <v>10.6</v>
      </c>
      <c r="O64" s="40">
        <f ca="1">IFERROR(__xludf.DUMMYFUNCTION("""COMPUTED_VALUE"""),81)</f>
        <v>81</v>
      </c>
      <c r="P64" s="37">
        <f ca="1">IFERROR(__xludf.DUMMYFUNCTION("""COMPUTED_VALUE"""),2)</f>
        <v>2</v>
      </c>
      <c r="Q64" s="37">
        <f ca="1">IFERROR(__xludf.DUMMYFUNCTION("""COMPUTED_VALUE"""),2)</f>
        <v>2</v>
      </c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F64" s="37"/>
      <c r="AG64" s="37"/>
      <c r="AH64" s="37"/>
      <c r="AI64" s="37"/>
      <c r="AJ64" s="37"/>
    </row>
    <row r="65" spans="1:36" x14ac:dyDescent="0.35">
      <c r="A65" s="37" t="str">
        <f ca="1">IFERROR(__xludf.DUMMYFUNCTION("""COMPUTED_VALUE"""),"5040,30")</f>
        <v>5040,30</v>
      </c>
      <c r="B65" s="37" t="str">
        <f ca="1">IFERROR(__xludf.DUMMYFUNCTION("""COMPUTED_VALUE"""),"Mudstone")</f>
        <v>Mudstone</v>
      </c>
      <c r="C65" s="37">
        <f ca="1">IFERROR(__xludf.DUMMYFUNCTION("""COMPUTED_VALUE"""),3)</f>
        <v>3</v>
      </c>
      <c r="D65" s="37">
        <f ca="1">IFERROR(__xludf.DUMMYFUNCTION("""COMPUTED_VALUE"""),0)</f>
        <v>0</v>
      </c>
      <c r="E65" s="37">
        <f ca="1">IFERROR(__xludf.DUMMYFUNCTION("""COMPUTED_VALUE"""),0)</f>
        <v>0</v>
      </c>
      <c r="F65" s="37">
        <f ca="1">IFERROR(__xludf.DUMMYFUNCTION("""COMPUTED_VALUE"""),30)</f>
        <v>30</v>
      </c>
      <c r="G65" s="37">
        <f ca="1">IFERROR(__xludf.DUMMYFUNCTION("""COMPUTED_VALUE"""),48)</f>
        <v>48</v>
      </c>
      <c r="H65" s="37">
        <f ca="1">IFERROR(__xludf.DUMMYFUNCTION("""COMPUTED_VALUE"""),0)</f>
        <v>0</v>
      </c>
      <c r="I65" s="37">
        <f ca="1">IFERROR(__xludf.DUMMYFUNCTION("""COMPUTED_VALUE"""),0)</f>
        <v>0</v>
      </c>
      <c r="J65" s="37">
        <f ca="1">IFERROR(__xludf.DUMMYFUNCTION("""COMPUTED_VALUE"""),2)</f>
        <v>2</v>
      </c>
      <c r="K65" s="37">
        <f ca="1">IFERROR(__xludf.DUMMYFUNCTION("""COMPUTED_VALUE"""),20)</f>
        <v>20</v>
      </c>
      <c r="L65" s="37">
        <f ca="1">IFERROR(__xludf.DUMMYFUNCTION("""COMPUTED_VALUE"""),1)</f>
        <v>1</v>
      </c>
      <c r="M65" s="37">
        <f ca="1">IFERROR(__xludf.DUMMYFUNCTION("""COMPUTED_VALUE"""),0)</f>
        <v>0</v>
      </c>
      <c r="N65" s="39">
        <f ca="1">IFERROR(__xludf.DUMMYFUNCTION("""COMPUTED_VALUE"""),18.5)</f>
        <v>18.5</v>
      </c>
      <c r="O65" s="40">
        <f ca="1">IFERROR(__xludf.DUMMYFUNCTION("""COMPUTED_VALUE"""),94.5)</f>
        <v>94.5</v>
      </c>
      <c r="P65" s="37">
        <f ca="1">IFERROR(__xludf.DUMMYFUNCTION("""COMPUTED_VALUE"""),1)</f>
        <v>1</v>
      </c>
      <c r="Q65" s="37">
        <f ca="1">IFERROR(__xludf.DUMMYFUNCTION("""COMPUTED_VALUE"""),2)</f>
        <v>2</v>
      </c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F65" s="37"/>
      <c r="AG65" s="37"/>
      <c r="AH65" s="37"/>
      <c r="AI65" s="37"/>
      <c r="AJ65" s="37"/>
    </row>
    <row r="66" spans="1:36" x14ac:dyDescent="0.35">
      <c r="A66" s="37" t="str">
        <f ca="1">IFERROR(__xludf.DUMMYFUNCTION("""COMPUTED_VALUE"""),"5040,90")</f>
        <v>5040,90</v>
      </c>
      <c r="B66" s="37" t="str">
        <f ca="1">IFERROR(__xludf.DUMMYFUNCTION("""COMPUTED_VALUE"""),"Intraclastic packstone")</f>
        <v>Intraclastic packstone</v>
      </c>
      <c r="C66" s="37">
        <f ca="1">IFERROR(__xludf.DUMMYFUNCTION("""COMPUTED_VALUE"""),9)</f>
        <v>9</v>
      </c>
      <c r="D66" s="37">
        <f ca="1">IFERROR(__xludf.DUMMYFUNCTION("""COMPUTED_VALUE"""),65)</f>
        <v>65</v>
      </c>
      <c r="E66" s="37">
        <f ca="1">IFERROR(__xludf.DUMMYFUNCTION("""COMPUTED_VALUE"""),13)</f>
        <v>13</v>
      </c>
      <c r="F66" s="37">
        <f ca="1">IFERROR(__xludf.DUMMYFUNCTION("""COMPUTED_VALUE"""),0)</f>
        <v>0</v>
      </c>
      <c r="G66" s="37">
        <f ca="1">IFERROR(__xludf.DUMMYFUNCTION("""COMPUTED_VALUE"""),10)</f>
        <v>10</v>
      </c>
      <c r="H66" s="37">
        <f ca="1">IFERROR(__xludf.DUMMYFUNCTION("""COMPUTED_VALUE"""),4)</f>
        <v>4</v>
      </c>
      <c r="I66" s="37">
        <f ca="1">IFERROR(__xludf.DUMMYFUNCTION("""COMPUTED_VALUE"""),0)</f>
        <v>0</v>
      </c>
      <c r="J66" s="37">
        <f ca="1">IFERROR(__xludf.DUMMYFUNCTION("""COMPUTED_VALUE"""),3)</f>
        <v>3</v>
      </c>
      <c r="K66" s="37">
        <f ca="1">IFERROR(__xludf.DUMMYFUNCTION("""COMPUTED_VALUE"""),9)</f>
        <v>9</v>
      </c>
      <c r="L66" s="37">
        <f ca="1">IFERROR(__xludf.DUMMYFUNCTION("""COMPUTED_VALUE"""),0)</f>
        <v>0</v>
      </c>
      <c r="M66" s="37">
        <f ca="1">IFERROR(__xludf.DUMMYFUNCTION("""COMPUTED_VALUE"""),0)</f>
        <v>0</v>
      </c>
      <c r="N66" s="39">
        <f ca="1">IFERROR(__xludf.DUMMYFUNCTION("""COMPUTED_VALUE"""),8)</f>
        <v>8</v>
      </c>
      <c r="O66" s="40">
        <f ca="1">IFERROR(__xludf.DUMMYFUNCTION("""COMPUTED_VALUE"""),1.04)</f>
        <v>1.04</v>
      </c>
      <c r="P66" s="37">
        <f ca="1">IFERROR(__xludf.DUMMYFUNCTION("""COMPUTED_VALUE"""),2)</f>
        <v>2</v>
      </c>
      <c r="Q66" s="37">
        <f ca="1">IFERROR(__xludf.DUMMYFUNCTION("""COMPUTED_VALUE"""),1)</f>
        <v>1</v>
      </c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F66" s="37"/>
      <c r="AG66" s="37"/>
      <c r="AH66" s="37"/>
      <c r="AI66" s="37"/>
      <c r="AJ66" s="37"/>
    </row>
    <row r="67" spans="1:36" x14ac:dyDescent="0.35">
      <c r="A67" s="37" t="str">
        <f ca="1">IFERROR(__xludf.DUMMYFUNCTION("""COMPUTED_VALUE"""),"5041,20")</f>
        <v>5041,20</v>
      </c>
      <c r="B67" s="37" t="str">
        <f ca="1">IFERROR(__xludf.DUMMYFUNCTION("""COMPUTED_VALUE"""),"Intraclastic grainstone")</f>
        <v>Intraclastic grainstone</v>
      </c>
      <c r="C67" s="37">
        <f ca="1">IFERROR(__xludf.DUMMYFUNCTION("""COMPUTED_VALUE"""),9)</f>
        <v>9</v>
      </c>
      <c r="D67" s="37">
        <f ca="1">IFERROR(__xludf.DUMMYFUNCTION("""COMPUTED_VALUE"""),80)</f>
        <v>80</v>
      </c>
      <c r="E67" s="37">
        <f ca="1">IFERROR(__xludf.DUMMYFUNCTION("""COMPUTED_VALUE"""),8)</f>
        <v>8</v>
      </c>
      <c r="F67" s="37">
        <f ca="1">IFERROR(__xludf.DUMMYFUNCTION("""COMPUTED_VALUE"""),0)</f>
        <v>0</v>
      </c>
      <c r="G67" s="37">
        <f ca="1">IFERROR(__xludf.DUMMYFUNCTION("""COMPUTED_VALUE"""),0)</f>
        <v>0</v>
      </c>
      <c r="H67" s="37">
        <f ca="1">IFERROR(__xludf.DUMMYFUNCTION("""COMPUTED_VALUE"""),4)</f>
        <v>4</v>
      </c>
      <c r="I67" s="37">
        <f ca="1">IFERROR(__xludf.DUMMYFUNCTION("""COMPUTED_VALUE"""),0)</f>
        <v>0</v>
      </c>
      <c r="J67" s="37">
        <f ca="1">IFERROR(__xludf.DUMMYFUNCTION("""COMPUTED_VALUE"""),3)</f>
        <v>3</v>
      </c>
      <c r="K67" s="37">
        <f ca="1">IFERROR(__xludf.DUMMYFUNCTION("""COMPUTED_VALUE"""),9)</f>
        <v>9</v>
      </c>
      <c r="L67" s="37">
        <f ca="1">IFERROR(__xludf.DUMMYFUNCTION("""COMPUTED_VALUE"""),0)</f>
        <v>0</v>
      </c>
      <c r="M67" s="37">
        <f ca="1">IFERROR(__xludf.DUMMYFUNCTION("""COMPUTED_VALUE"""),0)</f>
        <v>0</v>
      </c>
      <c r="N67" s="39">
        <f ca="1">IFERROR(__xludf.DUMMYFUNCTION("""COMPUTED_VALUE"""),6.6)</f>
        <v>6.6</v>
      </c>
      <c r="O67" s="40">
        <f ca="1">IFERROR(__xludf.DUMMYFUNCTION("""COMPUTED_VALUE"""),1.67)</f>
        <v>1.67</v>
      </c>
      <c r="P67" s="37">
        <f ca="1">IFERROR(__xludf.DUMMYFUNCTION("""COMPUTED_VALUE"""),2)</f>
        <v>2</v>
      </c>
      <c r="Q67" s="37">
        <f ca="1">IFERROR(__xludf.DUMMYFUNCTION("""COMPUTED_VALUE"""),1)</f>
        <v>1</v>
      </c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F67" s="37"/>
      <c r="AG67" s="37"/>
      <c r="AH67" s="37"/>
      <c r="AI67" s="37"/>
      <c r="AJ67" s="37"/>
    </row>
    <row r="68" spans="1:36" x14ac:dyDescent="0.35">
      <c r="A68" s="37" t="str">
        <f ca="1">IFERROR(__xludf.DUMMYFUNCTION("""COMPUTED_VALUE"""),"5042,85")</f>
        <v>5042,85</v>
      </c>
      <c r="B68" s="37" t="str">
        <f ca="1">IFERROR(__xludf.DUMMYFUNCTION("""COMPUTED_VALUE"""),"Shrubby spherulitestone with mud")</f>
        <v>Shrubby spherulitestone with mud</v>
      </c>
      <c r="C68" s="37">
        <f ca="1">IFERROR(__xludf.DUMMYFUNCTION("""COMPUTED_VALUE"""),7)</f>
        <v>7</v>
      </c>
      <c r="D68" s="37">
        <f ca="1">IFERROR(__xludf.DUMMYFUNCTION("""COMPUTED_VALUE"""),41)</f>
        <v>41</v>
      </c>
      <c r="E68" s="37">
        <f ca="1">IFERROR(__xludf.DUMMYFUNCTION("""COMPUTED_VALUE"""),5)</f>
        <v>5</v>
      </c>
      <c r="F68" s="37">
        <f ca="1">IFERROR(__xludf.DUMMYFUNCTION("""COMPUTED_VALUE"""),36)</f>
        <v>36</v>
      </c>
      <c r="G68" s="37">
        <f ca="1">IFERROR(__xludf.DUMMYFUNCTION("""COMPUTED_VALUE"""),7)</f>
        <v>7</v>
      </c>
      <c r="H68" s="37">
        <f ca="1">IFERROR(__xludf.DUMMYFUNCTION("""COMPUTED_VALUE"""),4)</f>
        <v>4</v>
      </c>
      <c r="I68" s="37">
        <f ca="1">IFERROR(__xludf.DUMMYFUNCTION("""COMPUTED_VALUE"""),1)</f>
        <v>1</v>
      </c>
      <c r="J68" s="37">
        <f ca="1">IFERROR(__xludf.DUMMYFUNCTION("""COMPUTED_VALUE"""),7)</f>
        <v>7</v>
      </c>
      <c r="K68" s="37">
        <f ca="1">IFERROR(__xludf.DUMMYFUNCTION("""COMPUTED_VALUE"""),4)</f>
        <v>4</v>
      </c>
      <c r="L68" s="37">
        <f ca="1">IFERROR(__xludf.DUMMYFUNCTION("""COMPUTED_VALUE"""),0)</f>
        <v>0</v>
      </c>
      <c r="M68" s="37">
        <f ca="1">IFERROR(__xludf.DUMMYFUNCTION("""COMPUTED_VALUE"""),1)</f>
        <v>1</v>
      </c>
      <c r="N68" s="39">
        <f ca="1">IFERROR(__xludf.DUMMYFUNCTION("""COMPUTED_VALUE"""),9)</f>
        <v>9</v>
      </c>
      <c r="O68" s="40">
        <f ca="1">IFERROR(__xludf.DUMMYFUNCTION("""COMPUTED_VALUE"""),29.6)</f>
        <v>29.6</v>
      </c>
      <c r="P68" s="37">
        <f ca="1">IFERROR(__xludf.DUMMYFUNCTION("""COMPUTED_VALUE"""),1)</f>
        <v>1</v>
      </c>
      <c r="Q68" s="37">
        <f ca="1">IFERROR(__xludf.DUMMYFUNCTION("""COMPUTED_VALUE"""),1)</f>
        <v>1</v>
      </c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F68" s="37"/>
      <c r="AG68" s="37"/>
      <c r="AH68" s="37"/>
      <c r="AI68" s="37"/>
      <c r="AJ68" s="37"/>
    </row>
    <row r="69" spans="1:36" x14ac:dyDescent="0.35">
      <c r="A69" s="37" t="str">
        <f ca="1">IFERROR(__xludf.DUMMYFUNCTION("""COMPUTED_VALUE"""),"5045,80")</f>
        <v>5045,80</v>
      </c>
      <c r="B69" s="37" t="str">
        <f ca="1">IFERROR(__xludf.DUMMYFUNCTION("""COMPUTED_VALUE"""),"Intraclastic packstone")</f>
        <v>Intraclastic packstone</v>
      </c>
      <c r="C69" s="37">
        <f ca="1">IFERROR(__xludf.DUMMYFUNCTION("""COMPUTED_VALUE"""),9)</f>
        <v>9</v>
      </c>
      <c r="D69" s="37">
        <f ca="1">IFERROR(__xludf.DUMMYFUNCTION("""COMPUTED_VALUE"""),70)</f>
        <v>70</v>
      </c>
      <c r="E69" s="37">
        <f ca="1">IFERROR(__xludf.DUMMYFUNCTION("""COMPUTED_VALUE"""),9)</f>
        <v>9</v>
      </c>
      <c r="F69" s="37">
        <f ca="1">IFERROR(__xludf.DUMMYFUNCTION("""COMPUTED_VALUE"""),4)</f>
        <v>4</v>
      </c>
      <c r="G69" s="37">
        <f ca="1">IFERROR(__xludf.DUMMYFUNCTION("""COMPUTED_VALUE"""),5)</f>
        <v>5</v>
      </c>
      <c r="H69" s="37">
        <f ca="1">IFERROR(__xludf.DUMMYFUNCTION("""COMPUTED_VALUE"""),4)</f>
        <v>4</v>
      </c>
      <c r="I69" s="37">
        <f ca="1">IFERROR(__xludf.DUMMYFUNCTION("""COMPUTED_VALUE"""),0)</f>
        <v>0</v>
      </c>
      <c r="J69" s="37">
        <f ca="1">IFERROR(__xludf.DUMMYFUNCTION("""COMPUTED_VALUE"""),0)</f>
        <v>0</v>
      </c>
      <c r="K69" s="37">
        <f ca="1">IFERROR(__xludf.DUMMYFUNCTION("""COMPUTED_VALUE"""),12)</f>
        <v>12</v>
      </c>
      <c r="L69" s="37">
        <f ca="1">IFERROR(__xludf.DUMMYFUNCTION("""COMPUTED_VALUE"""),0)</f>
        <v>0</v>
      </c>
      <c r="M69" s="37">
        <f ca="1">IFERROR(__xludf.DUMMYFUNCTION("""COMPUTED_VALUE"""),0)</f>
        <v>0</v>
      </c>
      <c r="N69" s="39">
        <f ca="1">IFERROR(__xludf.DUMMYFUNCTION("""COMPUTED_VALUE"""),8.2)</f>
        <v>8.1999999999999993</v>
      </c>
      <c r="O69" s="40">
        <f ca="1">IFERROR(__xludf.DUMMYFUNCTION("""COMPUTED_VALUE"""),0.242)</f>
        <v>0.24199999999999999</v>
      </c>
      <c r="P69" s="37">
        <f ca="1">IFERROR(__xludf.DUMMYFUNCTION("""COMPUTED_VALUE"""),2)</f>
        <v>2</v>
      </c>
      <c r="Q69" s="37">
        <f ca="1">IFERROR(__xludf.DUMMYFUNCTION("""COMPUTED_VALUE"""),1)</f>
        <v>1</v>
      </c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F69" s="37"/>
      <c r="AG69" s="37"/>
      <c r="AH69" s="37"/>
      <c r="AI69" s="37"/>
      <c r="AJ69" s="37"/>
    </row>
    <row r="70" spans="1:36" x14ac:dyDescent="0.35">
      <c r="A70" s="37" t="str">
        <f ca="1">IFERROR(__xludf.DUMMYFUNCTION("""COMPUTED_VALUE"""),"5046,15")</f>
        <v>5046,15</v>
      </c>
      <c r="B70" s="37" t="str">
        <f ca="1">IFERROR(__xludf.DUMMYFUNCTION("""COMPUTED_VALUE"""),"Intraclastic packstone")</f>
        <v>Intraclastic packstone</v>
      </c>
      <c r="C70" s="37">
        <f ca="1">IFERROR(__xludf.DUMMYFUNCTION("""COMPUTED_VALUE"""),9)</f>
        <v>9</v>
      </c>
      <c r="D70" s="37">
        <f ca="1">IFERROR(__xludf.DUMMYFUNCTION("""COMPUTED_VALUE"""),0)</f>
        <v>0</v>
      </c>
      <c r="E70" s="37">
        <f ca="1">IFERROR(__xludf.DUMMYFUNCTION("""COMPUTED_VALUE"""),63)</f>
        <v>63</v>
      </c>
      <c r="F70" s="37">
        <f ca="1">IFERROR(__xludf.DUMMYFUNCTION("""COMPUTED_VALUE"""),14)</f>
        <v>14</v>
      </c>
      <c r="G70" s="37">
        <f ca="1">IFERROR(__xludf.DUMMYFUNCTION("""COMPUTED_VALUE"""),7)</f>
        <v>7</v>
      </c>
      <c r="H70" s="37">
        <f ca="1">IFERROR(__xludf.DUMMYFUNCTION("""COMPUTED_VALUE"""),4)</f>
        <v>4</v>
      </c>
      <c r="I70" s="37">
        <f ca="1">IFERROR(__xludf.DUMMYFUNCTION("""COMPUTED_VALUE"""),0)</f>
        <v>0</v>
      </c>
      <c r="J70" s="37">
        <f ca="1">IFERROR(__xludf.DUMMYFUNCTION("""COMPUTED_VALUE"""),8)</f>
        <v>8</v>
      </c>
      <c r="K70" s="37">
        <f ca="1">IFERROR(__xludf.DUMMYFUNCTION("""COMPUTED_VALUE"""),8)</f>
        <v>8</v>
      </c>
      <c r="L70" s="37">
        <f ca="1">IFERROR(__xludf.DUMMYFUNCTION("""COMPUTED_VALUE"""),0)</f>
        <v>0</v>
      </c>
      <c r="M70" s="37">
        <f ca="1">IFERROR(__xludf.DUMMYFUNCTION("""COMPUTED_VALUE"""),0)</f>
        <v>0</v>
      </c>
      <c r="N70" s="39">
        <f ca="1">IFERROR(__xludf.DUMMYFUNCTION("""COMPUTED_VALUE"""),9.7)</f>
        <v>9.6999999999999993</v>
      </c>
      <c r="O70" s="40">
        <f ca="1">IFERROR(__xludf.DUMMYFUNCTION("""COMPUTED_VALUE"""),6.68)</f>
        <v>6.68</v>
      </c>
      <c r="P70" s="37">
        <f ca="1">IFERROR(__xludf.DUMMYFUNCTION("""COMPUTED_VALUE"""),2)</f>
        <v>2</v>
      </c>
      <c r="Q70" s="37">
        <f ca="1">IFERROR(__xludf.DUMMYFUNCTION("""COMPUTED_VALUE"""),1)</f>
        <v>1</v>
      </c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F70" s="37"/>
      <c r="AG70" s="37"/>
      <c r="AH70" s="37"/>
      <c r="AI70" s="37"/>
      <c r="AJ70" s="37"/>
    </row>
    <row r="71" spans="1:36" x14ac:dyDescent="0.35">
      <c r="A71" s="37" t="str">
        <f ca="1">IFERROR(__xludf.DUMMYFUNCTION("""COMPUTED_VALUE"""),"5046,70")</f>
        <v>5046,70</v>
      </c>
      <c r="B71" s="37" t="str">
        <f ca="1">IFERROR(__xludf.DUMMYFUNCTION("""COMPUTED_VALUE"""),"Intraclastic packstone")</f>
        <v>Intraclastic packstone</v>
      </c>
      <c r="C71" s="37">
        <f ca="1">IFERROR(__xludf.DUMMYFUNCTION("""COMPUTED_VALUE"""),9)</f>
        <v>9</v>
      </c>
      <c r="D71" s="37">
        <f ca="1">IFERROR(__xludf.DUMMYFUNCTION("""COMPUTED_VALUE"""),41)</f>
        <v>41</v>
      </c>
      <c r="E71" s="37">
        <f ca="1">IFERROR(__xludf.DUMMYFUNCTION("""COMPUTED_VALUE"""),17)</f>
        <v>17</v>
      </c>
      <c r="F71" s="37">
        <f ca="1">IFERROR(__xludf.DUMMYFUNCTION("""COMPUTED_VALUE"""),3)</f>
        <v>3</v>
      </c>
      <c r="G71" s="37">
        <f ca="1">IFERROR(__xludf.DUMMYFUNCTION("""COMPUTED_VALUE"""),7)</f>
        <v>7</v>
      </c>
      <c r="H71" s="37">
        <f ca="1">IFERROR(__xludf.DUMMYFUNCTION("""COMPUTED_VALUE"""),4)</f>
        <v>4</v>
      </c>
      <c r="I71" s="37">
        <f ca="1">IFERROR(__xludf.DUMMYFUNCTION("""COMPUTED_VALUE"""),0)</f>
        <v>0</v>
      </c>
      <c r="J71" s="37">
        <f ca="1">IFERROR(__xludf.DUMMYFUNCTION("""COMPUTED_VALUE"""),11)</f>
        <v>11</v>
      </c>
      <c r="K71" s="37">
        <f ca="1">IFERROR(__xludf.DUMMYFUNCTION("""COMPUTED_VALUE"""),21)</f>
        <v>21</v>
      </c>
      <c r="L71" s="37">
        <f ca="1">IFERROR(__xludf.DUMMYFUNCTION("""COMPUTED_VALUE"""),0)</f>
        <v>0</v>
      </c>
      <c r="M71" s="37">
        <f ca="1">IFERROR(__xludf.DUMMYFUNCTION("""COMPUTED_VALUE"""),1)</f>
        <v>1</v>
      </c>
      <c r="N71" s="39">
        <f ca="1">IFERROR(__xludf.DUMMYFUNCTION("""COMPUTED_VALUE"""),18.9)</f>
        <v>18.899999999999999</v>
      </c>
      <c r="O71" s="40">
        <f ca="1">IFERROR(__xludf.DUMMYFUNCTION("""COMPUTED_VALUE"""),98.3)</f>
        <v>98.3</v>
      </c>
      <c r="P71" s="37">
        <f ca="1">IFERROR(__xludf.DUMMYFUNCTION("""COMPUTED_VALUE"""),2)</f>
        <v>2</v>
      </c>
      <c r="Q71" s="37">
        <f ca="1">IFERROR(__xludf.DUMMYFUNCTION("""COMPUTED_VALUE"""),2)</f>
        <v>2</v>
      </c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F71" s="37"/>
      <c r="AG71" s="37"/>
      <c r="AH71" s="37"/>
      <c r="AI71" s="37"/>
      <c r="AJ71" s="37"/>
    </row>
    <row r="72" spans="1:36" x14ac:dyDescent="0.35">
      <c r="A72" s="37" t="str">
        <f ca="1">IFERROR(__xludf.DUMMYFUNCTION("""COMPUTED_VALUE"""),"5048,00")</f>
        <v>5048,00</v>
      </c>
      <c r="B72" s="37" t="str">
        <f ca="1">IFERROR(__xludf.DUMMYFUNCTION("""COMPUTED_VALUE"""),"Intraclastic grainstone")</f>
        <v>Intraclastic grainstone</v>
      </c>
      <c r="C72" s="37">
        <f ca="1">IFERROR(__xludf.DUMMYFUNCTION("""COMPUTED_VALUE"""),9)</f>
        <v>9</v>
      </c>
      <c r="D72" s="37">
        <f ca="1">IFERROR(__xludf.DUMMYFUNCTION("""COMPUTED_VALUE"""),69)</f>
        <v>69</v>
      </c>
      <c r="E72" s="37">
        <f ca="1">IFERROR(__xludf.DUMMYFUNCTION("""COMPUTED_VALUE"""),7)</f>
        <v>7</v>
      </c>
      <c r="F72" s="37">
        <f ca="1">IFERROR(__xludf.DUMMYFUNCTION("""COMPUTED_VALUE"""),0)</f>
        <v>0</v>
      </c>
      <c r="G72" s="37">
        <f ca="1">IFERROR(__xludf.DUMMYFUNCTION("""COMPUTED_VALUE"""),4)</f>
        <v>4</v>
      </c>
      <c r="H72" s="37">
        <f ca="1">IFERROR(__xludf.DUMMYFUNCTION("""COMPUTED_VALUE"""),4)</f>
        <v>4</v>
      </c>
      <c r="I72" s="37">
        <f ca="1">IFERROR(__xludf.DUMMYFUNCTION("""COMPUTED_VALUE"""),0)</f>
        <v>0</v>
      </c>
      <c r="J72" s="37">
        <f ca="1">IFERROR(__xludf.DUMMYFUNCTION("""COMPUTED_VALUE"""),6)</f>
        <v>6</v>
      </c>
      <c r="K72" s="37">
        <f ca="1">IFERROR(__xludf.DUMMYFUNCTION("""COMPUTED_VALUE"""),14)</f>
        <v>14</v>
      </c>
      <c r="L72" s="37">
        <f ca="1">IFERROR(__xludf.DUMMYFUNCTION("""COMPUTED_VALUE"""),0)</f>
        <v>0</v>
      </c>
      <c r="M72" s="37">
        <f ca="1">IFERROR(__xludf.DUMMYFUNCTION("""COMPUTED_VALUE"""),0)</f>
        <v>0</v>
      </c>
      <c r="N72" s="39">
        <f ca="1">IFERROR(__xludf.DUMMYFUNCTION("""COMPUTED_VALUE"""),15.6)</f>
        <v>15.6</v>
      </c>
      <c r="O72" s="40">
        <f ca="1">IFERROR(__xludf.DUMMYFUNCTION("""COMPUTED_VALUE"""),23.1)</f>
        <v>23.1</v>
      </c>
      <c r="P72" s="37">
        <f ca="1">IFERROR(__xludf.DUMMYFUNCTION("""COMPUTED_VALUE"""),2)</f>
        <v>2</v>
      </c>
      <c r="Q72" s="37">
        <f ca="1">IFERROR(__xludf.DUMMYFUNCTION("""COMPUTED_VALUE"""),1)</f>
        <v>1</v>
      </c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F72" s="37"/>
      <c r="AG72" s="37"/>
      <c r="AH72" s="37"/>
      <c r="AI72" s="37"/>
      <c r="AJ72" s="37"/>
    </row>
    <row r="73" spans="1:36" x14ac:dyDescent="0.35">
      <c r="A73" s="37" t="str">
        <f ca="1">IFERROR(__xludf.DUMMYFUNCTION("""COMPUTED_VALUE"""),"5049,00")</f>
        <v>5049,00</v>
      </c>
      <c r="B73" s="37" t="str">
        <f ca="1">IFERROR(__xludf.DUMMYFUNCTION("""COMPUTED_VALUE"""),"Mudstone")</f>
        <v>Mudstone</v>
      </c>
      <c r="C73" s="37">
        <f ca="1">IFERROR(__xludf.DUMMYFUNCTION("""COMPUTED_VALUE"""),3)</f>
        <v>3</v>
      </c>
      <c r="D73" s="37">
        <f ca="1">IFERROR(__xludf.DUMMYFUNCTION("""COMPUTED_VALUE"""),0)</f>
        <v>0</v>
      </c>
      <c r="E73" s="37">
        <f ca="1">IFERROR(__xludf.DUMMYFUNCTION("""COMPUTED_VALUE"""),62)</f>
        <v>62</v>
      </c>
      <c r="F73" s="37">
        <f ca="1">IFERROR(__xludf.DUMMYFUNCTION("""COMPUTED_VALUE"""),30)</f>
        <v>30</v>
      </c>
      <c r="G73" s="37">
        <f ca="1">IFERROR(__xludf.DUMMYFUNCTION("""COMPUTED_VALUE"""),0)</f>
        <v>0</v>
      </c>
      <c r="H73" s="37">
        <f ca="1">IFERROR(__xludf.DUMMYFUNCTION("""COMPUTED_VALUE"""),4)</f>
        <v>4</v>
      </c>
      <c r="I73" s="37">
        <f ca="1">IFERROR(__xludf.DUMMYFUNCTION("""COMPUTED_VALUE"""),0)</f>
        <v>0</v>
      </c>
      <c r="J73" s="37">
        <f ca="1">IFERROR(__xludf.DUMMYFUNCTION("""COMPUTED_VALUE"""),3)</f>
        <v>3</v>
      </c>
      <c r="K73" s="37">
        <f ca="1">IFERROR(__xludf.DUMMYFUNCTION("""COMPUTED_VALUE"""),5)</f>
        <v>5</v>
      </c>
      <c r="L73" s="37">
        <f ca="1">IFERROR(__xludf.DUMMYFUNCTION("""COMPUTED_VALUE"""),0)</f>
        <v>0</v>
      </c>
      <c r="M73" s="37">
        <f ca="1">IFERROR(__xludf.DUMMYFUNCTION("""COMPUTED_VALUE"""),1)</f>
        <v>1</v>
      </c>
      <c r="N73" s="39">
        <f ca="1">IFERROR(__xludf.DUMMYFUNCTION("""COMPUTED_VALUE"""),8.9)</f>
        <v>8.9</v>
      </c>
      <c r="O73" s="40">
        <f ca="1">IFERROR(__xludf.DUMMYFUNCTION("""COMPUTED_VALUE"""),1.1)</f>
        <v>1.1000000000000001</v>
      </c>
      <c r="P73" s="37">
        <f ca="1">IFERROR(__xludf.DUMMYFUNCTION("""COMPUTED_VALUE"""),1)</f>
        <v>1</v>
      </c>
      <c r="Q73" s="37">
        <f ca="1">IFERROR(__xludf.DUMMYFUNCTION("""COMPUTED_VALUE"""),1)</f>
        <v>1</v>
      </c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F73" s="37"/>
      <c r="AG73" s="37"/>
      <c r="AH73" s="37"/>
      <c r="AI73" s="37"/>
      <c r="AJ73" s="37"/>
    </row>
    <row r="74" spans="1:36" x14ac:dyDescent="0.35">
      <c r="A74" s="37" t="str">
        <f ca="1">IFERROR(__xludf.DUMMYFUNCTION("""COMPUTED_VALUE"""),"5052,00")</f>
        <v>5052,00</v>
      </c>
      <c r="B74" s="37" t="str">
        <f ca="1">IFERROR(__xludf.DUMMYFUNCTION("""COMPUTED_VALUE"""),"Intraclastic grainstone")</f>
        <v>Intraclastic grainstone</v>
      </c>
      <c r="C74" s="37">
        <f ca="1">IFERROR(__xludf.DUMMYFUNCTION("""COMPUTED_VALUE"""),9)</f>
        <v>9</v>
      </c>
      <c r="D74" s="37">
        <f ca="1">IFERROR(__xludf.DUMMYFUNCTION("""COMPUTED_VALUE"""),61)</f>
        <v>61</v>
      </c>
      <c r="E74" s="37">
        <f ca="1">IFERROR(__xludf.DUMMYFUNCTION("""COMPUTED_VALUE"""),15)</f>
        <v>15</v>
      </c>
      <c r="F74" s="37">
        <f ca="1">IFERROR(__xludf.DUMMYFUNCTION("""COMPUTED_VALUE"""),1)</f>
        <v>1</v>
      </c>
      <c r="G74" s="37">
        <f ca="1">IFERROR(__xludf.DUMMYFUNCTION("""COMPUTED_VALUE"""),1)</f>
        <v>1</v>
      </c>
      <c r="H74" s="37">
        <f ca="1">IFERROR(__xludf.DUMMYFUNCTION("""COMPUTED_VALUE"""),4)</f>
        <v>4</v>
      </c>
      <c r="I74" s="37">
        <f ca="1">IFERROR(__xludf.DUMMYFUNCTION("""COMPUTED_VALUE"""),0)</f>
        <v>0</v>
      </c>
      <c r="J74" s="37">
        <f ca="1">IFERROR(__xludf.DUMMYFUNCTION("""COMPUTED_VALUE"""),5)</f>
        <v>5</v>
      </c>
      <c r="K74" s="37">
        <f ca="1">IFERROR(__xludf.DUMMYFUNCTION("""COMPUTED_VALUE"""),17)</f>
        <v>17</v>
      </c>
      <c r="L74" s="37">
        <f ca="1">IFERROR(__xludf.DUMMYFUNCTION("""COMPUTED_VALUE"""),0)</f>
        <v>0</v>
      </c>
      <c r="M74" s="37">
        <f ca="1">IFERROR(__xludf.DUMMYFUNCTION("""COMPUTED_VALUE"""),0)</f>
        <v>0</v>
      </c>
      <c r="N74" s="39">
        <f ca="1">IFERROR(__xludf.DUMMYFUNCTION("""COMPUTED_VALUE"""),16.3)</f>
        <v>16.3</v>
      </c>
      <c r="O74" s="40">
        <f ca="1">IFERROR(__xludf.DUMMYFUNCTION("""COMPUTED_VALUE"""),16.2)</f>
        <v>16.2</v>
      </c>
      <c r="P74" s="37">
        <f ca="1">IFERROR(__xludf.DUMMYFUNCTION("""COMPUTED_VALUE"""),2)</f>
        <v>2</v>
      </c>
      <c r="Q74" s="37">
        <f ca="1">IFERROR(__xludf.DUMMYFUNCTION("""COMPUTED_VALUE"""),1)</f>
        <v>1</v>
      </c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F74" s="37"/>
      <c r="AG74" s="37"/>
      <c r="AH74" s="37"/>
      <c r="AI74" s="37"/>
      <c r="AJ74" s="37"/>
    </row>
    <row r="75" spans="1:36" x14ac:dyDescent="0.35">
      <c r="A75" s="37" t="str">
        <f ca="1">IFERROR(__xludf.DUMMYFUNCTION("""COMPUTED_VALUE"""),"5056,00")</f>
        <v>5056,00</v>
      </c>
      <c r="B75" s="37" t="str">
        <f ca="1">IFERROR(__xludf.DUMMYFUNCTION("""COMPUTED_VALUE"""),"Mudstone")</f>
        <v>Mudstone</v>
      </c>
      <c r="C75" s="37">
        <f ca="1">IFERROR(__xludf.DUMMYFUNCTION("""COMPUTED_VALUE"""),3)</f>
        <v>3</v>
      </c>
      <c r="D75" s="37">
        <f ca="1">IFERROR(__xludf.DUMMYFUNCTION("""COMPUTED_VALUE"""),0)</f>
        <v>0</v>
      </c>
      <c r="E75" s="37">
        <f ca="1">IFERROR(__xludf.DUMMYFUNCTION("""COMPUTED_VALUE"""),39)</f>
        <v>39</v>
      </c>
      <c r="F75" s="37">
        <f ca="1">IFERROR(__xludf.DUMMYFUNCTION("""COMPUTED_VALUE"""),0)</f>
        <v>0</v>
      </c>
      <c r="G75" s="37">
        <f ca="1">IFERROR(__xludf.DUMMYFUNCTION("""COMPUTED_VALUE"""),40)</f>
        <v>40</v>
      </c>
      <c r="H75" s="37">
        <f ca="1">IFERROR(__xludf.DUMMYFUNCTION("""COMPUTED_VALUE"""),5)</f>
        <v>5</v>
      </c>
      <c r="I75" s="37">
        <f ca="1">IFERROR(__xludf.DUMMYFUNCTION("""COMPUTED_VALUE"""),0)</f>
        <v>0</v>
      </c>
      <c r="J75" s="37">
        <f ca="1">IFERROR(__xludf.DUMMYFUNCTION("""COMPUTED_VALUE"""),14)</f>
        <v>14</v>
      </c>
      <c r="K75" s="37">
        <f ca="1">IFERROR(__xludf.DUMMYFUNCTION("""COMPUTED_VALUE"""),7)</f>
        <v>7</v>
      </c>
      <c r="L75" s="37">
        <f ca="1">IFERROR(__xludf.DUMMYFUNCTION("""COMPUTED_VALUE"""),1)</f>
        <v>1</v>
      </c>
      <c r="M75" s="37">
        <f ca="1">IFERROR(__xludf.DUMMYFUNCTION("""COMPUTED_VALUE"""),0)</f>
        <v>0</v>
      </c>
      <c r="N75" s="39">
        <f ca="1">IFERROR(__xludf.DUMMYFUNCTION("""COMPUTED_VALUE"""),18.8)</f>
        <v>18.8</v>
      </c>
      <c r="O75" s="40">
        <f ca="1">IFERROR(__xludf.DUMMYFUNCTION("""COMPUTED_VALUE"""),391)</f>
        <v>391</v>
      </c>
      <c r="P75" s="37">
        <f ca="1">IFERROR(__xludf.DUMMYFUNCTION("""COMPUTED_VALUE"""),1)</f>
        <v>1</v>
      </c>
      <c r="Q75" s="37">
        <f ca="1">IFERROR(__xludf.DUMMYFUNCTION("""COMPUTED_VALUE"""),3)</f>
        <v>3</v>
      </c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F75" s="37"/>
      <c r="AG75" s="37"/>
      <c r="AH75" s="37"/>
      <c r="AI75" s="37"/>
      <c r="AJ75" s="37"/>
    </row>
    <row r="76" spans="1:36" x14ac:dyDescent="0.35">
      <c r="A76" s="37" t="str">
        <f ca="1">IFERROR(__xludf.DUMMYFUNCTION("""COMPUTED_VALUE"""),"5057,00")</f>
        <v>5057,00</v>
      </c>
      <c r="B76" s="37" t="str">
        <f ca="1">IFERROR(__xludf.DUMMYFUNCTION("""COMPUTED_VALUE"""),"Mudstone")</f>
        <v>Mudstone</v>
      </c>
      <c r="C76" s="37">
        <f ca="1">IFERROR(__xludf.DUMMYFUNCTION("""COMPUTED_VALUE"""),3)</f>
        <v>3</v>
      </c>
      <c r="D76" s="37">
        <f ca="1">IFERROR(__xludf.DUMMYFUNCTION("""COMPUTED_VALUE"""),0)</f>
        <v>0</v>
      </c>
      <c r="E76" s="37">
        <f ca="1">IFERROR(__xludf.DUMMYFUNCTION("""COMPUTED_VALUE"""),45)</f>
        <v>45</v>
      </c>
      <c r="F76" s="37">
        <f ca="1">IFERROR(__xludf.DUMMYFUNCTION("""COMPUTED_VALUE"""),0)</f>
        <v>0</v>
      </c>
      <c r="G76" s="37">
        <f ca="1">IFERROR(__xludf.DUMMYFUNCTION("""COMPUTED_VALUE"""),40)</f>
        <v>40</v>
      </c>
      <c r="H76" s="37">
        <f ca="1">IFERROR(__xludf.DUMMYFUNCTION("""COMPUTED_VALUE"""),5)</f>
        <v>5</v>
      </c>
      <c r="I76" s="37">
        <f ca="1">IFERROR(__xludf.DUMMYFUNCTION("""COMPUTED_VALUE"""),0)</f>
        <v>0</v>
      </c>
      <c r="J76" s="37">
        <f ca="1">IFERROR(__xludf.DUMMYFUNCTION("""COMPUTED_VALUE"""),5)</f>
        <v>5</v>
      </c>
      <c r="K76" s="37">
        <f ca="1">IFERROR(__xludf.DUMMYFUNCTION("""COMPUTED_VALUE"""),10)</f>
        <v>10</v>
      </c>
      <c r="L76" s="37">
        <f ca="1">IFERROR(__xludf.DUMMYFUNCTION("""COMPUTED_VALUE"""),1)</f>
        <v>1</v>
      </c>
      <c r="M76" s="37">
        <f ca="1">IFERROR(__xludf.DUMMYFUNCTION("""COMPUTED_VALUE"""),0)</f>
        <v>0</v>
      </c>
      <c r="N76" s="39">
        <f ca="1">IFERROR(__xludf.DUMMYFUNCTION("""COMPUTED_VALUE"""),20.5)</f>
        <v>20.5</v>
      </c>
      <c r="O76" s="40">
        <f ca="1">IFERROR(__xludf.DUMMYFUNCTION("""COMPUTED_VALUE"""),95.8)</f>
        <v>95.8</v>
      </c>
      <c r="P76" s="37">
        <f ca="1">IFERROR(__xludf.DUMMYFUNCTION("""COMPUTED_VALUE"""),1)</f>
        <v>1</v>
      </c>
      <c r="Q76" s="37">
        <f ca="1">IFERROR(__xludf.DUMMYFUNCTION("""COMPUTED_VALUE"""),2)</f>
        <v>2</v>
      </c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F76" s="37"/>
      <c r="AG76" s="37"/>
      <c r="AH76" s="37"/>
      <c r="AI76" s="37"/>
      <c r="AJ76" s="37"/>
    </row>
    <row r="77" spans="1:36" x14ac:dyDescent="0.35">
      <c r="A77" s="37" t="str">
        <f ca="1">IFERROR(__xludf.DUMMYFUNCTION("""COMPUTED_VALUE"""),"5058,00")</f>
        <v>5058,00</v>
      </c>
      <c r="B77" s="37" t="str">
        <f ca="1">IFERROR(__xludf.DUMMYFUNCTION("""COMPUTED_VALUE"""),"Intraclastic grainstone")</f>
        <v>Intraclastic grainstone</v>
      </c>
      <c r="C77" s="37">
        <f ca="1">IFERROR(__xludf.DUMMYFUNCTION("""COMPUTED_VALUE"""),9)</f>
        <v>9</v>
      </c>
      <c r="D77" s="37">
        <f ca="1">IFERROR(__xludf.DUMMYFUNCTION("""COMPUTED_VALUE"""),54)</f>
        <v>54</v>
      </c>
      <c r="E77" s="37">
        <f ca="1">IFERROR(__xludf.DUMMYFUNCTION("""COMPUTED_VALUE"""),30)</f>
        <v>30</v>
      </c>
      <c r="F77" s="37">
        <f ca="1">IFERROR(__xludf.DUMMYFUNCTION("""COMPUTED_VALUE"""),0)</f>
        <v>0</v>
      </c>
      <c r="G77" s="37">
        <f ca="1">IFERROR(__xludf.DUMMYFUNCTION("""COMPUTED_VALUE"""),5)</f>
        <v>5</v>
      </c>
      <c r="H77" s="37">
        <f ca="1">IFERROR(__xludf.DUMMYFUNCTION("""COMPUTED_VALUE"""),4)</f>
        <v>4</v>
      </c>
      <c r="I77" s="37">
        <f ca="1">IFERROR(__xludf.DUMMYFUNCTION("""COMPUTED_VALUE"""),0)</f>
        <v>0</v>
      </c>
      <c r="J77" s="37">
        <f ca="1">IFERROR(__xludf.DUMMYFUNCTION("""COMPUTED_VALUE"""),5)</f>
        <v>5</v>
      </c>
      <c r="K77" s="37">
        <f ca="1">IFERROR(__xludf.DUMMYFUNCTION("""COMPUTED_VALUE"""),6)</f>
        <v>6</v>
      </c>
      <c r="L77" s="37">
        <f ca="1">IFERROR(__xludf.DUMMYFUNCTION("""COMPUTED_VALUE"""),0)</f>
        <v>0</v>
      </c>
      <c r="M77" s="37">
        <f ca="1">IFERROR(__xludf.DUMMYFUNCTION("""COMPUTED_VALUE"""),0)</f>
        <v>0</v>
      </c>
      <c r="N77" s="39">
        <f ca="1">IFERROR(__xludf.DUMMYFUNCTION("""COMPUTED_VALUE"""),12.3)</f>
        <v>12.3</v>
      </c>
      <c r="O77" s="40">
        <f ca="1">IFERROR(__xludf.DUMMYFUNCTION("""COMPUTED_VALUE"""),2.2)</f>
        <v>2.2000000000000002</v>
      </c>
      <c r="P77" s="37">
        <f ca="1">IFERROR(__xludf.DUMMYFUNCTION("""COMPUTED_VALUE"""),2)</f>
        <v>2</v>
      </c>
      <c r="Q77" s="37">
        <f ca="1">IFERROR(__xludf.DUMMYFUNCTION("""COMPUTED_VALUE"""),1)</f>
        <v>1</v>
      </c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F77" s="37"/>
      <c r="AG77" s="37"/>
      <c r="AH77" s="37"/>
      <c r="AI77" s="37"/>
      <c r="AJ77" s="37"/>
    </row>
    <row r="78" spans="1:36" x14ac:dyDescent="0.35">
      <c r="A78" s="37" t="str">
        <f ca="1">IFERROR(__xludf.DUMMYFUNCTION("""COMPUTED_VALUE"""),"5060,00")</f>
        <v>5060,00</v>
      </c>
      <c r="B78" s="37" t="str">
        <f ca="1">IFERROR(__xludf.DUMMYFUNCTION("""COMPUTED_VALUE"""),"Intraclastic grainstone")</f>
        <v>Intraclastic grainstone</v>
      </c>
      <c r="C78" s="37">
        <f ca="1">IFERROR(__xludf.DUMMYFUNCTION("""COMPUTED_VALUE"""),9)</f>
        <v>9</v>
      </c>
      <c r="D78" s="37">
        <f ca="1">IFERROR(__xludf.DUMMYFUNCTION("""COMPUTED_VALUE"""),81)</f>
        <v>81</v>
      </c>
      <c r="E78" s="37">
        <f ca="1">IFERROR(__xludf.DUMMYFUNCTION("""COMPUTED_VALUE"""),9)</f>
        <v>9</v>
      </c>
      <c r="F78" s="37">
        <f ca="1">IFERROR(__xludf.DUMMYFUNCTION("""COMPUTED_VALUE"""),0)</f>
        <v>0</v>
      </c>
      <c r="G78" s="37">
        <f ca="1">IFERROR(__xludf.DUMMYFUNCTION("""COMPUTED_VALUE"""),0)</f>
        <v>0</v>
      </c>
      <c r="H78" s="37">
        <f ca="1">IFERROR(__xludf.DUMMYFUNCTION("""COMPUTED_VALUE"""),4)</f>
        <v>4</v>
      </c>
      <c r="I78" s="37">
        <f ca="1">IFERROR(__xludf.DUMMYFUNCTION("""COMPUTED_VALUE"""),0)</f>
        <v>0</v>
      </c>
      <c r="J78" s="37">
        <f ca="1">IFERROR(__xludf.DUMMYFUNCTION("""COMPUTED_VALUE"""),5)</f>
        <v>5</v>
      </c>
      <c r="K78" s="37">
        <f ca="1">IFERROR(__xludf.DUMMYFUNCTION("""COMPUTED_VALUE"""),5)</f>
        <v>5</v>
      </c>
      <c r="L78" s="37">
        <f ca="1">IFERROR(__xludf.DUMMYFUNCTION("""COMPUTED_VALUE"""),0)</f>
        <v>0</v>
      </c>
      <c r="M78" s="37">
        <f ca="1">IFERROR(__xludf.DUMMYFUNCTION("""COMPUTED_VALUE"""),1)</f>
        <v>1</v>
      </c>
      <c r="N78" s="39">
        <f ca="1">IFERROR(__xludf.DUMMYFUNCTION("""COMPUTED_VALUE"""),10.8)</f>
        <v>10.8</v>
      </c>
      <c r="O78" s="40">
        <f ca="1">IFERROR(__xludf.DUMMYFUNCTION("""COMPUTED_VALUE"""),1.38)</f>
        <v>1.38</v>
      </c>
      <c r="P78" s="37">
        <f ca="1">IFERROR(__xludf.DUMMYFUNCTION("""COMPUTED_VALUE"""),2)</f>
        <v>2</v>
      </c>
      <c r="Q78" s="37">
        <f ca="1">IFERROR(__xludf.DUMMYFUNCTION("""COMPUTED_VALUE"""),1)</f>
        <v>1</v>
      </c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F78" s="37"/>
      <c r="AG78" s="37"/>
      <c r="AH78" s="37"/>
      <c r="AI78" s="37"/>
      <c r="AJ78" s="37"/>
    </row>
    <row r="79" spans="1:36" x14ac:dyDescent="0.35">
      <c r="A79" s="37" t="str">
        <f ca="1">IFERROR(__xludf.DUMMYFUNCTION("""COMPUTED_VALUE"""),"5061,40")</f>
        <v>5061,40</v>
      </c>
      <c r="B79" s="37" t="str">
        <f ca="1">IFERROR(__xludf.DUMMYFUNCTION("""COMPUTED_VALUE"""),"Intraclastic packstone")</f>
        <v>Intraclastic packstone</v>
      </c>
      <c r="C79" s="37">
        <f ca="1">IFERROR(__xludf.DUMMYFUNCTION("""COMPUTED_VALUE"""),9)</f>
        <v>9</v>
      </c>
      <c r="D79" s="37">
        <f ca="1">IFERROR(__xludf.DUMMYFUNCTION("""COMPUTED_VALUE"""),59)</f>
        <v>59</v>
      </c>
      <c r="E79" s="37">
        <f ca="1">IFERROR(__xludf.DUMMYFUNCTION("""COMPUTED_VALUE"""),30)</f>
        <v>30</v>
      </c>
      <c r="F79" s="37">
        <f ca="1">IFERROR(__xludf.DUMMYFUNCTION("""COMPUTED_VALUE"""),3)</f>
        <v>3</v>
      </c>
      <c r="G79" s="37">
        <f ca="1">IFERROR(__xludf.DUMMYFUNCTION("""COMPUTED_VALUE"""),3)</f>
        <v>3</v>
      </c>
      <c r="H79" s="37">
        <f ca="1">IFERROR(__xludf.DUMMYFUNCTION("""COMPUTED_VALUE"""),4)</f>
        <v>4</v>
      </c>
      <c r="I79" s="37">
        <f ca="1">IFERROR(__xludf.DUMMYFUNCTION("""COMPUTED_VALUE"""),0)</f>
        <v>0</v>
      </c>
      <c r="J79" s="37">
        <f ca="1">IFERROR(__xludf.DUMMYFUNCTION("""COMPUTED_VALUE"""),1)</f>
        <v>1</v>
      </c>
      <c r="K79" s="37">
        <f ca="1">IFERROR(__xludf.DUMMYFUNCTION("""COMPUTED_VALUE"""),4)</f>
        <v>4</v>
      </c>
      <c r="L79" s="37">
        <f ca="1">IFERROR(__xludf.DUMMYFUNCTION("""COMPUTED_VALUE"""),0)</f>
        <v>0</v>
      </c>
      <c r="M79" s="37">
        <f ca="1">IFERROR(__xludf.DUMMYFUNCTION("""COMPUTED_VALUE"""),0)</f>
        <v>0</v>
      </c>
      <c r="N79" s="39">
        <f ca="1">IFERROR(__xludf.DUMMYFUNCTION("""COMPUTED_VALUE"""),16.3)</f>
        <v>16.3</v>
      </c>
      <c r="O79" s="40">
        <f ca="1">IFERROR(__xludf.DUMMYFUNCTION("""COMPUTED_VALUE"""),21.26)</f>
        <v>21.26</v>
      </c>
      <c r="P79" s="37">
        <f ca="1">IFERROR(__xludf.DUMMYFUNCTION("""COMPUTED_VALUE"""),2)</f>
        <v>2</v>
      </c>
      <c r="Q79" s="37">
        <f ca="1">IFERROR(__xludf.DUMMYFUNCTION("""COMPUTED_VALUE"""),1)</f>
        <v>1</v>
      </c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F79" s="37"/>
      <c r="AG79" s="37"/>
      <c r="AH79" s="37"/>
      <c r="AI79" s="37"/>
      <c r="AJ79" s="37"/>
    </row>
    <row r="80" spans="1:36" x14ac:dyDescent="0.35">
      <c r="A80" s="37" t="str">
        <f ca="1">IFERROR(__xludf.DUMMYFUNCTION("""COMPUTED_VALUE"""),"5062,35")</f>
        <v>5062,35</v>
      </c>
      <c r="B80" s="37" t="str">
        <f ca="1">IFERROR(__xludf.DUMMYFUNCTION("""COMPUTED_VALUE"""),"Shrubstone")</f>
        <v>Shrubstone</v>
      </c>
      <c r="C80" s="37">
        <f ca="1">IFERROR(__xludf.DUMMYFUNCTION("""COMPUTED_VALUE"""),1)</f>
        <v>1</v>
      </c>
      <c r="D80" s="37">
        <f ca="1">IFERROR(__xludf.DUMMYFUNCTION("""COMPUTED_VALUE"""),26)</f>
        <v>26</v>
      </c>
      <c r="E80" s="37">
        <f ca="1">IFERROR(__xludf.DUMMYFUNCTION("""COMPUTED_VALUE"""),24)</f>
        <v>24</v>
      </c>
      <c r="F80" s="37">
        <f ca="1">IFERROR(__xludf.DUMMYFUNCTION("""COMPUTED_VALUE"""),2)</f>
        <v>2</v>
      </c>
      <c r="G80" s="37">
        <f ca="1">IFERROR(__xludf.DUMMYFUNCTION("""COMPUTED_VALUE"""),19)</f>
        <v>19</v>
      </c>
      <c r="H80" s="37">
        <f ca="1">IFERROR(__xludf.DUMMYFUNCTION("""COMPUTED_VALUE"""),4)</f>
        <v>4</v>
      </c>
      <c r="I80" s="37">
        <f ca="1">IFERROR(__xludf.DUMMYFUNCTION("""COMPUTED_VALUE"""),0)</f>
        <v>0</v>
      </c>
      <c r="J80" s="37">
        <f ca="1">IFERROR(__xludf.DUMMYFUNCTION("""COMPUTED_VALUE"""),8)</f>
        <v>8</v>
      </c>
      <c r="K80" s="37">
        <f ca="1">IFERROR(__xludf.DUMMYFUNCTION("""COMPUTED_VALUE"""),21)</f>
        <v>21</v>
      </c>
      <c r="L80" s="37">
        <f ca="1">IFERROR(__xludf.DUMMYFUNCTION("""COMPUTED_VALUE"""),1)</f>
        <v>1</v>
      </c>
      <c r="M80" s="37">
        <f ca="1">IFERROR(__xludf.DUMMYFUNCTION("""COMPUTED_VALUE"""),1)</f>
        <v>1</v>
      </c>
      <c r="N80" s="39">
        <f ca="1">IFERROR(__xludf.DUMMYFUNCTION("""COMPUTED_VALUE"""),18)</f>
        <v>18</v>
      </c>
      <c r="O80" s="40">
        <f ca="1">IFERROR(__xludf.DUMMYFUNCTION("""COMPUTED_VALUE"""),1170)</f>
        <v>1170</v>
      </c>
      <c r="P80" s="37">
        <f ca="1">IFERROR(__xludf.DUMMYFUNCTION("""COMPUTED_VALUE"""),1)</f>
        <v>1</v>
      </c>
      <c r="Q80" s="37">
        <f ca="1">IFERROR(__xludf.DUMMYFUNCTION("""COMPUTED_VALUE"""),5)</f>
        <v>5</v>
      </c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F80" s="37"/>
      <c r="AG80" s="37"/>
      <c r="AH80" s="37"/>
      <c r="AI80" s="37"/>
      <c r="AJ80" s="37"/>
    </row>
    <row r="81" spans="1:36" x14ac:dyDescent="0.35">
      <c r="A81" s="37" t="str">
        <f ca="1">IFERROR(__xludf.DUMMYFUNCTION("""COMPUTED_VALUE"""),"5062,90")</f>
        <v>5062,90</v>
      </c>
      <c r="B81" s="37" t="str">
        <f ca="1">IFERROR(__xludf.DUMMYFUNCTION("""COMPUTED_VALUE"""),"Mudstone spherulitic")</f>
        <v>Mudstone spherulitic</v>
      </c>
      <c r="C81" s="37">
        <f ca="1">IFERROR(__xludf.DUMMYFUNCTION("""COMPUTED_VALUE"""),6)</f>
        <v>6</v>
      </c>
      <c r="D81" s="37">
        <f ca="1">IFERROR(__xludf.DUMMYFUNCTION("""COMPUTED_VALUE"""),47)</f>
        <v>47</v>
      </c>
      <c r="E81" s="37">
        <f ca="1">IFERROR(__xludf.DUMMYFUNCTION("""COMPUTED_VALUE"""),42)</f>
        <v>42</v>
      </c>
      <c r="F81" s="37">
        <f ca="1">IFERROR(__xludf.DUMMYFUNCTION("""COMPUTED_VALUE"""),0)</f>
        <v>0</v>
      </c>
      <c r="G81" s="37">
        <f ca="1">IFERROR(__xludf.DUMMYFUNCTION("""COMPUTED_VALUE"""),2)</f>
        <v>2</v>
      </c>
      <c r="H81" s="37">
        <f ca="1">IFERROR(__xludf.DUMMYFUNCTION("""COMPUTED_VALUE"""),4)</f>
        <v>4</v>
      </c>
      <c r="I81" s="37">
        <f ca="1">IFERROR(__xludf.DUMMYFUNCTION("""COMPUTED_VALUE"""),0)</f>
        <v>0</v>
      </c>
      <c r="J81" s="37">
        <f ca="1">IFERROR(__xludf.DUMMYFUNCTION("""COMPUTED_VALUE"""),3)</f>
        <v>3</v>
      </c>
      <c r="K81" s="37">
        <f ca="1">IFERROR(__xludf.DUMMYFUNCTION("""COMPUTED_VALUE"""),6)</f>
        <v>6</v>
      </c>
      <c r="L81" s="37">
        <f ca="1">IFERROR(__xludf.DUMMYFUNCTION("""COMPUTED_VALUE"""),0)</f>
        <v>0</v>
      </c>
      <c r="M81" s="37">
        <f ca="1">IFERROR(__xludf.DUMMYFUNCTION("""COMPUTED_VALUE"""),0)</f>
        <v>0</v>
      </c>
      <c r="N81" s="39">
        <f ca="1">IFERROR(__xludf.DUMMYFUNCTION("""COMPUTED_VALUE"""),12.1)</f>
        <v>12.1</v>
      </c>
      <c r="O81" s="40">
        <f ca="1">IFERROR(__xludf.DUMMYFUNCTION("""COMPUTED_VALUE"""),1.03)</f>
        <v>1.03</v>
      </c>
      <c r="P81" s="37">
        <f ca="1">IFERROR(__xludf.DUMMYFUNCTION("""COMPUTED_VALUE"""),1)</f>
        <v>1</v>
      </c>
      <c r="Q81" s="37">
        <f ca="1">IFERROR(__xludf.DUMMYFUNCTION("""COMPUTED_VALUE"""),1)</f>
        <v>1</v>
      </c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F81" s="37"/>
      <c r="AG81" s="37"/>
      <c r="AH81" s="37"/>
      <c r="AI81" s="37"/>
      <c r="AJ81" s="37"/>
    </row>
    <row r="82" spans="1:36" x14ac:dyDescent="0.35">
      <c r="A82" s="37" t="str">
        <f ca="1">IFERROR(__xludf.DUMMYFUNCTION("""COMPUTED_VALUE"""),"5063,55")</f>
        <v>5063,55</v>
      </c>
      <c r="B82" s="37" t="str">
        <f ca="1">IFERROR(__xludf.DUMMYFUNCTION("""COMPUTED_VALUE"""),"Mudstone spherulitic")</f>
        <v>Mudstone spherulitic</v>
      </c>
      <c r="C82" s="37">
        <f ca="1">IFERROR(__xludf.DUMMYFUNCTION("""COMPUTED_VALUE"""),6)</f>
        <v>6</v>
      </c>
      <c r="D82" s="37">
        <f ca="1">IFERROR(__xludf.DUMMYFUNCTION("""COMPUTED_VALUE"""),22)</f>
        <v>22</v>
      </c>
      <c r="E82" s="37">
        <f ca="1">IFERROR(__xludf.DUMMYFUNCTION("""COMPUTED_VALUE"""),52)</f>
        <v>52</v>
      </c>
      <c r="F82" s="37">
        <f ca="1">IFERROR(__xludf.DUMMYFUNCTION("""COMPUTED_VALUE"""),1)</f>
        <v>1</v>
      </c>
      <c r="G82" s="37">
        <f ca="1">IFERROR(__xludf.DUMMYFUNCTION("""COMPUTED_VALUE"""),12)</f>
        <v>12</v>
      </c>
      <c r="H82" s="37">
        <f ca="1">IFERROR(__xludf.DUMMYFUNCTION("""COMPUTED_VALUE"""),4)</f>
        <v>4</v>
      </c>
      <c r="I82" s="37">
        <f ca="1">IFERROR(__xludf.DUMMYFUNCTION("""COMPUTED_VALUE"""),0)</f>
        <v>0</v>
      </c>
      <c r="J82" s="37">
        <f ca="1">IFERROR(__xludf.DUMMYFUNCTION("""COMPUTED_VALUE"""),4)</f>
        <v>4</v>
      </c>
      <c r="K82" s="37">
        <f ca="1">IFERROR(__xludf.DUMMYFUNCTION("""COMPUTED_VALUE"""),9)</f>
        <v>9</v>
      </c>
      <c r="L82" s="37">
        <f ca="1">IFERROR(__xludf.DUMMYFUNCTION("""COMPUTED_VALUE"""),0)</f>
        <v>0</v>
      </c>
      <c r="M82" s="37">
        <f ca="1">IFERROR(__xludf.DUMMYFUNCTION("""COMPUTED_VALUE"""),1)</f>
        <v>1</v>
      </c>
      <c r="N82" s="39">
        <f ca="1">IFERROR(__xludf.DUMMYFUNCTION("""COMPUTED_VALUE"""),12.8)</f>
        <v>12.8</v>
      </c>
      <c r="O82" s="40">
        <f ca="1">IFERROR(__xludf.DUMMYFUNCTION("""COMPUTED_VALUE"""),5.72)</f>
        <v>5.72</v>
      </c>
      <c r="P82" s="37">
        <f ca="1">IFERROR(__xludf.DUMMYFUNCTION("""COMPUTED_VALUE"""),1)</f>
        <v>1</v>
      </c>
      <c r="Q82" s="37">
        <f ca="1">IFERROR(__xludf.DUMMYFUNCTION("""COMPUTED_VALUE"""),1)</f>
        <v>1</v>
      </c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F82" s="37"/>
      <c r="AG82" s="37"/>
      <c r="AH82" s="37"/>
      <c r="AI82" s="37"/>
      <c r="AJ82" s="37"/>
    </row>
    <row r="83" spans="1:36" x14ac:dyDescent="0.35">
      <c r="A83" s="37" t="str">
        <f ca="1">IFERROR(__xludf.DUMMYFUNCTION("""COMPUTED_VALUE"""),"5063,80")</f>
        <v>5063,80</v>
      </c>
      <c r="B83" s="37" t="str">
        <f ca="1">IFERROR(__xludf.DUMMYFUNCTION("""COMPUTED_VALUE"""),"Intraclastic grainstone")</f>
        <v>Intraclastic grainstone</v>
      </c>
      <c r="C83" s="37">
        <f ca="1">IFERROR(__xludf.DUMMYFUNCTION("""COMPUTED_VALUE"""),9)</f>
        <v>9</v>
      </c>
      <c r="D83" s="37">
        <f ca="1">IFERROR(__xludf.DUMMYFUNCTION("""COMPUTED_VALUE"""),67)</f>
        <v>67</v>
      </c>
      <c r="E83" s="37">
        <f ca="1">IFERROR(__xludf.DUMMYFUNCTION("""COMPUTED_VALUE"""),8)</f>
        <v>8</v>
      </c>
      <c r="F83" s="37">
        <f ca="1">IFERROR(__xludf.DUMMYFUNCTION("""COMPUTED_VALUE"""),0)</f>
        <v>0</v>
      </c>
      <c r="G83" s="37">
        <f ca="1">IFERROR(__xludf.DUMMYFUNCTION("""COMPUTED_VALUE"""),1)</f>
        <v>1</v>
      </c>
      <c r="H83" s="37">
        <f ca="1">IFERROR(__xludf.DUMMYFUNCTION("""COMPUTED_VALUE"""),4)</f>
        <v>4</v>
      </c>
      <c r="I83" s="37">
        <f ca="1">IFERROR(__xludf.DUMMYFUNCTION("""COMPUTED_VALUE"""),0)</f>
        <v>0</v>
      </c>
      <c r="J83" s="37">
        <f ca="1">IFERROR(__xludf.DUMMYFUNCTION("""COMPUTED_VALUE"""),7)</f>
        <v>7</v>
      </c>
      <c r="K83" s="37">
        <f ca="1">IFERROR(__xludf.DUMMYFUNCTION("""COMPUTED_VALUE"""),17)</f>
        <v>17</v>
      </c>
      <c r="L83" s="37">
        <f ca="1">IFERROR(__xludf.DUMMYFUNCTION("""COMPUTED_VALUE"""),1)</f>
        <v>1</v>
      </c>
      <c r="M83" s="37">
        <f ca="1">IFERROR(__xludf.DUMMYFUNCTION("""COMPUTED_VALUE"""),1)</f>
        <v>1</v>
      </c>
      <c r="N83" s="39">
        <f ca="1">IFERROR(__xludf.DUMMYFUNCTION("""COMPUTED_VALUE"""),20)</f>
        <v>20</v>
      </c>
      <c r="O83" s="40">
        <f ca="1">IFERROR(__xludf.DUMMYFUNCTION("""COMPUTED_VALUE"""),488)</f>
        <v>488</v>
      </c>
      <c r="P83" s="37">
        <f ca="1">IFERROR(__xludf.DUMMYFUNCTION("""COMPUTED_VALUE"""),1)</f>
        <v>1</v>
      </c>
      <c r="Q83" s="37">
        <f ca="1">IFERROR(__xludf.DUMMYFUNCTION("""COMPUTED_VALUE"""),3)</f>
        <v>3</v>
      </c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F83" s="37"/>
      <c r="AG83" s="37"/>
      <c r="AH83" s="37"/>
      <c r="AI83" s="37"/>
      <c r="AJ83" s="37"/>
    </row>
    <row r="84" spans="1:36" x14ac:dyDescent="0.35">
      <c r="A84" s="37" t="str">
        <f ca="1">IFERROR(__xludf.DUMMYFUNCTION("""COMPUTED_VALUE"""),"5064,35")</f>
        <v>5064,35</v>
      </c>
      <c r="B84" s="37" t="str">
        <f ca="1">IFERROR(__xludf.DUMMYFUNCTION("""COMPUTED_VALUE"""),"Intraclastic packstone")</f>
        <v>Intraclastic packstone</v>
      </c>
      <c r="C84" s="37">
        <f ca="1">IFERROR(__xludf.DUMMYFUNCTION("""COMPUTED_VALUE"""),9)</f>
        <v>9</v>
      </c>
      <c r="D84" s="37">
        <f ca="1">IFERROR(__xludf.DUMMYFUNCTION("""COMPUTED_VALUE"""),61)</f>
        <v>61</v>
      </c>
      <c r="E84" s="37">
        <f ca="1">IFERROR(__xludf.DUMMYFUNCTION("""COMPUTED_VALUE"""),17)</f>
        <v>17</v>
      </c>
      <c r="F84" s="37">
        <f ca="1">IFERROR(__xludf.DUMMYFUNCTION("""COMPUTED_VALUE"""),2)</f>
        <v>2</v>
      </c>
      <c r="G84" s="37">
        <f ca="1">IFERROR(__xludf.DUMMYFUNCTION("""COMPUTED_VALUE"""),2)</f>
        <v>2</v>
      </c>
      <c r="H84" s="37">
        <f ca="1">IFERROR(__xludf.DUMMYFUNCTION("""COMPUTED_VALUE"""),4)</f>
        <v>4</v>
      </c>
      <c r="I84" s="37">
        <f ca="1">IFERROR(__xludf.DUMMYFUNCTION("""COMPUTED_VALUE"""),0)</f>
        <v>0</v>
      </c>
      <c r="J84" s="37">
        <f ca="1">IFERROR(__xludf.DUMMYFUNCTION("""COMPUTED_VALUE"""),5)</f>
        <v>5</v>
      </c>
      <c r="K84" s="37">
        <f ca="1">IFERROR(__xludf.DUMMYFUNCTION("""COMPUTED_VALUE"""),13)</f>
        <v>13</v>
      </c>
      <c r="L84" s="37">
        <f ca="1">IFERROR(__xludf.DUMMYFUNCTION("""COMPUTED_VALUE"""),0)</f>
        <v>0</v>
      </c>
      <c r="M84" s="37">
        <f ca="1">IFERROR(__xludf.DUMMYFUNCTION("""COMPUTED_VALUE"""),1)</f>
        <v>1</v>
      </c>
      <c r="N84" s="39">
        <f ca="1">IFERROR(__xludf.DUMMYFUNCTION("""COMPUTED_VALUE"""),18.2)</f>
        <v>18.2</v>
      </c>
      <c r="O84" s="40">
        <f ca="1">IFERROR(__xludf.DUMMYFUNCTION("""COMPUTED_VALUE"""),81.2)</f>
        <v>81.2</v>
      </c>
      <c r="P84" s="37">
        <f ca="1">IFERROR(__xludf.DUMMYFUNCTION("""COMPUTED_VALUE"""),2)</f>
        <v>2</v>
      </c>
      <c r="Q84" s="37">
        <f ca="1">IFERROR(__xludf.DUMMYFUNCTION("""COMPUTED_VALUE"""),2)</f>
        <v>2</v>
      </c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F84" s="37"/>
      <c r="AG84" s="37"/>
      <c r="AH84" s="37"/>
      <c r="AI84" s="37"/>
      <c r="AJ84" s="37"/>
    </row>
    <row r="85" spans="1:36" x14ac:dyDescent="0.35">
      <c r="A85" s="37" t="str">
        <f ca="1">IFERROR(__xludf.DUMMYFUNCTION("""COMPUTED_VALUE"""),"5064,90")</f>
        <v>5064,90</v>
      </c>
      <c r="B85" s="37" t="str">
        <f ca="1">IFERROR(__xludf.DUMMYFUNCTION("""COMPUTED_VALUE"""),"Intraclastic grainstone")</f>
        <v>Intraclastic grainstone</v>
      </c>
      <c r="C85" s="37">
        <f ca="1">IFERROR(__xludf.DUMMYFUNCTION("""COMPUTED_VALUE"""),8)</f>
        <v>8</v>
      </c>
      <c r="D85" s="37">
        <f ca="1">IFERROR(__xludf.DUMMYFUNCTION("""COMPUTED_VALUE"""),64)</f>
        <v>64</v>
      </c>
      <c r="E85" s="37">
        <f ca="1">IFERROR(__xludf.DUMMYFUNCTION("""COMPUTED_VALUE"""),5)</f>
        <v>5</v>
      </c>
      <c r="F85" s="37">
        <f ca="1">IFERROR(__xludf.DUMMYFUNCTION("""COMPUTED_VALUE"""),0)</f>
        <v>0</v>
      </c>
      <c r="G85" s="37">
        <f ca="1">IFERROR(__xludf.DUMMYFUNCTION("""COMPUTED_VALUE"""),1)</f>
        <v>1</v>
      </c>
      <c r="H85" s="37">
        <f ca="1">IFERROR(__xludf.DUMMYFUNCTION("""COMPUTED_VALUE"""),4)</f>
        <v>4</v>
      </c>
      <c r="I85" s="37">
        <f ca="1">IFERROR(__xludf.DUMMYFUNCTION("""COMPUTED_VALUE"""),0)</f>
        <v>0</v>
      </c>
      <c r="J85" s="37">
        <f ca="1">IFERROR(__xludf.DUMMYFUNCTION("""COMPUTED_VALUE"""),9)</f>
        <v>9</v>
      </c>
      <c r="K85" s="37">
        <f ca="1">IFERROR(__xludf.DUMMYFUNCTION("""COMPUTED_VALUE"""),21)</f>
        <v>21</v>
      </c>
      <c r="L85" s="37">
        <f ca="1">IFERROR(__xludf.DUMMYFUNCTION("""COMPUTED_VALUE"""),0)</f>
        <v>0</v>
      </c>
      <c r="M85" s="37">
        <f ca="1">IFERROR(__xludf.DUMMYFUNCTION("""COMPUTED_VALUE"""),1)</f>
        <v>1</v>
      </c>
      <c r="N85" s="39">
        <f ca="1">IFERROR(__xludf.DUMMYFUNCTION("""COMPUTED_VALUE"""),20.5)</f>
        <v>20.5</v>
      </c>
      <c r="O85" s="40">
        <f ca="1">IFERROR(__xludf.DUMMYFUNCTION("""COMPUTED_VALUE"""),463)</f>
        <v>463</v>
      </c>
      <c r="P85" s="37">
        <f ca="1">IFERROR(__xludf.DUMMYFUNCTION("""COMPUTED_VALUE"""),2)</f>
        <v>2</v>
      </c>
      <c r="Q85" s="37">
        <f ca="1">IFERROR(__xludf.DUMMYFUNCTION("""COMPUTED_VALUE"""),3)</f>
        <v>3</v>
      </c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F85" s="37"/>
      <c r="AG85" s="37"/>
      <c r="AH85" s="37"/>
      <c r="AI85" s="37"/>
      <c r="AJ85" s="37"/>
    </row>
    <row r="86" spans="1:36" x14ac:dyDescent="0.35">
      <c r="A86" s="37" t="str">
        <f ca="1">IFERROR(__xludf.DUMMYFUNCTION("""COMPUTED_VALUE"""),"5065,65")</f>
        <v>5065,65</v>
      </c>
      <c r="B86" s="37" t="str">
        <f ca="1">IFERROR(__xludf.DUMMYFUNCTION("""COMPUTED_VALUE"""),"Intraclastic grainstone")</f>
        <v>Intraclastic grainstone</v>
      </c>
      <c r="C86" s="37">
        <f ca="1">IFERROR(__xludf.DUMMYFUNCTION("""COMPUTED_VALUE"""),9)</f>
        <v>9</v>
      </c>
      <c r="D86" s="37">
        <f ca="1">IFERROR(__xludf.DUMMYFUNCTION("""COMPUTED_VALUE"""),54)</f>
        <v>54</v>
      </c>
      <c r="E86" s="37">
        <f ca="1">IFERROR(__xludf.DUMMYFUNCTION("""COMPUTED_VALUE"""),8)</f>
        <v>8</v>
      </c>
      <c r="F86" s="37">
        <f ca="1">IFERROR(__xludf.DUMMYFUNCTION("""COMPUTED_VALUE"""),0)</f>
        <v>0</v>
      </c>
      <c r="G86" s="37">
        <f ca="1">IFERROR(__xludf.DUMMYFUNCTION("""COMPUTED_VALUE"""),2)</f>
        <v>2</v>
      </c>
      <c r="H86" s="37">
        <f ca="1">IFERROR(__xludf.DUMMYFUNCTION("""COMPUTED_VALUE"""),4)</f>
        <v>4</v>
      </c>
      <c r="I86" s="37">
        <f ca="1">IFERROR(__xludf.DUMMYFUNCTION("""COMPUTED_VALUE"""),0)</f>
        <v>0</v>
      </c>
      <c r="J86" s="37">
        <f ca="1">IFERROR(__xludf.DUMMYFUNCTION("""COMPUTED_VALUE"""),10)</f>
        <v>10</v>
      </c>
      <c r="K86" s="37">
        <f ca="1">IFERROR(__xludf.DUMMYFUNCTION("""COMPUTED_VALUE"""),26)</f>
        <v>26</v>
      </c>
      <c r="L86" s="37">
        <f ca="1">IFERROR(__xludf.DUMMYFUNCTION("""COMPUTED_VALUE"""),0)</f>
        <v>0</v>
      </c>
      <c r="M86" s="37">
        <f ca="1">IFERROR(__xludf.DUMMYFUNCTION("""COMPUTED_VALUE"""),1)</f>
        <v>1</v>
      </c>
      <c r="N86" s="39">
        <f ca="1">IFERROR(__xludf.DUMMYFUNCTION("""COMPUTED_VALUE"""),19.8)</f>
        <v>19.8</v>
      </c>
      <c r="O86" s="40">
        <f ca="1">IFERROR(__xludf.DUMMYFUNCTION("""COMPUTED_VALUE"""),361)</f>
        <v>361</v>
      </c>
      <c r="P86" s="37">
        <f ca="1">IFERROR(__xludf.DUMMYFUNCTION("""COMPUTED_VALUE"""),2)</f>
        <v>2</v>
      </c>
      <c r="Q86" s="37">
        <f ca="1">IFERROR(__xludf.DUMMYFUNCTION("""COMPUTED_VALUE"""),3)</f>
        <v>3</v>
      </c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F86" s="37"/>
      <c r="AG86" s="37"/>
      <c r="AH86" s="37"/>
      <c r="AI86" s="37"/>
      <c r="AJ86" s="37"/>
    </row>
    <row r="87" spans="1:36" x14ac:dyDescent="0.35">
      <c r="A87" s="37" t="str">
        <f ca="1">IFERROR(__xludf.DUMMYFUNCTION("""COMPUTED_VALUE"""),"5066,00")</f>
        <v>5066,00</v>
      </c>
      <c r="B87" s="37" t="str">
        <f ca="1">IFERROR(__xludf.DUMMYFUNCTION("""COMPUTED_VALUE"""),"Spherulitestone")</f>
        <v>Spherulitestone</v>
      </c>
      <c r="C87" s="37">
        <f ca="1">IFERROR(__xludf.DUMMYFUNCTION("""COMPUTED_VALUE"""),2)</f>
        <v>2</v>
      </c>
      <c r="D87" s="37">
        <f ca="1">IFERROR(__xludf.DUMMYFUNCTION("""COMPUTED_VALUE"""),37)</f>
        <v>37</v>
      </c>
      <c r="E87" s="37">
        <f ca="1">IFERROR(__xludf.DUMMYFUNCTION("""COMPUTED_VALUE"""),53)</f>
        <v>53</v>
      </c>
      <c r="F87" s="37">
        <f ca="1">IFERROR(__xludf.DUMMYFUNCTION("""COMPUTED_VALUE"""),3)</f>
        <v>3</v>
      </c>
      <c r="G87" s="37">
        <f ca="1">IFERROR(__xludf.DUMMYFUNCTION("""COMPUTED_VALUE"""),1)</f>
        <v>1</v>
      </c>
      <c r="H87" s="37">
        <f ca="1">IFERROR(__xludf.DUMMYFUNCTION("""COMPUTED_VALUE"""),4)</f>
        <v>4</v>
      </c>
      <c r="I87" s="37">
        <f ca="1">IFERROR(__xludf.DUMMYFUNCTION("""COMPUTED_VALUE"""),0)</f>
        <v>0</v>
      </c>
      <c r="J87" s="37">
        <f ca="1">IFERROR(__xludf.DUMMYFUNCTION("""COMPUTED_VALUE"""),6)</f>
        <v>6</v>
      </c>
      <c r="K87" s="37">
        <f ca="1">IFERROR(__xludf.DUMMYFUNCTION("""COMPUTED_VALUE"""),0)</f>
        <v>0</v>
      </c>
      <c r="L87" s="37">
        <f ca="1">IFERROR(__xludf.DUMMYFUNCTION("""COMPUTED_VALUE"""),0)</f>
        <v>0</v>
      </c>
      <c r="M87" s="37">
        <f ca="1">IFERROR(__xludf.DUMMYFUNCTION("""COMPUTED_VALUE"""),0)</f>
        <v>0</v>
      </c>
      <c r="N87" s="39">
        <f ca="1">IFERROR(__xludf.DUMMYFUNCTION("""COMPUTED_VALUE"""),13.2)</f>
        <v>13.2</v>
      </c>
      <c r="O87" s="40">
        <f ca="1">IFERROR(__xludf.DUMMYFUNCTION("""COMPUTED_VALUE"""),0.273)</f>
        <v>0.27300000000000002</v>
      </c>
      <c r="P87" s="37">
        <f ca="1">IFERROR(__xludf.DUMMYFUNCTION("""COMPUTED_VALUE"""),1)</f>
        <v>1</v>
      </c>
      <c r="Q87" s="37">
        <f ca="1">IFERROR(__xludf.DUMMYFUNCTION("""COMPUTED_VALUE"""),1)</f>
        <v>1</v>
      </c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F87" s="37"/>
      <c r="AG87" s="37"/>
      <c r="AH87" s="37"/>
      <c r="AI87" s="37"/>
      <c r="AJ87" s="37"/>
    </row>
    <row r="88" spans="1:36" x14ac:dyDescent="0.35">
      <c r="A88" s="37" t="str">
        <f ca="1">IFERROR(__xludf.DUMMYFUNCTION("""COMPUTED_VALUE"""),"5067,90")</f>
        <v>5067,90</v>
      </c>
      <c r="B88" s="37" t="str">
        <f ca="1">IFERROR(__xludf.DUMMYFUNCTION("""COMPUTED_VALUE"""),"Intraclastic grainstone")</f>
        <v>Intraclastic grainstone</v>
      </c>
      <c r="C88" s="37">
        <f ca="1">IFERROR(__xludf.DUMMYFUNCTION("""COMPUTED_VALUE"""),9)</f>
        <v>9</v>
      </c>
      <c r="D88" s="37">
        <f ca="1">IFERROR(__xludf.DUMMYFUNCTION("""COMPUTED_VALUE"""),50)</f>
        <v>50</v>
      </c>
      <c r="E88" s="37">
        <f ca="1">IFERROR(__xludf.DUMMYFUNCTION("""COMPUTED_VALUE"""),29)</f>
        <v>29</v>
      </c>
      <c r="F88" s="37">
        <f ca="1">IFERROR(__xludf.DUMMYFUNCTION("""COMPUTED_VALUE"""),0)</f>
        <v>0</v>
      </c>
      <c r="G88" s="37">
        <f ca="1">IFERROR(__xludf.DUMMYFUNCTION("""COMPUTED_VALUE"""),10)</f>
        <v>10</v>
      </c>
      <c r="H88" s="37">
        <f ca="1">IFERROR(__xludf.DUMMYFUNCTION("""COMPUTED_VALUE"""),4)</f>
        <v>4</v>
      </c>
      <c r="I88" s="37">
        <f ca="1">IFERROR(__xludf.DUMMYFUNCTION("""COMPUTED_VALUE"""),1)</f>
        <v>1</v>
      </c>
      <c r="J88" s="37">
        <f ca="1">IFERROR(__xludf.DUMMYFUNCTION("""COMPUTED_VALUE"""),3)</f>
        <v>3</v>
      </c>
      <c r="K88" s="37">
        <f ca="1">IFERROR(__xludf.DUMMYFUNCTION("""COMPUTED_VALUE"""),8)</f>
        <v>8</v>
      </c>
      <c r="L88" s="37">
        <f ca="1">IFERROR(__xludf.DUMMYFUNCTION("""COMPUTED_VALUE"""),0)</f>
        <v>0</v>
      </c>
      <c r="M88" s="37">
        <f ca="1">IFERROR(__xludf.DUMMYFUNCTION("""COMPUTED_VALUE"""),0)</f>
        <v>0</v>
      </c>
      <c r="N88" s="39">
        <f ca="1">IFERROR(__xludf.DUMMYFUNCTION("""COMPUTED_VALUE"""),9.2)</f>
        <v>9.1999999999999993</v>
      </c>
      <c r="O88" s="40">
        <f ca="1">IFERROR(__xludf.DUMMYFUNCTION("""COMPUTED_VALUE"""),0.394)</f>
        <v>0.39400000000000002</v>
      </c>
      <c r="P88" s="37">
        <f ca="1">IFERROR(__xludf.DUMMYFUNCTION("""COMPUTED_VALUE"""),2)</f>
        <v>2</v>
      </c>
      <c r="Q88" s="37">
        <f ca="1">IFERROR(__xludf.DUMMYFUNCTION("""COMPUTED_VALUE"""),1)</f>
        <v>1</v>
      </c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F88" s="37"/>
      <c r="AG88" s="37"/>
      <c r="AH88" s="37"/>
      <c r="AI88" s="37"/>
      <c r="AJ88" s="37"/>
    </row>
    <row r="89" spans="1:36" x14ac:dyDescent="0.35">
      <c r="A89" s="37" t="str">
        <f ca="1">IFERROR(__xludf.DUMMYFUNCTION("""COMPUTED_VALUE"""),"5079,00")</f>
        <v>5079,00</v>
      </c>
      <c r="B89" s="37" t="str">
        <f ca="1">IFERROR(__xludf.DUMMYFUNCTION("""COMPUTED_VALUE"""),"Shrubstone")</f>
        <v>Shrubstone</v>
      </c>
      <c r="C89" s="37">
        <f ca="1">IFERROR(__xludf.DUMMYFUNCTION("""COMPUTED_VALUE"""),1)</f>
        <v>1</v>
      </c>
      <c r="D89" s="37">
        <f ca="1">IFERROR(__xludf.DUMMYFUNCTION("""COMPUTED_VALUE"""),77)</f>
        <v>77</v>
      </c>
      <c r="E89" s="37">
        <f ca="1">IFERROR(__xludf.DUMMYFUNCTION("""COMPUTED_VALUE"""),10)</f>
        <v>10</v>
      </c>
      <c r="F89" s="37">
        <f ca="1">IFERROR(__xludf.DUMMYFUNCTION("""COMPUTED_VALUE"""),0)</f>
        <v>0</v>
      </c>
      <c r="G89" s="37">
        <f ca="1">IFERROR(__xludf.DUMMYFUNCTION("""COMPUTED_VALUE"""),8)</f>
        <v>8</v>
      </c>
      <c r="H89" s="37">
        <f ca="1">IFERROR(__xludf.DUMMYFUNCTION("""COMPUTED_VALUE"""),4)</f>
        <v>4</v>
      </c>
      <c r="I89" s="37">
        <f ca="1">IFERROR(__xludf.DUMMYFUNCTION("""COMPUTED_VALUE"""),0)</f>
        <v>0</v>
      </c>
      <c r="J89" s="37">
        <f ca="1">IFERROR(__xludf.DUMMYFUNCTION("""COMPUTED_VALUE"""),3)</f>
        <v>3</v>
      </c>
      <c r="K89" s="37">
        <f ca="1">IFERROR(__xludf.DUMMYFUNCTION("""COMPUTED_VALUE"""),2)</f>
        <v>2</v>
      </c>
      <c r="L89" s="37">
        <f ca="1">IFERROR(__xludf.DUMMYFUNCTION("""COMPUTED_VALUE"""),0)</f>
        <v>0</v>
      </c>
      <c r="M89" s="37">
        <f ca="1">IFERROR(__xludf.DUMMYFUNCTION("""COMPUTED_VALUE"""),0)</f>
        <v>0</v>
      </c>
      <c r="N89" s="39">
        <f ca="1">IFERROR(__xludf.DUMMYFUNCTION("""COMPUTED_VALUE"""),2.8)</f>
        <v>2.8</v>
      </c>
      <c r="O89" s="40">
        <f ca="1">IFERROR(__xludf.DUMMYFUNCTION("""COMPUTED_VALUE"""),0.001)</f>
        <v>1E-3</v>
      </c>
      <c r="P89" s="37">
        <f ca="1">IFERROR(__xludf.DUMMYFUNCTION("""COMPUTED_VALUE"""),1)</f>
        <v>1</v>
      </c>
      <c r="Q89" s="37">
        <f ca="1">IFERROR(__xludf.DUMMYFUNCTION("""COMPUTED_VALUE"""),1)</f>
        <v>1</v>
      </c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F89" s="37"/>
      <c r="AG89" s="37"/>
      <c r="AH89" s="37"/>
      <c r="AI89" s="37"/>
      <c r="AJ89" s="37"/>
    </row>
    <row r="90" spans="1:36" x14ac:dyDescent="0.35">
      <c r="A90" s="37" t="str">
        <f ca="1">IFERROR(__xludf.DUMMYFUNCTION("""COMPUTED_VALUE"""),"5080,00")</f>
        <v>5080,00</v>
      </c>
      <c r="B90" s="37" t="str">
        <f ca="1">IFERROR(__xludf.DUMMYFUNCTION("""COMPUTED_VALUE"""),"Intraclastic packstone")</f>
        <v>Intraclastic packstone</v>
      </c>
      <c r="C90" s="37">
        <f ca="1">IFERROR(__xludf.DUMMYFUNCTION("""COMPUTED_VALUE"""),9)</f>
        <v>9</v>
      </c>
      <c r="D90" s="37">
        <f ca="1">IFERROR(__xludf.DUMMYFUNCTION("""COMPUTED_VALUE"""),34)</f>
        <v>34</v>
      </c>
      <c r="E90" s="37">
        <f ca="1">IFERROR(__xludf.DUMMYFUNCTION("""COMPUTED_VALUE"""),39)</f>
        <v>39</v>
      </c>
      <c r="F90" s="37">
        <f ca="1">IFERROR(__xludf.DUMMYFUNCTION("""COMPUTED_VALUE"""),6)</f>
        <v>6</v>
      </c>
      <c r="G90" s="37">
        <f ca="1">IFERROR(__xludf.DUMMYFUNCTION("""COMPUTED_VALUE"""),0)</f>
        <v>0</v>
      </c>
      <c r="H90" s="37">
        <f ca="1">IFERROR(__xludf.DUMMYFUNCTION("""COMPUTED_VALUE"""),4)</f>
        <v>4</v>
      </c>
      <c r="I90" s="37">
        <f ca="1">IFERROR(__xludf.DUMMYFUNCTION("""COMPUTED_VALUE"""),0)</f>
        <v>0</v>
      </c>
      <c r="J90" s="37">
        <f ca="1">IFERROR(__xludf.DUMMYFUNCTION("""COMPUTED_VALUE"""),2)</f>
        <v>2</v>
      </c>
      <c r="K90" s="37">
        <f ca="1">IFERROR(__xludf.DUMMYFUNCTION("""COMPUTED_VALUE"""),19)</f>
        <v>19</v>
      </c>
      <c r="L90" s="37">
        <f ca="1">IFERROR(__xludf.DUMMYFUNCTION("""COMPUTED_VALUE"""),0)</f>
        <v>0</v>
      </c>
      <c r="M90" s="37">
        <f ca="1">IFERROR(__xludf.DUMMYFUNCTION("""COMPUTED_VALUE"""),0)</f>
        <v>0</v>
      </c>
      <c r="N90" s="39">
        <f ca="1">IFERROR(__xludf.DUMMYFUNCTION("""COMPUTED_VALUE"""),18)</f>
        <v>18</v>
      </c>
      <c r="O90" s="40">
        <f ca="1">IFERROR(__xludf.DUMMYFUNCTION("""COMPUTED_VALUE"""),41)</f>
        <v>41</v>
      </c>
      <c r="P90" s="37">
        <f ca="1">IFERROR(__xludf.DUMMYFUNCTION("""COMPUTED_VALUE"""),2)</f>
        <v>2</v>
      </c>
      <c r="Q90" s="37">
        <f ca="1">IFERROR(__xludf.DUMMYFUNCTION("""COMPUTED_VALUE"""),1)</f>
        <v>1</v>
      </c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F90" s="37"/>
      <c r="AG90" s="37"/>
      <c r="AH90" s="37"/>
      <c r="AI90" s="37"/>
      <c r="AJ90" s="37"/>
    </row>
    <row r="91" spans="1:36" x14ac:dyDescent="0.35">
      <c r="A91" s="37" t="str">
        <f ca="1">IFERROR(__xludf.DUMMYFUNCTION("""COMPUTED_VALUE"""),"5082,00")</f>
        <v>5082,00</v>
      </c>
      <c r="B91" s="37" t="str">
        <f ca="1">IFERROR(__xludf.DUMMYFUNCTION("""COMPUTED_VALUE"""),"Intraclastic packstone")</f>
        <v>Intraclastic packstone</v>
      </c>
      <c r="C91" s="37">
        <f ca="1">IFERROR(__xludf.DUMMYFUNCTION("""COMPUTED_VALUE"""),9)</f>
        <v>9</v>
      </c>
      <c r="D91" s="37">
        <f ca="1">IFERROR(__xludf.DUMMYFUNCTION("""COMPUTED_VALUE"""),38)</f>
        <v>38</v>
      </c>
      <c r="E91" s="37">
        <f ca="1">IFERROR(__xludf.DUMMYFUNCTION("""COMPUTED_VALUE"""),35)</f>
        <v>35</v>
      </c>
      <c r="F91" s="37">
        <f ca="1">IFERROR(__xludf.DUMMYFUNCTION("""COMPUTED_VALUE"""),1)</f>
        <v>1</v>
      </c>
      <c r="G91" s="37">
        <f ca="1">IFERROR(__xludf.DUMMYFUNCTION("""COMPUTED_VALUE"""),7)</f>
        <v>7</v>
      </c>
      <c r="H91" s="37">
        <f ca="1">IFERROR(__xludf.DUMMYFUNCTION("""COMPUTED_VALUE"""),4)</f>
        <v>4</v>
      </c>
      <c r="I91" s="37">
        <f ca="1">IFERROR(__xludf.DUMMYFUNCTION("""COMPUTED_VALUE"""),0)</f>
        <v>0</v>
      </c>
      <c r="J91" s="37">
        <f ca="1">IFERROR(__xludf.DUMMYFUNCTION("""COMPUTED_VALUE"""),4)</f>
        <v>4</v>
      </c>
      <c r="K91" s="37">
        <f ca="1">IFERROR(__xludf.DUMMYFUNCTION("""COMPUTED_VALUE"""),15)</f>
        <v>15</v>
      </c>
      <c r="L91" s="37">
        <f ca="1">IFERROR(__xludf.DUMMYFUNCTION("""COMPUTED_VALUE"""),0)</f>
        <v>0</v>
      </c>
      <c r="M91" s="37">
        <f ca="1">IFERROR(__xludf.DUMMYFUNCTION("""COMPUTED_VALUE"""),1)</f>
        <v>1</v>
      </c>
      <c r="N91" s="39">
        <f ca="1">IFERROR(__xludf.DUMMYFUNCTION("""COMPUTED_VALUE"""),16)</f>
        <v>16</v>
      </c>
      <c r="O91" s="40">
        <f ca="1">IFERROR(__xludf.DUMMYFUNCTION("""COMPUTED_VALUE"""),27.1)</f>
        <v>27.1</v>
      </c>
      <c r="P91" s="37">
        <f ca="1">IFERROR(__xludf.DUMMYFUNCTION("""COMPUTED_VALUE"""),2)</f>
        <v>2</v>
      </c>
      <c r="Q91" s="37">
        <f ca="1">IFERROR(__xludf.DUMMYFUNCTION("""COMPUTED_VALUE"""),1)</f>
        <v>1</v>
      </c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F91" s="37"/>
      <c r="AG91" s="37"/>
      <c r="AH91" s="37"/>
      <c r="AI91" s="37"/>
      <c r="AJ91" s="37"/>
    </row>
    <row r="92" spans="1:36" x14ac:dyDescent="0.35">
      <c r="A92" s="37" t="str">
        <f ca="1">IFERROR(__xludf.DUMMYFUNCTION("""COMPUTED_VALUE"""),"5087,00")</f>
        <v>5087,00</v>
      </c>
      <c r="B92" s="37" t="str">
        <f ca="1">IFERROR(__xludf.DUMMYFUNCTION("""COMPUTED_VALUE"""),"Intraclastic grainstone")</f>
        <v>Intraclastic grainstone</v>
      </c>
      <c r="C92" s="37">
        <f ca="1">IFERROR(__xludf.DUMMYFUNCTION("""COMPUTED_VALUE"""),9)</f>
        <v>9</v>
      </c>
      <c r="D92" s="37">
        <f ca="1">IFERROR(__xludf.DUMMYFUNCTION("""COMPUTED_VALUE"""),49)</f>
        <v>49</v>
      </c>
      <c r="E92" s="37">
        <f ca="1">IFERROR(__xludf.DUMMYFUNCTION("""COMPUTED_VALUE"""),29)</f>
        <v>29</v>
      </c>
      <c r="F92" s="37">
        <f ca="1">IFERROR(__xludf.DUMMYFUNCTION("""COMPUTED_VALUE"""),0)</f>
        <v>0</v>
      </c>
      <c r="G92" s="37">
        <f ca="1">IFERROR(__xludf.DUMMYFUNCTION("""COMPUTED_VALUE"""),6)</f>
        <v>6</v>
      </c>
      <c r="H92" s="37">
        <f ca="1">IFERROR(__xludf.DUMMYFUNCTION("""COMPUTED_VALUE"""),4)</f>
        <v>4</v>
      </c>
      <c r="I92" s="37">
        <f ca="1">IFERROR(__xludf.DUMMYFUNCTION("""COMPUTED_VALUE"""),1)</f>
        <v>1</v>
      </c>
      <c r="J92" s="37">
        <f ca="1">IFERROR(__xludf.DUMMYFUNCTION("""COMPUTED_VALUE"""),6)</f>
        <v>6</v>
      </c>
      <c r="K92" s="37">
        <f ca="1">IFERROR(__xludf.DUMMYFUNCTION("""COMPUTED_VALUE"""),10)</f>
        <v>10</v>
      </c>
      <c r="L92" s="37">
        <f ca="1">IFERROR(__xludf.DUMMYFUNCTION("""COMPUTED_VALUE"""),0)</f>
        <v>0</v>
      </c>
      <c r="M92" s="37">
        <f ca="1">IFERROR(__xludf.DUMMYFUNCTION("""COMPUTED_VALUE"""),0)</f>
        <v>0</v>
      </c>
      <c r="N92" s="39">
        <f ca="1">IFERROR(__xludf.DUMMYFUNCTION("""COMPUTED_VALUE"""),8.7)</f>
        <v>8.6999999999999993</v>
      </c>
      <c r="O92" s="40">
        <f ca="1">IFERROR(__xludf.DUMMYFUNCTION("""COMPUTED_VALUE"""),0.174)</f>
        <v>0.17399999999999999</v>
      </c>
      <c r="P92" s="37">
        <f ca="1">IFERROR(__xludf.DUMMYFUNCTION("""COMPUTED_VALUE"""),2)</f>
        <v>2</v>
      </c>
      <c r="Q92" s="37">
        <f ca="1">IFERROR(__xludf.DUMMYFUNCTION("""COMPUTED_VALUE"""),1)</f>
        <v>1</v>
      </c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F92" s="37"/>
      <c r="AG92" s="37"/>
      <c r="AH92" s="37"/>
      <c r="AI92" s="37"/>
      <c r="AJ92" s="37"/>
    </row>
    <row r="93" spans="1:36" x14ac:dyDescent="0.35">
      <c r="A93" s="37" t="str">
        <f ca="1">IFERROR(__xludf.DUMMYFUNCTION("""COMPUTED_VALUE"""),"5093,00")</f>
        <v>5093,00</v>
      </c>
      <c r="B93" s="37" t="str">
        <f ca="1">IFERROR(__xludf.DUMMYFUNCTION("""COMPUTED_VALUE"""),"Intraclastic grainstone")</f>
        <v>Intraclastic grainstone</v>
      </c>
      <c r="C93" s="37">
        <f ca="1">IFERROR(__xludf.DUMMYFUNCTION("""COMPUTED_VALUE"""),9)</f>
        <v>9</v>
      </c>
      <c r="D93" s="37">
        <f ca="1">IFERROR(__xludf.DUMMYFUNCTION("""COMPUTED_VALUE"""),53)</f>
        <v>53</v>
      </c>
      <c r="E93" s="37">
        <f ca="1">IFERROR(__xludf.DUMMYFUNCTION("""COMPUTED_VALUE"""),34)</f>
        <v>34</v>
      </c>
      <c r="F93" s="37">
        <f ca="1">IFERROR(__xludf.DUMMYFUNCTION("""COMPUTED_VALUE"""),0)</f>
        <v>0</v>
      </c>
      <c r="G93" s="37">
        <f ca="1">IFERROR(__xludf.DUMMYFUNCTION("""COMPUTED_VALUE"""),0)</f>
        <v>0</v>
      </c>
      <c r="H93" s="37">
        <f ca="1">IFERROR(__xludf.DUMMYFUNCTION("""COMPUTED_VALUE"""),4)</f>
        <v>4</v>
      </c>
      <c r="I93" s="37">
        <f ca="1">IFERROR(__xludf.DUMMYFUNCTION("""COMPUTED_VALUE"""),0)</f>
        <v>0</v>
      </c>
      <c r="J93" s="37">
        <f ca="1">IFERROR(__xludf.DUMMYFUNCTION("""COMPUTED_VALUE"""),10)</f>
        <v>10</v>
      </c>
      <c r="K93" s="37">
        <f ca="1">IFERROR(__xludf.DUMMYFUNCTION("""COMPUTED_VALUE"""),3)</f>
        <v>3</v>
      </c>
      <c r="L93" s="37">
        <f ca="1">IFERROR(__xludf.DUMMYFUNCTION("""COMPUTED_VALUE"""),0)</f>
        <v>0</v>
      </c>
      <c r="M93" s="37">
        <f ca="1">IFERROR(__xludf.DUMMYFUNCTION("""COMPUTED_VALUE"""),0)</f>
        <v>0</v>
      </c>
      <c r="N93" s="39">
        <f ca="1">IFERROR(__xludf.DUMMYFUNCTION("""COMPUTED_VALUE"""),10)</f>
        <v>10</v>
      </c>
      <c r="O93" s="40">
        <f ca="1">IFERROR(__xludf.DUMMYFUNCTION("""COMPUTED_VALUE"""),0.537)</f>
        <v>0.53700000000000003</v>
      </c>
      <c r="P93" s="37">
        <f ca="1">IFERROR(__xludf.DUMMYFUNCTION("""COMPUTED_VALUE"""),2)</f>
        <v>2</v>
      </c>
      <c r="Q93" s="37">
        <f ca="1">IFERROR(__xludf.DUMMYFUNCTION("""COMPUTED_VALUE"""),1)</f>
        <v>1</v>
      </c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F93" s="37"/>
      <c r="AG93" s="37"/>
      <c r="AH93" s="37"/>
      <c r="AI93" s="37"/>
      <c r="AJ93" s="37"/>
    </row>
    <row r="94" spans="1:36" x14ac:dyDescent="0.35">
      <c r="A94" s="37" t="str">
        <f ca="1">IFERROR(__xludf.DUMMYFUNCTION("""COMPUTED_VALUE"""),"5095,00")</f>
        <v>5095,00</v>
      </c>
      <c r="B94" s="37" t="str">
        <f ca="1">IFERROR(__xludf.DUMMYFUNCTION("""COMPUTED_VALUE"""),"Shrubstone")</f>
        <v>Shrubstone</v>
      </c>
      <c r="C94" s="37">
        <f ca="1">IFERROR(__xludf.DUMMYFUNCTION("""COMPUTED_VALUE"""),1)</f>
        <v>1</v>
      </c>
      <c r="D94" s="37">
        <f ca="1">IFERROR(__xludf.DUMMYFUNCTION("""COMPUTED_VALUE"""),71)</f>
        <v>71</v>
      </c>
      <c r="E94" s="37">
        <f ca="1">IFERROR(__xludf.DUMMYFUNCTION("""COMPUTED_VALUE"""),16)</f>
        <v>16</v>
      </c>
      <c r="F94" s="37">
        <f ca="1">IFERROR(__xludf.DUMMYFUNCTION("""COMPUTED_VALUE"""),1)</f>
        <v>1</v>
      </c>
      <c r="G94" s="37">
        <f ca="1">IFERROR(__xludf.DUMMYFUNCTION("""COMPUTED_VALUE"""),1)</f>
        <v>1</v>
      </c>
      <c r="H94" s="37">
        <f ca="1">IFERROR(__xludf.DUMMYFUNCTION("""COMPUTED_VALUE"""),4)</f>
        <v>4</v>
      </c>
      <c r="I94" s="37">
        <f ca="1">IFERROR(__xludf.DUMMYFUNCTION("""COMPUTED_VALUE"""),0)</f>
        <v>0</v>
      </c>
      <c r="J94" s="37">
        <f ca="1">IFERROR(__xludf.DUMMYFUNCTION("""COMPUTED_VALUE"""),7)</f>
        <v>7</v>
      </c>
      <c r="K94" s="37">
        <f ca="1">IFERROR(__xludf.DUMMYFUNCTION("""COMPUTED_VALUE"""),4)</f>
        <v>4</v>
      </c>
      <c r="L94" s="37">
        <f ca="1">IFERROR(__xludf.DUMMYFUNCTION("""COMPUTED_VALUE"""),0)</f>
        <v>0</v>
      </c>
      <c r="M94" s="37">
        <f ca="1">IFERROR(__xludf.DUMMYFUNCTION("""COMPUTED_VALUE"""),0)</f>
        <v>0</v>
      </c>
      <c r="N94" s="39">
        <f ca="1">IFERROR(__xludf.DUMMYFUNCTION("""COMPUTED_VALUE"""),19)</f>
        <v>19</v>
      </c>
      <c r="O94" s="40">
        <f ca="1">IFERROR(__xludf.DUMMYFUNCTION("""COMPUTED_VALUE"""),74.8)</f>
        <v>74.8</v>
      </c>
      <c r="P94" s="37">
        <f ca="1">IFERROR(__xludf.DUMMYFUNCTION("""COMPUTED_VALUE"""),1)</f>
        <v>1</v>
      </c>
      <c r="Q94" s="37">
        <f ca="1">IFERROR(__xludf.DUMMYFUNCTION("""COMPUTED_VALUE"""),2)</f>
        <v>2</v>
      </c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F94" s="37"/>
      <c r="AG94" s="37"/>
      <c r="AH94" s="37"/>
      <c r="AI94" s="37"/>
      <c r="AJ94" s="37"/>
    </row>
    <row r="95" spans="1:36" x14ac:dyDescent="0.35">
      <c r="A95" s="37" t="str">
        <f ca="1">IFERROR(__xludf.DUMMYFUNCTION("""COMPUTED_VALUE"""),"5099,00")</f>
        <v>5099,00</v>
      </c>
      <c r="B95" s="37" t="str">
        <f ca="1">IFERROR(__xludf.DUMMYFUNCTION("""COMPUTED_VALUE"""),"Shrubstone")</f>
        <v>Shrubstone</v>
      </c>
      <c r="C95" s="37">
        <f ca="1">IFERROR(__xludf.DUMMYFUNCTION("""COMPUTED_VALUE"""),1)</f>
        <v>1</v>
      </c>
      <c r="D95" s="37">
        <f ca="1">IFERROR(__xludf.DUMMYFUNCTION("""COMPUTED_VALUE"""),52)</f>
        <v>52</v>
      </c>
      <c r="E95" s="37">
        <f ca="1">IFERROR(__xludf.DUMMYFUNCTION("""COMPUTED_VALUE"""),0)</f>
        <v>0</v>
      </c>
      <c r="F95" s="37">
        <f ca="1">IFERROR(__xludf.DUMMYFUNCTION("""COMPUTED_VALUE"""),0)</f>
        <v>0</v>
      </c>
      <c r="G95" s="37">
        <f ca="1">IFERROR(__xludf.DUMMYFUNCTION("""COMPUTED_VALUE"""),42)</f>
        <v>42</v>
      </c>
      <c r="H95" s="37">
        <f ca="1">IFERROR(__xludf.DUMMYFUNCTION("""COMPUTED_VALUE"""),4)</f>
        <v>4</v>
      </c>
      <c r="I95" s="37">
        <f ca="1">IFERROR(__xludf.DUMMYFUNCTION("""COMPUTED_VALUE"""),1)</f>
        <v>1</v>
      </c>
      <c r="J95" s="37">
        <f ca="1">IFERROR(__xludf.DUMMYFUNCTION("""COMPUTED_VALUE"""),3)</f>
        <v>3</v>
      </c>
      <c r="K95" s="37">
        <f ca="1">IFERROR(__xludf.DUMMYFUNCTION("""COMPUTED_VALUE"""),3)</f>
        <v>3</v>
      </c>
      <c r="L95" s="37">
        <f ca="1">IFERROR(__xludf.DUMMYFUNCTION("""COMPUTED_VALUE"""),0)</f>
        <v>0</v>
      </c>
      <c r="M95" s="37">
        <f ca="1">IFERROR(__xludf.DUMMYFUNCTION("""COMPUTED_VALUE"""),0)</f>
        <v>0</v>
      </c>
      <c r="N95" s="39">
        <f ca="1">IFERROR(__xludf.DUMMYFUNCTION("""COMPUTED_VALUE"""),5.9)</f>
        <v>5.9</v>
      </c>
      <c r="O95" s="40">
        <f ca="1">IFERROR(__xludf.DUMMYFUNCTION("""COMPUTED_VALUE"""),0.664)</f>
        <v>0.66400000000000003</v>
      </c>
      <c r="P95" s="37">
        <f ca="1">IFERROR(__xludf.DUMMYFUNCTION("""COMPUTED_VALUE"""),1)</f>
        <v>1</v>
      </c>
      <c r="Q95" s="37">
        <f ca="1">IFERROR(__xludf.DUMMYFUNCTION("""COMPUTED_VALUE"""),1)</f>
        <v>1</v>
      </c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F95" s="37"/>
      <c r="AG95" s="37"/>
      <c r="AH95" s="37"/>
      <c r="AI95" s="37"/>
      <c r="AJ95" s="37"/>
    </row>
    <row r="96" spans="1:36" x14ac:dyDescent="0.35">
      <c r="A96" s="37" t="str">
        <f ca="1">IFERROR(__xludf.DUMMYFUNCTION("""COMPUTED_VALUE"""),"5100,00")</f>
        <v>5100,00</v>
      </c>
      <c r="B96" s="37" t="str">
        <f ca="1">IFERROR(__xludf.DUMMYFUNCTION("""COMPUTED_VALUE"""),"Intraclastic packstone")</f>
        <v>Intraclastic packstone</v>
      </c>
      <c r="C96" s="37">
        <f ca="1">IFERROR(__xludf.DUMMYFUNCTION("""COMPUTED_VALUE"""),9)</f>
        <v>9</v>
      </c>
      <c r="D96" s="37">
        <f ca="1">IFERROR(__xludf.DUMMYFUNCTION("""COMPUTED_VALUE"""),53)</f>
        <v>53</v>
      </c>
      <c r="E96" s="37">
        <f ca="1">IFERROR(__xludf.DUMMYFUNCTION("""COMPUTED_VALUE"""),26)</f>
        <v>26</v>
      </c>
      <c r="F96" s="37">
        <f ca="1">IFERROR(__xludf.DUMMYFUNCTION("""COMPUTED_VALUE"""),1)</f>
        <v>1</v>
      </c>
      <c r="G96" s="37">
        <f ca="1">IFERROR(__xludf.DUMMYFUNCTION("""COMPUTED_VALUE"""),3)</f>
        <v>3</v>
      </c>
      <c r="H96" s="37">
        <f ca="1">IFERROR(__xludf.DUMMYFUNCTION("""COMPUTED_VALUE"""),4)</f>
        <v>4</v>
      </c>
      <c r="I96" s="37">
        <f ca="1">IFERROR(__xludf.DUMMYFUNCTION("""COMPUTED_VALUE"""),0)</f>
        <v>0</v>
      </c>
      <c r="J96" s="37">
        <f ca="1">IFERROR(__xludf.DUMMYFUNCTION("""COMPUTED_VALUE"""),8)</f>
        <v>8</v>
      </c>
      <c r="K96" s="37">
        <f ca="1">IFERROR(__xludf.DUMMYFUNCTION("""COMPUTED_VALUE"""),9)</f>
        <v>9</v>
      </c>
      <c r="L96" s="37">
        <f ca="1">IFERROR(__xludf.DUMMYFUNCTION("""COMPUTED_VALUE"""),0)</f>
        <v>0</v>
      </c>
      <c r="M96" s="37">
        <f ca="1">IFERROR(__xludf.DUMMYFUNCTION("""COMPUTED_VALUE"""),1)</f>
        <v>1</v>
      </c>
      <c r="N96" s="39">
        <f ca="1">IFERROR(__xludf.DUMMYFUNCTION("""COMPUTED_VALUE"""),19)</f>
        <v>19</v>
      </c>
      <c r="O96" s="40">
        <f ca="1">IFERROR(__xludf.DUMMYFUNCTION("""COMPUTED_VALUE"""),56)</f>
        <v>56</v>
      </c>
      <c r="P96" s="37">
        <f ca="1">IFERROR(__xludf.DUMMYFUNCTION("""COMPUTED_VALUE"""),2)</f>
        <v>2</v>
      </c>
      <c r="Q96" s="37">
        <f ca="1">IFERROR(__xludf.DUMMYFUNCTION("""COMPUTED_VALUE"""),2)</f>
        <v>2</v>
      </c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F96" s="37"/>
      <c r="AG96" s="37"/>
      <c r="AH96" s="37"/>
      <c r="AI96" s="37"/>
      <c r="AJ96" s="37"/>
    </row>
    <row r="97" spans="1:36" x14ac:dyDescent="0.35">
      <c r="A97" s="37" t="str">
        <f ca="1">IFERROR(__xludf.DUMMYFUNCTION("""COMPUTED_VALUE"""),"5101,00")</f>
        <v>5101,00</v>
      </c>
      <c r="B97" s="37" t="str">
        <f ca="1">IFERROR(__xludf.DUMMYFUNCTION("""COMPUTED_VALUE"""),"Intraclastic packstone")</f>
        <v>Intraclastic packstone</v>
      </c>
      <c r="C97" s="37">
        <f ca="1">IFERROR(__xludf.DUMMYFUNCTION("""COMPUTED_VALUE"""),9)</f>
        <v>9</v>
      </c>
      <c r="D97" s="37">
        <f ca="1">IFERROR(__xludf.DUMMYFUNCTION("""COMPUTED_VALUE"""),64)</f>
        <v>64</v>
      </c>
      <c r="E97" s="37">
        <f ca="1">IFERROR(__xludf.DUMMYFUNCTION("""COMPUTED_VALUE"""),24)</f>
        <v>24</v>
      </c>
      <c r="F97" s="37">
        <f ca="1">IFERROR(__xludf.DUMMYFUNCTION("""COMPUTED_VALUE"""),1)</f>
        <v>1</v>
      </c>
      <c r="G97" s="37">
        <f ca="1">IFERROR(__xludf.DUMMYFUNCTION("""COMPUTED_VALUE"""),0)</f>
        <v>0</v>
      </c>
      <c r="H97" s="37">
        <f ca="1">IFERROR(__xludf.DUMMYFUNCTION("""COMPUTED_VALUE"""),4)</f>
        <v>4</v>
      </c>
      <c r="I97" s="37">
        <f ca="1">IFERROR(__xludf.DUMMYFUNCTION("""COMPUTED_VALUE"""),0)</f>
        <v>0</v>
      </c>
      <c r="J97" s="37">
        <f ca="1">IFERROR(__xludf.DUMMYFUNCTION("""COMPUTED_VALUE"""),6)</f>
        <v>6</v>
      </c>
      <c r="K97" s="37">
        <f ca="1">IFERROR(__xludf.DUMMYFUNCTION("""COMPUTED_VALUE"""),5)</f>
        <v>5</v>
      </c>
      <c r="L97" s="37">
        <f ca="1">IFERROR(__xludf.DUMMYFUNCTION("""COMPUTED_VALUE"""),1)</f>
        <v>1</v>
      </c>
      <c r="M97" s="37">
        <f ca="1">IFERROR(__xludf.DUMMYFUNCTION("""COMPUTED_VALUE"""),0)</f>
        <v>0</v>
      </c>
      <c r="N97" s="39">
        <f ca="1">IFERROR(__xludf.DUMMYFUNCTION("""COMPUTED_VALUE"""),14.9)</f>
        <v>14.9</v>
      </c>
      <c r="O97" s="40">
        <f ca="1">IFERROR(__xludf.DUMMYFUNCTION("""COMPUTED_VALUE"""),21.6)</f>
        <v>21.6</v>
      </c>
      <c r="P97" s="37">
        <f ca="1">IFERROR(__xludf.DUMMYFUNCTION("""COMPUTED_VALUE"""),2)</f>
        <v>2</v>
      </c>
      <c r="Q97" s="37">
        <f ca="1">IFERROR(__xludf.DUMMYFUNCTION("""COMPUTED_VALUE"""),1)</f>
        <v>1</v>
      </c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F97" s="37"/>
      <c r="AG97" s="37"/>
      <c r="AH97" s="37"/>
      <c r="AI97" s="37"/>
      <c r="AJ97" s="37"/>
    </row>
    <row r="98" spans="1:36" x14ac:dyDescent="0.35">
      <c r="A98" s="37" t="str">
        <f ca="1">IFERROR(__xludf.DUMMYFUNCTION("""COMPUTED_VALUE"""),"5116,00")</f>
        <v>5116,00</v>
      </c>
      <c r="B98" s="37" t="str">
        <f ca="1">IFERROR(__xludf.DUMMYFUNCTION("""COMPUTED_VALUE"""),"Shrubstone")</f>
        <v>Shrubstone</v>
      </c>
      <c r="C98" s="37">
        <f ca="1">IFERROR(__xludf.DUMMYFUNCTION("""COMPUTED_VALUE"""),1)</f>
        <v>1</v>
      </c>
      <c r="D98" s="37">
        <f ca="1">IFERROR(__xludf.DUMMYFUNCTION("""COMPUTED_VALUE"""),30)</f>
        <v>30</v>
      </c>
      <c r="E98" s="37">
        <f ca="1">IFERROR(__xludf.DUMMYFUNCTION("""COMPUTED_VALUE"""),20)</f>
        <v>20</v>
      </c>
      <c r="F98" s="37">
        <f ca="1">IFERROR(__xludf.DUMMYFUNCTION("""COMPUTED_VALUE"""),0)</f>
        <v>0</v>
      </c>
      <c r="G98" s="37">
        <f ca="1">IFERROR(__xludf.DUMMYFUNCTION("""COMPUTED_VALUE"""),42)</f>
        <v>42</v>
      </c>
      <c r="H98" s="37">
        <f ca="1">IFERROR(__xludf.DUMMYFUNCTION("""COMPUTED_VALUE"""),4)</f>
        <v>4</v>
      </c>
      <c r="I98" s="37">
        <f ca="1">IFERROR(__xludf.DUMMYFUNCTION("""COMPUTED_VALUE"""),0)</f>
        <v>0</v>
      </c>
      <c r="J98" s="37">
        <f ca="1">IFERROR(__xludf.DUMMYFUNCTION("""COMPUTED_VALUE"""),7)</f>
        <v>7</v>
      </c>
      <c r="K98" s="37">
        <f ca="1">IFERROR(__xludf.DUMMYFUNCTION("""COMPUTED_VALUE"""),1)</f>
        <v>1</v>
      </c>
      <c r="L98" s="37">
        <f ca="1">IFERROR(__xludf.DUMMYFUNCTION("""COMPUTED_VALUE"""),0)</f>
        <v>0</v>
      </c>
      <c r="M98" s="37">
        <f ca="1">IFERROR(__xludf.DUMMYFUNCTION("""COMPUTED_VALUE"""),0)</f>
        <v>0</v>
      </c>
      <c r="N98" s="39">
        <f ca="1">IFERROR(__xludf.DUMMYFUNCTION("""COMPUTED_VALUE"""),4.4)</f>
        <v>4.4000000000000004</v>
      </c>
      <c r="O98" s="40">
        <f ca="1">IFERROR(__xludf.DUMMYFUNCTION("""COMPUTED_VALUE"""),0.034)</f>
        <v>3.4000000000000002E-2</v>
      </c>
      <c r="P98" s="37">
        <f ca="1">IFERROR(__xludf.DUMMYFUNCTION("""COMPUTED_VALUE"""),1)</f>
        <v>1</v>
      </c>
      <c r="Q98" s="37">
        <f ca="1">IFERROR(__xludf.DUMMYFUNCTION("""COMPUTED_VALUE"""),1)</f>
        <v>1</v>
      </c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F98" s="37"/>
      <c r="AG98" s="37"/>
      <c r="AH98" s="37"/>
      <c r="AI98" s="37"/>
      <c r="AJ98" s="37"/>
    </row>
    <row r="99" spans="1:36" x14ac:dyDescent="0.35">
      <c r="A99" s="37" t="str">
        <f ca="1">IFERROR(__xludf.DUMMYFUNCTION("""COMPUTED_VALUE"""),"5121,00")</f>
        <v>5121,00</v>
      </c>
      <c r="B99" s="37" t="str">
        <f ca="1">IFERROR(__xludf.DUMMYFUNCTION("""COMPUTED_VALUE"""),"Intraclastic grainstone")</f>
        <v>Intraclastic grainstone</v>
      </c>
      <c r="C99" s="37">
        <f ca="1">IFERROR(__xludf.DUMMYFUNCTION("""COMPUTED_VALUE"""),9)</f>
        <v>9</v>
      </c>
      <c r="D99" s="37">
        <f ca="1">IFERROR(__xludf.DUMMYFUNCTION("""COMPUTED_VALUE"""),52)</f>
        <v>52</v>
      </c>
      <c r="E99" s="37">
        <f ca="1">IFERROR(__xludf.DUMMYFUNCTION("""COMPUTED_VALUE"""),0)</f>
        <v>0</v>
      </c>
      <c r="F99" s="37">
        <f ca="1">IFERROR(__xludf.DUMMYFUNCTION("""COMPUTED_VALUE"""),0)</f>
        <v>0</v>
      </c>
      <c r="G99" s="37">
        <f ca="1">IFERROR(__xludf.DUMMYFUNCTION("""COMPUTED_VALUE"""),48)</f>
        <v>48</v>
      </c>
      <c r="H99" s="37">
        <f ca="1">IFERROR(__xludf.DUMMYFUNCTION("""COMPUTED_VALUE"""),4)</f>
        <v>4</v>
      </c>
      <c r="I99" s="37">
        <f ca="1">IFERROR(__xludf.DUMMYFUNCTION("""COMPUTED_VALUE"""),1)</f>
        <v>1</v>
      </c>
      <c r="J99" s="37">
        <f ca="1">IFERROR(__xludf.DUMMYFUNCTION("""COMPUTED_VALUE"""),0)</f>
        <v>0</v>
      </c>
      <c r="K99" s="37">
        <f ca="1">IFERROR(__xludf.DUMMYFUNCTION("""COMPUTED_VALUE"""),0)</f>
        <v>0</v>
      </c>
      <c r="L99" s="37">
        <f ca="1">IFERROR(__xludf.DUMMYFUNCTION("""COMPUTED_VALUE"""),0)</f>
        <v>0</v>
      </c>
      <c r="M99" s="37">
        <f ca="1">IFERROR(__xludf.DUMMYFUNCTION("""COMPUTED_VALUE"""),0)</f>
        <v>0</v>
      </c>
      <c r="N99" s="39">
        <f ca="1">IFERROR(__xludf.DUMMYFUNCTION("""COMPUTED_VALUE"""),4.8)</f>
        <v>4.8</v>
      </c>
      <c r="O99" s="40">
        <f ca="1">IFERROR(__xludf.DUMMYFUNCTION("""COMPUTED_VALUE"""),0.784)</f>
        <v>0.78400000000000003</v>
      </c>
      <c r="P99" s="37">
        <f ca="1">IFERROR(__xludf.DUMMYFUNCTION("""COMPUTED_VALUE"""),2)</f>
        <v>2</v>
      </c>
      <c r="Q99" s="37">
        <f ca="1">IFERROR(__xludf.DUMMYFUNCTION("""COMPUTED_VALUE"""),1)</f>
        <v>1</v>
      </c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F99" s="37"/>
      <c r="AG99" s="37"/>
      <c r="AH99" s="37"/>
      <c r="AI99" s="37"/>
      <c r="AJ99" s="37"/>
    </row>
    <row r="100" spans="1:36" x14ac:dyDescent="0.35">
      <c r="A100" s="37" t="str">
        <f ca="1">IFERROR(__xludf.DUMMYFUNCTION("""COMPUTED_VALUE"""),"5133,00")</f>
        <v>5133,00</v>
      </c>
      <c r="B100" s="37" t="str">
        <f ca="1">IFERROR(__xludf.DUMMYFUNCTION("""COMPUTED_VALUE"""),"Intraclastic graisntone")</f>
        <v>Intraclastic graisntone</v>
      </c>
      <c r="C100" s="37">
        <f ca="1">IFERROR(__xludf.DUMMYFUNCTION("""COMPUTED_VALUE"""),9)</f>
        <v>9</v>
      </c>
      <c r="D100" s="37">
        <f ca="1">IFERROR(__xludf.DUMMYFUNCTION("""COMPUTED_VALUE"""),51)</f>
        <v>51</v>
      </c>
      <c r="E100" s="37">
        <f ca="1">IFERROR(__xludf.DUMMYFUNCTION("""COMPUTED_VALUE"""),18)</f>
        <v>18</v>
      </c>
      <c r="F100" s="37">
        <f ca="1">IFERROR(__xludf.DUMMYFUNCTION("""COMPUTED_VALUE"""),0)</f>
        <v>0</v>
      </c>
      <c r="G100" s="37">
        <f ca="1">IFERROR(__xludf.DUMMYFUNCTION("""COMPUTED_VALUE"""),13)</f>
        <v>13</v>
      </c>
      <c r="H100" s="37">
        <f ca="1">IFERROR(__xludf.DUMMYFUNCTION("""COMPUTED_VALUE"""),4)</f>
        <v>4</v>
      </c>
      <c r="I100" s="37">
        <f ca="1">IFERROR(__xludf.DUMMYFUNCTION("""COMPUTED_VALUE"""),0)</f>
        <v>0</v>
      </c>
      <c r="J100" s="37">
        <f ca="1">IFERROR(__xludf.DUMMYFUNCTION("""COMPUTED_VALUE"""),10)</f>
        <v>10</v>
      </c>
      <c r="K100" s="37">
        <f ca="1">IFERROR(__xludf.DUMMYFUNCTION("""COMPUTED_VALUE"""),8)</f>
        <v>8</v>
      </c>
      <c r="L100" s="37">
        <f ca="1">IFERROR(__xludf.DUMMYFUNCTION("""COMPUTED_VALUE"""),1)</f>
        <v>1</v>
      </c>
      <c r="M100" s="37">
        <f ca="1">IFERROR(__xludf.DUMMYFUNCTION("""COMPUTED_VALUE"""),0)</f>
        <v>0</v>
      </c>
      <c r="N100" s="39">
        <f ca="1">IFERROR(__xludf.DUMMYFUNCTION("""COMPUTED_VALUE"""),15.2)</f>
        <v>15.2</v>
      </c>
      <c r="O100" s="40">
        <f ca="1">IFERROR(__xludf.DUMMYFUNCTION("""COMPUTED_VALUE"""),119)</f>
        <v>119</v>
      </c>
      <c r="P100" s="37">
        <f ca="1">IFERROR(__xludf.DUMMYFUNCTION("""COMPUTED_VALUE"""),2)</f>
        <v>2</v>
      </c>
      <c r="Q100" s="37">
        <f ca="1">IFERROR(__xludf.DUMMYFUNCTION("""COMPUTED_VALUE"""),3)</f>
        <v>3</v>
      </c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F100" s="37"/>
      <c r="AG100" s="37"/>
      <c r="AH100" s="37"/>
      <c r="AI100" s="37"/>
      <c r="AJ100" s="37"/>
    </row>
    <row r="101" spans="1:36" x14ac:dyDescent="0.35">
      <c r="A101" s="37" t="str">
        <f ca="1">IFERROR(__xludf.DUMMYFUNCTION("""COMPUTED_VALUE"""),"5138,50")</f>
        <v>5138,50</v>
      </c>
      <c r="B101" s="37" t="str">
        <f ca="1">IFERROR(__xludf.DUMMYFUNCTION("""COMPUTED_VALUE"""),"Intraclastic packstone")</f>
        <v>Intraclastic packstone</v>
      </c>
      <c r="C101" s="37">
        <f ca="1">IFERROR(__xludf.DUMMYFUNCTION("""COMPUTED_VALUE"""),9)</f>
        <v>9</v>
      </c>
      <c r="D101" s="37">
        <f ca="1">IFERROR(__xludf.DUMMYFUNCTION("""COMPUTED_VALUE"""),42)</f>
        <v>42</v>
      </c>
      <c r="E101" s="37">
        <f ca="1">IFERROR(__xludf.DUMMYFUNCTION("""COMPUTED_VALUE"""),20)</f>
        <v>20</v>
      </c>
      <c r="F101" s="37">
        <f ca="1">IFERROR(__xludf.DUMMYFUNCTION("""COMPUTED_VALUE"""),2)</f>
        <v>2</v>
      </c>
      <c r="G101" s="37">
        <f ca="1">IFERROR(__xludf.DUMMYFUNCTION("""COMPUTED_VALUE"""),35)</f>
        <v>35</v>
      </c>
      <c r="H101" s="37">
        <f ca="1">IFERROR(__xludf.DUMMYFUNCTION("""COMPUTED_VALUE"""),4)</f>
        <v>4</v>
      </c>
      <c r="I101" s="37">
        <f ca="1">IFERROR(__xludf.DUMMYFUNCTION("""COMPUTED_VALUE"""),0)</f>
        <v>0</v>
      </c>
      <c r="J101" s="37">
        <f ca="1">IFERROR(__xludf.DUMMYFUNCTION("""COMPUTED_VALUE"""),0)</f>
        <v>0</v>
      </c>
      <c r="K101" s="37">
        <f ca="1">IFERROR(__xludf.DUMMYFUNCTION("""COMPUTED_VALUE"""),1)</f>
        <v>1</v>
      </c>
      <c r="L101" s="37">
        <f ca="1">IFERROR(__xludf.DUMMYFUNCTION("""COMPUTED_VALUE"""),0)</f>
        <v>0</v>
      </c>
      <c r="M101" s="37">
        <f ca="1">IFERROR(__xludf.DUMMYFUNCTION("""COMPUTED_VALUE"""),0)</f>
        <v>0</v>
      </c>
      <c r="N101" s="39">
        <f ca="1">IFERROR(__xludf.DUMMYFUNCTION("""COMPUTED_VALUE"""),7.6)</f>
        <v>7.6</v>
      </c>
      <c r="O101" s="40">
        <f ca="1">IFERROR(__xludf.DUMMYFUNCTION("""COMPUTED_VALUE"""),1.21)</f>
        <v>1.21</v>
      </c>
      <c r="P101" s="37">
        <f ca="1">IFERROR(__xludf.DUMMYFUNCTION("""COMPUTED_VALUE"""),2)</f>
        <v>2</v>
      </c>
      <c r="Q101" s="37">
        <f ca="1">IFERROR(__xludf.DUMMYFUNCTION("""COMPUTED_VALUE"""),1)</f>
        <v>1</v>
      </c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F101" s="37"/>
      <c r="AG101" s="37"/>
      <c r="AH101" s="37"/>
      <c r="AI101" s="37"/>
      <c r="AJ101" s="37"/>
    </row>
    <row r="102" spans="1:36" x14ac:dyDescent="0.35">
      <c r="A102" s="37" t="str">
        <f ca="1">IFERROR(__xludf.DUMMYFUNCTION("""COMPUTED_VALUE"""),"5142,00")</f>
        <v>5142,00</v>
      </c>
      <c r="B102" s="37" t="str">
        <f ca="1">IFERROR(__xludf.DUMMYFUNCTION("""COMPUTED_VALUE"""),"Intraclastic packstone")</f>
        <v>Intraclastic packstone</v>
      </c>
      <c r="C102" s="37">
        <f ca="1">IFERROR(__xludf.DUMMYFUNCTION("""COMPUTED_VALUE"""),9)</f>
        <v>9</v>
      </c>
      <c r="D102" s="37">
        <f ca="1">IFERROR(__xludf.DUMMYFUNCTION("""COMPUTED_VALUE"""),48)</f>
        <v>48</v>
      </c>
      <c r="E102" s="37">
        <f ca="1">IFERROR(__xludf.DUMMYFUNCTION("""COMPUTED_VALUE"""),28)</f>
        <v>28</v>
      </c>
      <c r="F102" s="37">
        <f ca="1">IFERROR(__xludf.DUMMYFUNCTION("""COMPUTED_VALUE"""),13)</f>
        <v>13</v>
      </c>
      <c r="G102" s="37">
        <f ca="1">IFERROR(__xludf.DUMMYFUNCTION("""COMPUTED_VALUE"""),7)</f>
        <v>7</v>
      </c>
      <c r="H102" s="37">
        <f ca="1">IFERROR(__xludf.DUMMYFUNCTION("""COMPUTED_VALUE"""),4)</f>
        <v>4</v>
      </c>
      <c r="I102" s="37">
        <f ca="1">IFERROR(__xludf.DUMMYFUNCTION("""COMPUTED_VALUE"""),0)</f>
        <v>0</v>
      </c>
      <c r="J102" s="37">
        <f ca="1">IFERROR(__xludf.DUMMYFUNCTION("""COMPUTED_VALUE"""),2)</f>
        <v>2</v>
      </c>
      <c r="K102" s="37">
        <f ca="1">IFERROR(__xludf.DUMMYFUNCTION("""COMPUTED_VALUE"""),2)</f>
        <v>2</v>
      </c>
      <c r="L102" s="37">
        <f ca="1">IFERROR(__xludf.DUMMYFUNCTION("""COMPUTED_VALUE"""),0)</f>
        <v>0</v>
      </c>
      <c r="M102" s="37">
        <f ca="1">IFERROR(__xludf.DUMMYFUNCTION("""COMPUTED_VALUE"""),0)</f>
        <v>0</v>
      </c>
      <c r="N102" s="39">
        <f ca="1">IFERROR(__xludf.DUMMYFUNCTION("""COMPUTED_VALUE"""),12)</f>
        <v>12</v>
      </c>
      <c r="O102" s="40">
        <f ca="1">IFERROR(__xludf.DUMMYFUNCTION("""COMPUTED_VALUE"""),12.7)</f>
        <v>12.7</v>
      </c>
      <c r="P102" s="37">
        <f ca="1">IFERROR(__xludf.DUMMYFUNCTION("""COMPUTED_VALUE"""),2)</f>
        <v>2</v>
      </c>
      <c r="Q102" s="37">
        <f ca="1">IFERROR(__xludf.DUMMYFUNCTION("""COMPUTED_VALUE"""),1)</f>
        <v>1</v>
      </c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F102" s="37"/>
      <c r="AG102" s="37"/>
      <c r="AH102" s="37"/>
      <c r="AI102" s="37"/>
      <c r="AJ102" s="37"/>
    </row>
    <row r="103" spans="1:36" x14ac:dyDescent="0.35">
      <c r="A103" s="37" t="str">
        <f ca="1">IFERROR(__xludf.DUMMYFUNCTION("""COMPUTED_VALUE"""),"5147,00")</f>
        <v>5147,00</v>
      </c>
      <c r="B103" s="37" t="str">
        <f ca="1">IFERROR(__xludf.DUMMYFUNCTION("""COMPUTED_VALUE"""),"Intraclastic packstone")</f>
        <v>Intraclastic packstone</v>
      </c>
      <c r="C103" s="37">
        <f ca="1">IFERROR(__xludf.DUMMYFUNCTION("""COMPUTED_VALUE"""),9)</f>
        <v>9</v>
      </c>
      <c r="D103" s="37">
        <f ca="1">IFERROR(__xludf.DUMMYFUNCTION("""COMPUTED_VALUE"""),53)</f>
        <v>53</v>
      </c>
      <c r="E103" s="37">
        <f ca="1">IFERROR(__xludf.DUMMYFUNCTION("""COMPUTED_VALUE"""),34)</f>
        <v>34</v>
      </c>
      <c r="F103" s="37">
        <f ca="1">IFERROR(__xludf.DUMMYFUNCTION("""COMPUTED_VALUE"""),1)</f>
        <v>1</v>
      </c>
      <c r="G103" s="37">
        <f ca="1">IFERROR(__xludf.DUMMYFUNCTION("""COMPUTED_VALUE"""),2)</f>
        <v>2</v>
      </c>
      <c r="H103" s="37">
        <f ca="1">IFERROR(__xludf.DUMMYFUNCTION("""COMPUTED_VALUE"""),4)</f>
        <v>4</v>
      </c>
      <c r="I103" s="37">
        <f ca="1">IFERROR(__xludf.DUMMYFUNCTION("""COMPUTED_VALUE"""),0)</f>
        <v>0</v>
      </c>
      <c r="J103" s="37">
        <f ca="1">IFERROR(__xludf.DUMMYFUNCTION("""COMPUTED_VALUE"""),4)</f>
        <v>4</v>
      </c>
      <c r="K103" s="37">
        <f ca="1">IFERROR(__xludf.DUMMYFUNCTION("""COMPUTED_VALUE"""),6)</f>
        <v>6</v>
      </c>
      <c r="L103" s="37">
        <f ca="1">IFERROR(__xludf.DUMMYFUNCTION("""COMPUTED_VALUE"""),0)</f>
        <v>0</v>
      </c>
      <c r="M103" s="37">
        <f ca="1">IFERROR(__xludf.DUMMYFUNCTION("""COMPUTED_VALUE"""),1)</f>
        <v>1</v>
      </c>
      <c r="N103" s="39">
        <f ca="1">IFERROR(__xludf.DUMMYFUNCTION("""COMPUTED_VALUE"""),14.1)</f>
        <v>14.1</v>
      </c>
      <c r="O103" s="40">
        <f ca="1">IFERROR(__xludf.DUMMYFUNCTION("""COMPUTED_VALUE"""),36.5)</f>
        <v>36.5</v>
      </c>
      <c r="P103" s="37">
        <f ca="1">IFERROR(__xludf.DUMMYFUNCTION("""COMPUTED_VALUE"""),2)</f>
        <v>2</v>
      </c>
      <c r="Q103" s="37">
        <f ca="1">IFERROR(__xludf.DUMMYFUNCTION("""COMPUTED_VALUE"""),1)</f>
        <v>1</v>
      </c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F103" s="37"/>
      <c r="AG103" s="37"/>
      <c r="AH103" s="37"/>
      <c r="AI103" s="37"/>
      <c r="AJ103" s="37"/>
    </row>
    <row r="104" spans="1:36" x14ac:dyDescent="0.35">
      <c r="A104" s="37" t="str">
        <f ca="1">IFERROR(__xludf.DUMMYFUNCTION("""COMPUTED_VALUE"""),"5148,00")</f>
        <v>5148,00</v>
      </c>
      <c r="B104" s="37" t="str">
        <f ca="1">IFERROR(__xludf.DUMMYFUNCTION("""COMPUTED_VALUE"""),"Intraclastic grainstone")</f>
        <v>Intraclastic grainstone</v>
      </c>
      <c r="C104" s="37">
        <f ca="1">IFERROR(__xludf.DUMMYFUNCTION("""COMPUTED_VALUE"""),9)</f>
        <v>9</v>
      </c>
      <c r="D104" s="37">
        <f ca="1">IFERROR(__xludf.DUMMYFUNCTION("""COMPUTED_VALUE"""),26)</f>
        <v>26</v>
      </c>
      <c r="E104" s="37">
        <f ca="1">IFERROR(__xludf.DUMMYFUNCTION("""COMPUTED_VALUE"""),41)</f>
        <v>41</v>
      </c>
      <c r="F104" s="37">
        <f ca="1">IFERROR(__xludf.DUMMYFUNCTION("""COMPUTED_VALUE"""),0)</f>
        <v>0</v>
      </c>
      <c r="G104" s="37">
        <f ca="1">IFERROR(__xludf.DUMMYFUNCTION("""COMPUTED_VALUE"""),12)</f>
        <v>12</v>
      </c>
      <c r="H104" s="37">
        <f ca="1">IFERROR(__xludf.DUMMYFUNCTION("""COMPUTED_VALUE"""),5)</f>
        <v>5</v>
      </c>
      <c r="I104" s="37">
        <f ca="1">IFERROR(__xludf.DUMMYFUNCTION("""COMPUTED_VALUE"""),1)</f>
        <v>1</v>
      </c>
      <c r="J104" s="37">
        <f ca="1">IFERROR(__xludf.DUMMYFUNCTION("""COMPUTED_VALUE"""),7)</f>
        <v>7</v>
      </c>
      <c r="K104" s="37">
        <f ca="1">IFERROR(__xludf.DUMMYFUNCTION("""COMPUTED_VALUE"""),14)</f>
        <v>14</v>
      </c>
      <c r="L104" s="37">
        <f ca="1">IFERROR(__xludf.DUMMYFUNCTION("""COMPUTED_VALUE"""),0)</f>
        <v>0</v>
      </c>
      <c r="M104" s="37">
        <f ca="1">IFERROR(__xludf.DUMMYFUNCTION("""COMPUTED_VALUE"""),0)</f>
        <v>0</v>
      </c>
      <c r="N104" s="39">
        <f ca="1">IFERROR(__xludf.DUMMYFUNCTION("""COMPUTED_VALUE"""),7.2)</f>
        <v>7.2</v>
      </c>
      <c r="O104" s="40">
        <f ca="1">IFERROR(__xludf.DUMMYFUNCTION("""COMPUTED_VALUE"""),0.354)</f>
        <v>0.35399999999999998</v>
      </c>
      <c r="P104" s="37">
        <f ca="1">IFERROR(__xludf.DUMMYFUNCTION("""COMPUTED_VALUE"""),2)</f>
        <v>2</v>
      </c>
      <c r="Q104" s="37">
        <f ca="1">IFERROR(__xludf.DUMMYFUNCTION("""COMPUTED_VALUE"""),1)</f>
        <v>1</v>
      </c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F104" s="37"/>
      <c r="AG104" s="37"/>
      <c r="AH104" s="37"/>
      <c r="AI104" s="37"/>
      <c r="AJ104" s="37"/>
    </row>
    <row r="105" spans="1:36" x14ac:dyDescent="0.35">
      <c r="A105" s="37" t="str">
        <f ca="1">IFERROR(__xludf.DUMMYFUNCTION("""COMPUTED_VALUE"""),"5151,00")</f>
        <v>5151,00</v>
      </c>
      <c r="B105" s="37" t="str">
        <f ca="1">IFERROR(__xludf.DUMMYFUNCTION("""COMPUTED_VALUE"""),"Mudstone")</f>
        <v>Mudstone</v>
      </c>
      <c r="C105" s="37">
        <f ca="1">IFERROR(__xludf.DUMMYFUNCTION("""COMPUTED_VALUE"""),3)</f>
        <v>3</v>
      </c>
      <c r="D105" s="37">
        <f ca="1">IFERROR(__xludf.DUMMYFUNCTION("""COMPUTED_VALUE"""),0)</f>
        <v>0</v>
      </c>
      <c r="E105" s="37">
        <f ca="1">IFERROR(__xludf.DUMMYFUNCTION("""COMPUTED_VALUE"""),57)</f>
        <v>57</v>
      </c>
      <c r="F105" s="37">
        <f ca="1">IFERROR(__xludf.DUMMYFUNCTION("""COMPUTED_VALUE"""),0)</f>
        <v>0</v>
      </c>
      <c r="G105" s="37">
        <f ca="1">IFERROR(__xludf.DUMMYFUNCTION("""COMPUTED_VALUE"""),22)</f>
        <v>22</v>
      </c>
      <c r="H105" s="37">
        <f ca="1">IFERROR(__xludf.DUMMYFUNCTION("""COMPUTED_VALUE"""),0)</f>
        <v>0</v>
      </c>
      <c r="I105" s="37">
        <f ca="1">IFERROR(__xludf.DUMMYFUNCTION("""COMPUTED_VALUE"""),1)</f>
        <v>1</v>
      </c>
      <c r="J105" s="37">
        <f ca="1">IFERROR(__xludf.DUMMYFUNCTION("""COMPUTED_VALUE"""),7)</f>
        <v>7</v>
      </c>
      <c r="K105" s="37">
        <f ca="1">IFERROR(__xludf.DUMMYFUNCTION("""COMPUTED_VALUE"""),14)</f>
        <v>14</v>
      </c>
      <c r="L105" s="37">
        <f ca="1">IFERROR(__xludf.DUMMYFUNCTION("""COMPUTED_VALUE"""),0)</f>
        <v>0</v>
      </c>
      <c r="M105" s="37">
        <f ca="1">IFERROR(__xludf.DUMMYFUNCTION("""COMPUTED_VALUE"""),0)</f>
        <v>0</v>
      </c>
      <c r="N105" s="39">
        <f ca="1">IFERROR(__xludf.DUMMYFUNCTION("""COMPUTED_VALUE"""),14.6)</f>
        <v>14.6</v>
      </c>
      <c r="O105" s="40">
        <f ca="1">IFERROR(__xludf.DUMMYFUNCTION("""COMPUTED_VALUE"""),20)</f>
        <v>20</v>
      </c>
      <c r="P105" s="37">
        <f ca="1">IFERROR(__xludf.DUMMYFUNCTION("""COMPUTED_VALUE"""),1)</f>
        <v>1</v>
      </c>
      <c r="Q105" s="37">
        <f ca="1">IFERROR(__xludf.DUMMYFUNCTION("""COMPUTED_VALUE"""),1)</f>
        <v>1</v>
      </c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F105" s="37"/>
      <c r="AG105" s="37"/>
      <c r="AH105" s="37"/>
      <c r="AI105" s="37"/>
      <c r="AJ105" s="3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94"/>
  <sheetViews>
    <sheetView workbookViewId="0">
      <selection activeCell="N1" sqref="N1:N1048576"/>
    </sheetView>
  </sheetViews>
  <sheetFormatPr defaultColWidth="14.453125" defaultRowHeight="15" customHeight="1" x14ac:dyDescent="0.35"/>
  <sheetData>
    <row r="1" spans="1:22" x14ac:dyDescent="0.35">
      <c r="A1" s="37" t="str">
        <f ca="1">IFERROR(__xludf.DUMMYFUNCTION("""COMPUTED_VALUE"""),"Depth (m)")</f>
        <v>Depth (m)</v>
      </c>
      <c r="B1" s="37" t="str">
        <f ca="1">IFERROR(__xludf.DUMMYFUNCTION("""COMPUTED_VALUE"""),"Lithology")</f>
        <v>Lithology</v>
      </c>
      <c r="C1" s="37" t="str">
        <f ca="1">IFERROR(__xludf.DUMMYFUNCTION("""COMPUTED_VALUE"""),"Class")</f>
        <v>Class</v>
      </c>
      <c r="D1" s="37" t="str">
        <f ca="1">IFERROR(__xludf.DUMMYFUNCTION("""COMPUTED_VALUE"""),"Other particles of the framework (spherulites, oolites, fascicular calcites, bioclasts...) (%)")</f>
        <v>Other particles of the framework (spherulites, oolites, fascicular calcites, bioclasts...) (%)</v>
      </c>
      <c r="E1" s="37" t="str">
        <f ca="1">IFERROR(__xludf.DUMMYFUNCTION("""COMPUTED_VALUE"""),"Cement (intercrystalline calcite and dolomite)  (%) ")</f>
        <v xml:space="preserve">Cement (intercrystalline calcite and dolomite)  (%) </v>
      </c>
      <c r="F1" s="37" t="str">
        <f ca="1">IFERROR(__xludf.DUMMYFUNCTION("""COMPUTED_VALUE"""),"Argila (%) ")</f>
        <v xml:space="preserve">Argila (%) </v>
      </c>
      <c r="G1" s="37" t="str">
        <f ca="1">IFERROR(__xludf.DUMMYFUNCTION("""COMPUTED_VALUE"""),"SiO2 (%) ")</f>
        <v xml:space="preserve">SiO2 (%) </v>
      </c>
      <c r="H1" s="37" t="str">
        <f ca="1">IFERROR(__xludf.DUMMYFUNCTION("""COMPUTED_VALUE"""),"Type contact between crystals")</f>
        <v>Type contact between crystals</v>
      </c>
      <c r="I1" s="37" t="str">
        <f ca="1">IFERROR(__xludf.DUMMYFUNCTION("""COMPUTED_VALUE"""),"Amalgamated framework ")</f>
        <v xml:space="preserve">Amalgamated framework </v>
      </c>
      <c r="J1" s="37" t="str">
        <f ca="1">IFERROR(__xludf.DUMMYFUNCTION("""COMPUTED_VALUE"""),"Pore intercrystalline (%)")</f>
        <v>Pore intercrystalline (%)</v>
      </c>
      <c r="K1" s="37" t="str">
        <f ca="1">IFERROR(__xludf.DUMMYFUNCTION("""COMPUTED_VALUE"""),"Poro intracristalino")</f>
        <v>Poro intracristalino</v>
      </c>
      <c r="L1" s="37" t="str">
        <f ca="1">IFERROR(__xludf.DUMMYFUNCTION("""COMPUTED_VALUE"""),"Occurrence of vug")</f>
        <v>Occurrence of vug</v>
      </c>
      <c r="M1" s="37" t="str">
        <f ca="1">IFERROR(__xludf.DUMMYFUNCTION("""COMPUTED_VALUE"""),"Pore Connections (throats)")</f>
        <v>Pore Connections (throats)</v>
      </c>
      <c r="N1" s="37" t="str">
        <f ca="1">IFERROR(__xludf.DUMMYFUNCTION("""COMPUTED_VALUE"""),"Laboratory porosity (%)")</f>
        <v>Laboratory porosity (%)</v>
      </c>
      <c r="O1" s="37" t="str">
        <f ca="1">IFERROR(__xludf.DUMMYFUNCTION("""COMPUTED_VALUE"""),"Laboratory permeability (mD)")</f>
        <v>Laboratory permeability (mD)</v>
      </c>
      <c r="P1" s="37" t="str">
        <f ca="1">IFERROR(__xludf.DUMMYFUNCTION("""COMPUTED_VALUE"""),"Facies")</f>
        <v>Facies</v>
      </c>
      <c r="Q1" s="37" t="str">
        <f ca="1">IFERROR(__xludf.DUMMYFUNCTION("""COMPUTED_VALUE"""),"Petrofacies")</f>
        <v>Petrofacies</v>
      </c>
      <c r="R1" s="37"/>
      <c r="S1" s="37"/>
      <c r="T1" s="37"/>
      <c r="U1" s="37"/>
      <c r="V1" s="37"/>
    </row>
    <row r="2" spans="1:22" x14ac:dyDescent="0.35">
      <c r="A2" s="37" t="str">
        <f ca="1">IFERROR(__xludf.DUMMYFUNCTION("""COMPUTED_VALUE"""),"5005,00")</f>
        <v>5005,00</v>
      </c>
      <c r="B2" s="37" t="str">
        <f ca="1">IFERROR(__xludf.DUMMYFUNCTION("""COMPUTED_VALUE"""),"Intraclastic packstone")</f>
        <v>Intraclastic packstone</v>
      </c>
      <c r="C2" s="37">
        <f ca="1">IFERROR(__xludf.DUMMYFUNCTION("""COMPUTED_VALUE"""),9)</f>
        <v>9</v>
      </c>
      <c r="D2" s="38">
        <f ca="1">IFERROR(__xludf.DUMMYFUNCTION("""COMPUTED_VALUE"""),56)</f>
        <v>56</v>
      </c>
      <c r="E2" s="37">
        <f ca="1">IFERROR(__xludf.DUMMYFUNCTION("""COMPUTED_VALUE"""),10)</f>
        <v>10</v>
      </c>
      <c r="F2" s="37">
        <f ca="1">IFERROR(__xludf.DUMMYFUNCTION("""COMPUTED_VALUE"""),16)</f>
        <v>16</v>
      </c>
      <c r="G2" s="37">
        <f ca="1">IFERROR(__xludf.DUMMYFUNCTION("""COMPUTED_VALUE"""),3)</f>
        <v>3</v>
      </c>
      <c r="H2" s="37">
        <f ca="1">IFERROR(__xludf.DUMMYFUNCTION("""COMPUTED_VALUE"""),3)</f>
        <v>3</v>
      </c>
      <c r="I2" s="37">
        <f ca="1">IFERROR(__xludf.DUMMYFUNCTION("""COMPUTED_VALUE"""),0)</f>
        <v>0</v>
      </c>
      <c r="J2" s="37">
        <f ca="1">IFERROR(__xludf.DUMMYFUNCTION("""COMPUTED_VALUE"""),12)</f>
        <v>12</v>
      </c>
      <c r="K2" s="38">
        <f ca="1">IFERROR(__xludf.DUMMYFUNCTION("""COMPUTED_VALUE"""),3)</f>
        <v>3</v>
      </c>
      <c r="L2" s="37">
        <f ca="1">IFERROR(__xludf.DUMMYFUNCTION("""COMPUTED_VALUE"""),1)</f>
        <v>1</v>
      </c>
      <c r="M2" s="37">
        <f ca="1">IFERROR(__xludf.DUMMYFUNCTION("""COMPUTED_VALUE"""),1)</f>
        <v>1</v>
      </c>
      <c r="N2" s="39">
        <f ca="1">IFERROR(__xludf.DUMMYFUNCTION("""COMPUTED_VALUE"""),8.22)</f>
        <v>8.2200000000000006</v>
      </c>
      <c r="O2" s="40">
        <f ca="1">IFERROR(__xludf.DUMMYFUNCTION("""COMPUTED_VALUE"""),55.89)</f>
        <v>55.89</v>
      </c>
      <c r="P2" s="37">
        <f ca="1">IFERROR(__xludf.DUMMYFUNCTION("""COMPUTED_VALUE"""),2)</f>
        <v>2</v>
      </c>
      <c r="Q2" s="37">
        <f ca="1">IFERROR(__xludf.DUMMYFUNCTION("""COMPUTED_VALUE"""),2)</f>
        <v>2</v>
      </c>
      <c r="R2" s="37"/>
      <c r="S2" s="37"/>
      <c r="T2" s="37"/>
      <c r="U2" s="37"/>
      <c r="V2" s="37"/>
    </row>
    <row r="3" spans="1:22" x14ac:dyDescent="0.35">
      <c r="A3" s="37" t="str">
        <f ca="1">IFERROR(__xludf.DUMMYFUNCTION("""COMPUTED_VALUE"""),"5007,50")</f>
        <v>5007,50</v>
      </c>
      <c r="B3" s="37" t="str">
        <f ca="1">IFERROR(__xludf.DUMMYFUNCTION("""COMPUTED_VALUE"""),"Mudstone")</f>
        <v>Mudstone</v>
      </c>
      <c r="C3" s="37">
        <f ca="1">IFERROR(__xludf.DUMMYFUNCTION("""COMPUTED_VALUE"""),3)</f>
        <v>3</v>
      </c>
      <c r="D3" s="38">
        <f ca="1">IFERROR(__xludf.DUMMYFUNCTION("""COMPUTED_VALUE"""),0)</f>
        <v>0</v>
      </c>
      <c r="E3" s="37">
        <f ca="1">IFERROR(__xludf.DUMMYFUNCTION("""COMPUTED_VALUE"""),42)</f>
        <v>42</v>
      </c>
      <c r="F3" s="37">
        <f ca="1">IFERROR(__xludf.DUMMYFUNCTION("""COMPUTED_VALUE"""),34)</f>
        <v>34</v>
      </c>
      <c r="G3" s="37">
        <f ca="1">IFERROR(__xludf.DUMMYFUNCTION("""COMPUTED_VALUE"""),8)</f>
        <v>8</v>
      </c>
      <c r="H3" s="37">
        <f ca="1">IFERROR(__xludf.DUMMYFUNCTION("""COMPUTED_VALUE"""),0)</f>
        <v>0</v>
      </c>
      <c r="I3" s="37">
        <f ca="1">IFERROR(__xludf.DUMMYFUNCTION("""COMPUTED_VALUE"""),0)</f>
        <v>0</v>
      </c>
      <c r="J3" s="37">
        <f ca="1">IFERROR(__xludf.DUMMYFUNCTION("""COMPUTED_VALUE"""),16)</f>
        <v>16</v>
      </c>
      <c r="K3" s="38">
        <f ca="1">IFERROR(__xludf.DUMMYFUNCTION("""COMPUTED_VALUE"""),0)</f>
        <v>0</v>
      </c>
      <c r="L3" s="37">
        <f ca="1">IFERROR(__xludf.DUMMYFUNCTION("""COMPUTED_VALUE"""),1)</f>
        <v>1</v>
      </c>
      <c r="M3" s="37">
        <f ca="1">IFERROR(__xludf.DUMMYFUNCTION("""COMPUTED_VALUE"""),1)</f>
        <v>1</v>
      </c>
      <c r="N3" s="39">
        <f ca="1">IFERROR(__xludf.DUMMYFUNCTION("""COMPUTED_VALUE"""),17.43)</f>
        <v>17.43</v>
      </c>
      <c r="O3" s="40">
        <f ca="1">IFERROR(__xludf.DUMMYFUNCTION("""COMPUTED_VALUE"""),40.08)</f>
        <v>40.08</v>
      </c>
      <c r="P3" s="37">
        <f ca="1">IFERROR(__xludf.DUMMYFUNCTION("""COMPUTED_VALUE"""),1)</f>
        <v>1</v>
      </c>
      <c r="Q3" s="37">
        <f ca="1">IFERROR(__xludf.DUMMYFUNCTION("""COMPUTED_VALUE"""),1)</f>
        <v>1</v>
      </c>
      <c r="R3" s="37"/>
      <c r="S3" s="37"/>
      <c r="T3" s="37"/>
      <c r="U3" s="37"/>
      <c r="V3" s="37"/>
    </row>
    <row r="4" spans="1:22" x14ac:dyDescent="0.35">
      <c r="A4" s="37" t="str">
        <f ca="1">IFERROR(__xludf.DUMMYFUNCTION("""COMPUTED_VALUE"""),"5010,50")</f>
        <v>5010,50</v>
      </c>
      <c r="B4" s="37" t="str">
        <f ca="1">IFERROR(__xludf.DUMMYFUNCTION("""COMPUTED_VALUE"""),"Spherulitestone")</f>
        <v>Spherulitestone</v>
      </c>
      <c r="C4" s="37">
        <f ca="1">IFERROR(__xludf.DUMMYFUNCTION("""COMPUTED_VALUE"""),2)</f>
        <v>2</v>
      </c>
      <c r="D4" s="38">
        <f ca="1">IFERROR(__xludf.DUMMYFUNCTION("""COMPUTED_VALUE"""),58)</f>
        <v>58</v>
      </c>
      <c r="E4" s="37">
        <f ca="1">IFERROR(__xludf.DUMMYFUNCTION("""COMPUTED_VALUE"""),6)</f>
        <v>6</v>
      </c>
      <c r="F4" s="37">
        <f ca="1">IFERROR(__xludf.DUMMYFUNCTION("""COMPUTED_VALUE"""),6)</f>
        <v>6</v>
      </c>
      <c r="G4" s="37">
        <f ca="1">IFERROR(__xludf.DUMMYFUNCTION("""COMPUTED_VALUE"""),2)</f>
        <v>2</v>
      </c>
      <c r="H4" s="37">
        <f ca="1">IFERROR(__xludf.DUMMYFUNCTION("""COMPUTED_VALUE"""),3)</f>
        <v>3</v>
      </c>
      <c r="I4" s="37">
        <f ca="1">IFERROR(__xludf.DUMMYFUNCTION("""COMPUTED_VALUE"""),0)</f>
        <v>0</v>
      </c>
      <c r="J4" s="37">
        <f ca="1">IFERROR(__xludf.DUMMYFUNCTION("""COMPUTED_VALUE"""),22)</f>
        <v>22</v>
      </c>
      <c r="K4" s="38">
        <f ca="1">IFERROR(__xludf.DUMMYFUNCTION("""COMPUTED_VALUE"""),6)</f>
        <v>6</v>
      </c>
      <c r="L4" s="37">
        <f ca="1">IFERROR(__xludf.DUMMYFUNCTION("""COMPUTED_VALUE"""),1)</f>
        <v>1</v>
      </c>
      <c r="M4" s="37">
        <f ca="1">IFERROR(__xludf.DUMMYFUNCTION("""COMPUTED_VALUE"""),1)</f>
        <v>1</v>
      </c>
      <c r="N4" s="39">
        <f ca="1">IFERROR(__xludf.DUMMYFUNCTION("""COMPUTED_VALUE"""),24.86)</f>
        <v>24.86</v>
      </c>
      <c r="O4" s="40">
        <f ca="1">IFERROR(__xludf.DUMMYFUNCTION("""COMPUTED_VALUE"""),967)</f>
        <v>967</v>
      </c>
      <c r="P4" s="37">
        <f ca="1">IFERROR(__xludf.DUMMYFUNCTION("""COMPUTED_VALUE"""),1)</f>
        <v>1</v>
      </c>
      <c r="Q4" s="37">
        <f ca="1">IFERROR(__xludf.DUMMYFUNCTION("""COMPUTED_VALUE"""),4)</f>
        <v>4</v>
      </c>
      <c r="R4" s="37"/>
      <c r="S4" s="37"/>
      <c r="T4" s="37"/>
      <c r="U4" s="37"/>
      <c r="V4" s="37"/>
    </row>
    <row r="5" spans="1:22" x14ac:dyDescent="0.35">
      <c r="A5" s="37" t="str">
        <f ca="1">IFERROR(__xludf.DUMMYFUNCTION("""COMPUTED_VALUE"""),"5015,00")</f>
        <v>5015,00</v>
      </c>
      <c r="B5" s="37" t="str">
        <f ca="1">IFERROR(__xludf.DUMMYFUNCTION("""COMPUTED_VALUE"""),"Intraclastic packstone")</f>
        <v>Intraclastic packstone</v>
      </c>
      <c r="C5" s="37">
        <f ca="1">IFERROR(__xludf.DUMMYFUNCTION("""COMPUTED_VALUE"""),9)</f>
        <v>9</v>
      </c>
      <c r="D5" s="38">
        <f ca="1">IFERROR(__xludf.DUMMYFUNCTION("""COMPUTED_VALUE"""),52)</f>
        <v>52</v>
      </c>
      <c r="E5" s="37">
        <f ca="1">IFERROR(__xludf.DUMMYFUNCTION("""COMPUTED_VALUE"""),15)</f>
        <v>15</v>
      </c>
      <c r="F5" s="37">
        <f ca="1">IFERROR(__xludf.DUMMYFUNCTION("""COMPUTED_VALUE"""),10)</f>
        <v>10</v>
      </c>
      <c r="G5" s="37">
        <f ca="1">IFERROR(__xludf.DUMMYFUNCTION("""COMPUTED_VALUE"""),5)</f>
        <v>5</v>
      </c>
      <c r="H5" s="37">
        <f ca="1">IFERROR(__xludf.DUMMYFUNCTION("""COMPUTED_VALUE"""),3)</f>
        <v>3</v>
      </c>
      <c r="I5" s="37">
        <f ca="1">IFERROR(__xludf.DUMMYFUNCTION("""COMPUTED_VALUE"""),0)</f>
        <v>0</v>
      </c>
      <c r="J5" s="37">
        <f ca="1">IFERROR(__xludf.DUMMYFUNCTION("""COMPUTED_VALUE"""),15)</f>
        <v>15</v>
      </c>
      <c r="K5" s="38">
        <f ca="1">IFERROR(__xludf.DUMMYFUNCTION("""COMPUTED_VALUE"""),3)</f>
        <v>3</v>
      </c>
      <c r="L5" s="37">
        <f ca="1">IFERROR(__xludf.DUMMYFUNCTION("""COMPUTED_VALUE"""),0)</f>
        <v>0</v>
      </c>
      <c r="M5" s="37">
        <f ca="1">IFERROR(__xludf.DUMMYFUNCTION("""COMPUTED_VALUE"""),1)</f>
        <v>1</v>
      </c>
      <c r="N5" s="39">
        <f ca="1">IFERROR(__xludf.DUMMYFUNCTION("""COMPUTED_VALUE"""),16.56)</f>
        <v>16.559999999999999</v>
      </c>
      <c r="O5" s="40">
        <f ca="1">IFERROR(__xludf.DUMMYFUNCTION("""COMPUTED_VALUE"""),359.9)</f>
        <v>359.9</v>
      </c>
      <c r="P5" s="37">
        <f ca="1">IFERROR(__xludf.DUMMYFUNCTION("""COMPUTED_VALUE"""),2)</f>
        <v>2</v>
      </c>
      <c r="Q5" s="37">
        <f ca="1">IFERROR(__xludf.DUMMYFUNCTION("""COMPUTED_VALUE"""),3)</f>
        <v>3</v>
      </c>
      <c r="R5" s="37"/>
      <c r="S5" s="37"/>
      <c r="T5" s="37"/>
      <c r="U5" s="37"/>
      <c r="V5" s="37"/>
    </row>
    <row r="6" spans="1:22" x14ac:dyDescent="0.35">
      <c r="A6" s="37" t="str">
        <f ca="1">IFERROR(__xludf.DUMMYFUNCTION("""COMPUTED_VALUE"""),"5022,00")</f>
        <v>5022,00</v>
      </c>
      <c r="B6" s="37" t="str">
        <f ca="1">IFERROR(__xludf.DUMMYFUNCTION("""COMPUTED_VALUE"""),"Shrubstone")</f>
        <v>Shrubstone</v>
      </c>
      <c r="C6" s="37">
        <f ca="1">IFERROR(__xludf.DUMMYFUNCTION("""COMPUTED_VALUE"""),1)</f>
        <v>1</v>
      </c>
      <c r="D6" s="38">
        <f ca="1">IFERROR(__xludf.DUMMYFUNCTION("""COMPUTED_VALUE"""),77)</f>
        <v>77</v>
      </c>
      <c r="E6" s="37">
        <f ca="1">IFERROR(__xludf.DUMMYFUNCTION("""COMPUTED_VALUE"""),5)</f>
        <v>5</v>
      </c>
      <c r="F6" s="37">
        <f ca="1">IFERROR(__xludf.DUMMYFUNCTION("""COMPUTED_VALUE"""),0)</f>
        <v>0</v>
      </c>
      <c r="G6" s="37">
        <f ca="1">IFERROR(__xludf.DUMMYFUNCTION("""COMPUTED_VALUE"""),10)</f>
        <v>10</v>
      </c>
      <c r="H6" s="37">
        <f ca="1">IFERROR(__xludf.DUMMYFUNCTION("""COMPUTED_VALUE"""),0)</f>
        <v>0</v>
      </c>
      <c r="I6" s="37">
        <f ca="1">IFERROR(__xludf.DUMMYFUNCTION("""COMPUTED_VALUE"""),1)</f>
        <v>1</v>
      </c>
      <c r="J6" s="37">
        <f ca="1">IFERROR(__xludf.DUMMYFUNCTION("""COMPUTED_VALUE"""),8)</f>
        <v>8</v>
      </c>
      <c r="K6" s="38">
        <f ca="1">IFERROR(__xludf.DUMMYFUNCTION("""COMPUTED_VALUE"""),0)</f>
        <v>0</v>
      </c>
      <c r="L6" s="37">
        <f ca="1">IFERROR(__xludf.DUMMYFUNCTION("""COMPUTED_VALUE"""),1)</f>
        <v>1</v>
      </c>
      <c r="M6" s="37">
        <f ca="1">IFERROR(__xludf.DUMMYFUNCTION("""COMPUTED_VALUE"""),0)</f>
        <v>0</v>
      </c>
      <c r="N6" s="39">
        <f ca="1">IFERROR(__xludf.DUMMYFUNCTION("""COMPUTED_VALUE"""),7.67)</f>
        <v>7.67</v>
      </c>
      <c r="O6" s="40">
        <f ca="1">IFERROR(__xludf.DUMMYFUNCTION("""COMPUTED_VALUE"""),2.82)</f>
        <v>2.82</v>
      </c>
      <c r="P6" s="37">
        <f ca="1">IFERROR(__xludf.DUMMYFUNCTION("""COMPUTED_VALUE"""),1)</f>
        <v>1</v>
      </c>
      <c r="Q6" s="37">
        <f ca="1">IFERROR(__xludf.DUMMYFUNCTION("""COMPUTED_VALUE"""),1)</f>
        <v>1</v>
      </c>
      <c r="R6" s="37"/>
      <c r="S6" s="37"/>
      <c r="T6" s="37"/>
      <c r="U6" s="37"/>
      <c r="V6" s="37"/>
    </row>
    <row r="7" spans="1:22" x14ac:dyDescent="0.35">
      <c r="A7" s="37" t="str">
        <f ca="1">IFERROR(__xludf.DUMMYFUNCTION("""COMPUTED_VALUE"""),"5028,00")</f>
        <v>5028,00</v>
      </c>
      <c r="B7" s="37" t="str">
        <f ca="1">IFERROR(__xludf.DUMMYFUNCTION("""COMPUTED_VALUE"""),"Intraclastic packstone")</f>
        <v>Intraclastic packstone</v>
      </c>
      <c r="C7" s="37">
        <f ca="1">IFERROR(__xludf.DUMMYFUNCTION("""COMPUTED_VALUE"""),9)</f>
        <v>9</v>
      </c>
      <c r="D7" s="38">
        <f ca="1">IFERROR(__xludf.DUMMYFUNCTION("""COMPUTED_VALUE"""),62)</f>
        <v>62</v>
      </c>
      <c r="E7" s="37">
        <f ca="1">IFERROR(__xludf.DUMMYFUNCTION("""COMPUTED_VALUE"""),10)</f>
        <v>10</v>
      </c>
      <c r="F7" s="37">
        <f ca="1">IFERROR(__xludf.DUMMYFUNCTION("""COMPUTED_VALUE"""),8)</f>
        <v>8</v>
      </c>
      <c r="G7" s="37">
        <f ca="1">IFERROR(__xludf.DUMMYFUNCTION("""COMPUTED_VALUE"""),2)</f>
        <v>2</v>
      </c>
      <c r="H7" s="37">
        <f ca="1">IFERROR(__xludf.DUMMYFUNCTION("""COMPUTED_VALUE"""),0)</f>
        <v>0</v>
      </c>
      <c r="I7" s="37">
        <f ca="1">IFERROR(__xludf.DUMMYFUNCTION("""COMPUTED_VALUE"""),1)</f>
        <v>1</v>
      </c>
      <c r="J7" s="37">
        <f ca="1">IFERROR(__xludf.DUMMYFUNCTION("""COMPUTED_VALUE"""),15)</f>
        <v>15</v>
      </c>
      <c r="K7" s="38">
        <f ca="1">IFERROR(__xludf.DUMMYFUNCTION("""COMPUTED_VALUE"""),3)</f>
        <v>3</v>
      </c>
      <c r="L7" s="37">
        <f ca="1">IFERROR(__xludf.DUMMYFUNCTION("""COMPUTED_VALUE"""),1)</f>
        <v>1</v>
      </c>
      <c r="M7" s="37">
        <f ca="1">IFERROR(__xludf.DUMMYFUNCTION("""COMPUTED_VALUE"""),0)</f>
        <v>0</v>
      </c>
      <c r="N7" s="39">
        <f ca="1">IFERROR(__xludf.DUMMYFUNCTION("""COMPUTED_VALUE"""),5.86)</f>
        <v>5.86</v>
      </c>
      <c r="O7" s="40">
        <f ca="1">IFERROR(__xludf.DUMMYFUNCTION("""COMPUTED_VALUE"""),0.19)</f>
        <v>0.19</v>
      </c>
      <c r="P7" s="37">
        <f ca="1">IFERROR(__xludf.DUMMYFUNCTION("""COMPUTED_VALUE"""),2)</f>
        <v>2</v>
      </c>
      <c r="Q7" s="37">
        <f ca="1">IFERROR(__xludf.DUMMYFUNCTION("""COMPUTED_VALUE"""),1)</f>
        <v>1</v>
      </c>
      <c r="R7" s="37"/>
      <c r="S7" s="37"/>
      <c r="T7" s="37"/>
      <c r="U7" s="37"/>
      <c r="V7" s="37"/>
    </row>
    <row r="8" spans="1:22" x14ac:dyDescent="0.35">
      <c r="A8" s="37" t="str">
        <f ca="1">IFERROR(__xludf.DUMMYFUNCTION("""COMPUTED_VALUE"""),"5032,00")</f>
        <v>5032,00</v>
      </c>
      <c r="B8" s="37" t="str">
        <f ca="1">IFERROR(__xludf.DUMMYFUNCTION("""COMPUTED_VALUE"""),"Spherulitestone")</f>
        <v>Spherulitestone</v>
      </c>
      <c r="C8" s="37">
        <f ca="1">IFERROR(__xludf.DUMMYFUNCTION("""COMPUTED_VALUE"""),2)</f>
        <v>2</v>
      </c>
      <c r="D8" s="38">
        <f ca="1">IFERROR(__xludf.DUMMYFUNCTION("""COMPUTED_VALUE"""),60)</f>
        <v>60</v>
      </c>
      <c r="E8" s="37">
        <f ca="1">IFERROR(__xludf.DUMMYFUNCTION("""COMPUTED_VALUE"""),8)</f>
        <v>8</v>
      </c>
      <c r="F8" s="37">
        <f ca="1">IFERROR(__xludf.DUMMYFUNCTION("""COMPUTED_VALUE"""),2)</f>
        <v>2</v>
      </c>
      <c r="G8" s="37">
        <f ca="1">IFERROR(__xludf.DUMMYFUNCTION("""COMPUTED_VALUE"""),6)</f>
        <v>6</v>
      </c>
      <c r="H8" s="37">
        <f ca="1">IFERROR(__xludf.DUMMYFUNCTION("""COMPUTED_VALUE"""),4)</f>
        <v>4</v>
      </c>
      <c r="I8" s="37">
        <f ca="1">IFERROR(__xludf.DUMMYFUNCTION("""COMPUTED_VALUE"""),1)</f>
        <v>1</v>
      </c>
      <c r="J8" s="37">
        <f ca="1">IFERROR(__xludf.DUMMYFUNCTION("""COMPUTED_VALUE"""),16)</f>
        <v>16</v>
      </c>
      <c r="K8" s="38">
        <f ca="1">IFERROR(__xludf.DUMMYFUNCTION("""COMPUTED_VALUE"""),8)</f>
        <v>8</v>
      </c>
      <c r="L8" s="37">
        <f ca="1">IFERROR(__xludf.DUMMYFUNCTION("""COMPUTED_VALUE"""),1)</f>
        <v>1</v>
      </c>
      <c r="M8" s="37">
        <f ca="1">IFERROR(__xludf.DUMMYFUNCTION("""COMPUTED_VALUE"""),1)</f>
        <v>1</v>
      </c>
      <c r="N8" s="39">
        <f ca="1">IFERROR(__xludf.DUMMYFUNCTION("""COMPUTED_VALUE"""),19.16)</f>
        <v>19.16</v>
      </c>
      <c r="O8" s="40">
        <f ca="1">IFERROR(__xludf.DUMMYFUNCTION("""COMPUTED_VALUE"""),619.7)</f>
        <v>619.70000000000005</v>
      </c>
      <c r="P8" s="37">
        <f ca="1">IFERROR(__xludf.DUMMYFUNCTION("""COMPUTED_VALUE"""),1)</f>
        <v>1</v>
      </c>
      <c r="Q8" s="37">
        <f ca="1">IFERROR(__xludf.DUMMYFUNCTION("""COMPUTED_VALUE"""),4)</f>
        <v>4</v>
      </c>
      <c r="R8" s="37"/>
      <c r="S8" s="37"/>
      <c r="T8" s="37"/>
      <c r="U8" s="37"/>
      <c r="V8" s="37"/>
    </row>
    <row r="9" spans="1:22" x14ac:dyDescent="0.35">
      <c r="A9" s="37" t="str">
        <f ca="1">IFERROR(__xludf.DUMMYFUNCTION("""COMPUTED_VALUE"""),"5033,80")</f>
        <v>5033,80</v>
      </c>
      <c r="B9" s="37" t="str">
        <f ca="1">IFERROR(__xludf.DUMMYFUNCTION("""COMPUTED_VALUE"""),"Intraclastic packstone")</f>
        <v>Intraclastic packstone</v>
      </c>
      <c r="C9" s="37">
        <f ca="1">IFERROR(__xludf.DUMMYFUNCTION("""COMPUTED_VALUE"""),9)</f>
        <v>9</v>
      </c>
      <c r="D9" s="38">
        <f ca="1">IFERROR(__xludf.DUMMYFUNCTION("""COMPUTED_VALUE"""),60)</f>
        <v>60</v>
      </c>
      <c r="E9" s="37">
        <f ca="1">IFERROR(__xludf.DUMMYFUNCTION("""COMPUTED_VALUE"""),12)</f>
        <v>12</v>
      </c>
      <c r="F9" s="37">
        <f ca="1">IFERROR(__xludf.DUMMYFUNCTION("""COMPUTED_VALUE"""),5)</f>
        <v>5</v>
      </c>
      <c r="G9" s="37">
        <f ca="1">IFERROR(__xludf.DUMMYFUNCTION("""COMPUTED_VALUE"""),5)</f>
        <v>5</v>
      </c>
      <c r="H9" s="37">
        <f ca="1">IFERROR(__xludf.DUMMYFUNCTION("""COMPUTED_VALUE"""),2)</f>
        <v>2</v>
      </c>
      <c r="I9" s="37">
        <f ca="1">IFERROR(__xludf.DUMMYFUNCTION("""COMPUTED_VALUE"""),0)</f>
        <v>0</v>
      </c>
      <c r="J9" s="37">
        <f ca="1">IFERROR(__xludf.DUMMYFUNCTION("""COMPUTED_VALUE"""),15)</f>
        <v>15</v>
      </c>
      <c r="K9" s="38">
        <f ca="1">IFERROR(__xludf.DUMMYFUNCTION("""COMPUTED_VALUE"""),3)</f>
        <v>3</v>
      </c>
      <c r="L9" s="37">
        <f ca="1">IFERROR(__xludf.DUMMYFUNCTION("""COMPUTED_VALUE"""),0)</f>
        <v>0</v>
      </c>
      <c r="M9" s="37">
        <f ca="1">IFERROR(__xludf.DUMMYFUNCTION("""COMPUTED_VALUE"""),1)</f>
        <v>1</v>
      </c>
      <c r="N9" s="39">
        <f ca="1">IFERROR(__xludf.DUMMYFUNCTION("""COMPUTED_VALUE"""),15.47)</f>
        <v>15.47</v>
      </c>
      <c r="O9" s="40">
        <f ca="1">IFERROR(__xludf.DUMMYFUNCTION("""COMPUTED_VALUE"""),271.8)</f>
        <v>271.8</v>
      </c>
      <c r="P9" s="37">
        <f ca="1">IFERROR(__xludf.DUMMYFUNCTION("""COMPUTED_VALUE"""),2)</f>
        <v>2</v>
      </c>
      <c r="Q9" s="37">
        <f ca="1">IFERROR(__xludf.DUMMYFUNCTION("""COMPUTED_VALUE"""),3)</f>
        <v>3</v>
      </c>
      <c r="R9" s="37"/>
      <c r="S9" s="37"/>
      <c r="T9" s="37"/>
      <c r="U9" s="37"/>
      <c r="V9" s="37"/>
    </row>
    <row r="10" spans="1:22" x14ac:dyDescent="0.35">
      <c r="A10" s="37" t="str">
        <f ca="1">IFERROR(__xludf.DUMMYFUNCTION("""COMPUTED_VALUE"""),"5036,00")</f>
        <v>5036,00</v>
      </c>
      <c r="B10" s="37" t="str">
        <f ca="1">IFERROR(__xludf.DUMMYFUNCTION("""COMPUTED_VALUE"""),"Intraclastic packstone")</f>
        <v>Intraclastic packstone</v>
      </c>
      <c r="C10" s="37">
        <f ca="1">IFERROR(__xludf.DUMMYFUNCTION("""COMPUTED_VALUE"""),9)</f>
        <v>9</v>
      </c>
      <c r="D10" s="38">
        <f ca="1">IFERROR(__xludf.DUMMYFUNCTION("""COMPUTED_VALUE"""),55)</f>
        <v>55</v>
      </c>
      <c r="E10" s="37">
        <f ca="1">IFERROR(__xludf.DUMMYFUNCTION("""COMPUTED_VALUE"""),10)</f>
        <v>10</v>
      </c>
      <c r="F10" s="37">
        <f ca="1">IFERROR(__xludf.DUMMYFUNCTION("""COMPUTED_VALUE"""),2)</f>
        <v>2</v>
      </c>
      <c r="G10" s="37">
        <f ca="1">IFERROR(__xludf.DUMMYFUNCTION("""COMPUTED_VALUE"""),8)</f>
        <v>8</v>
      </c>
      <c r="H10" s="37">
        <f ca="1">IFERROR(__xludf.DUMMYFUNCTION("""COMPUTED_VALUE"""),3)</f>
        <v>3</v>
      </c>
      <c r="I10" s="37">
        <f ca="1">IFERROR(__xludf.DUMMYFUNCTION("""COMPUTED_VALUE"""),0)</f>
        <v>0</v>
      </c>
      <c r="J10" s="37">
        <f ca="1">IFERROR(__xludf.DUMMYFUNCTION("""COMPUTED_VALUE"""),18)</f>
        <v>18</v>
      </c>
      <c r="K10" s="38">
        <f ca="1">IFERROR(__xludf.DUMMYFUNCTION("""COMPUTED_VALUE"""),7)</f>
        <v>7</v>
      </c>
      <c r="L10" s="37">
        <f ca="1">IFERROR(__xludf.DUMMYFUNCTION("""COMPUTED_VALUE"""),1)</f>
        <v>1</v>
      </c>
      <c r="M10" s="37">
        <f ca="1">IFERROR(__xludf.DUMMYFUNCTION("""COMPUTED_VALUE"""),1)</f>
        <v>1</v>
      </c>
      <c r="N10" s="39">
        <f ca="1">IFERROR(__xludf.DUMMYFUNCTION("""COMPUTED_VALUE"""),18.73)</f>
        <v>18.73</v>
      </c>
      <c r="O10" s="40">
        <f ca="1">IFERROR(__xludf.DUMMYFUNCTION("""COMPUTED_VALUE"""),560.6)</f>
        <v>560.6</v>
      </c>
      <c r="P10" s="37">
        <f ca="1">IFERROR(__xludf.DUMMYFUNCTION("""COMPUTED_VALUE"""),2)</f>
        <v>2</v>
      </c>
      <c r="Q10" s="37">
        <f ca="1">IFERROR(__xludf.DUMMYFUNCTION("""COMPUTED_VALUE"""),4)</f>
        <v>4</v>
      </c>
      <c r="R10" s="37"/>
      <c r="S10" s="37"/>
      <c r="T10" s="37"/>
      <c r="U10" s="37"/>
      <c r="V10" s="37"/>
    </row>
    <row r="11" spans="1:22" x14ac:dyDescent="0.35">
      <c r="A11" s="37" t="str">
        <f ca="1">IFERROR(__xludf.DUMMYFUNCTION("""COMPUTED_VALUE"""),"5038,50")</f>
        <v>5038,50</v>
      </c>
      <c r="B11" s="37" t="str">
        <f ca="1">IFERROR(__xludf.DUMMYFUNCTION("""COMPUTED_VALUE"""),"Shrubstone")</f>
        <v>Shrubstone</v>
      </c>
      <c r="C11" s="37">
        <f ca="1">IFERROR(__xludf.DUMMYFUNCTION("""COMPUTED_VALUE"""),1)</f>
        <v>1</v>
      </c>
      <c r="D11" s="38">
        <f ca="1">IFERROR(__xludf.DUMMYFUNCTION("""COMPUTED_VALUE"""),63)</f>
        <v>63</v>
      </c>
      <c r="E11" s="37">
        <f ca="1">IFERROR(__xludf.DUMMYFUNCTION("""COMPUTED_VALUE"""),20)</f>
        <v>20</v>
      </c>
      <c r="F11" s="37">
        <f ca="1">IFERROR(__xludf.DUMMYFUNCTION("""COMPUTED_VALUE"""),0)</f>
        <v>0</v>
      </c>
      <c r="G11" s="37">
        <f ca="1">IFERROR(__xludf.DUMMYFUNCTION("""COMPUTED_VALUE"""),0)</f>
        <v>0</v>
      </c>
      <c r="H11" s="37">
        <f ca="1">IFERROR(__xludf.DUMMYFUNCTION("""COMPUTED_VALUE"""),3)</f>
        <v>3</v>
      </c>
      <c r="I11" s="37">
        <f ca="1">IFERROR(__xludf.DUMMYFUNCTION("""COMPUTED_VALUE"""),0)</f>
        <v>0</v>
      </c>
      <c r="J11" s="37">
        <f ca="1">IFERROR(__xludf.DUMMYFUNCTION("""COMPUTED_VALUE"""),12)</f>
        <v>12</v>
      </c>
      <c r="K11" s="38">
        <f ca="1">IFERROR(__xludf.DUMMYFUNCTION("""COMPUTED_VALUE"""),5)</f>
        <v>5</v>
      </c>
      <c r="L11" s="37">
        <f ca="1">IFERROR(__xludf.DUMMYFUNCTION("""COMPUTED_VALUE"""),1)</f>
        <v>1</v>
      </c>
      <c r="M11" s="37">
        <f ca="1">IFERROR(__xludf.DUMMYFUNCTION("""COMPUTED_VALUE"""),1)</f>
        <v>1</v>
      </c>
      <c r="N11" s="39">
        <f ca="1">IFERROR(__xludf.DUMMYFUNCTION("""COMPUTED_VALUE"""),18.02)</f>
        <v>18.02</v>
      </c>
      <c r="O11" s="40">
        <f ca="1">IFERROR(__xludf.DUMMYFUNCTION("""COMPUTED_VALUE"""),60.3)</f>
        <v>60.3</v>
      </c>
      <c r="P11" s="37">
        <f ca="1">IFERROR(__xludf.DUMMYFUNCTION("""COMPUTED_VALUE"""),1)</f>
        <v>1</v>
      </c>
      <c r="Q11" s="37">
        <f ca="1">IFERROR(__xludf.DUMMYFUNCTION("""COMPUTED_VALUE"""),2)</f>
        <v>2</v>
      </c>
      <c r="R11" s="37"/>
      <c r="S11" s="37"/>
      <c r="T11" s="37"/>
      <c r="U11" s="37"/>
      <c r="V11" s="37"/>
    </row>
    <row r="12" spans="1:22" x14ac:dyDescent="0.35">
      <c r="A12" s="37" t="str">
        <f ca="1">IFERROR(__xludf.DUMMYFUNCTION("""COMPUTED_VALUE"""),"5040,40")</f>
        <v>5040,40</v>
      </c>
      <c r="B12" s="37" t="str">
        <f ca="1">IFERROR(__xludf.DUMMYFUNCTION("""COMPUTED_VALUE"""),"Intraclastic packstone")</f>
        <v>Intraclastic packstone</v>
      </c>
      <c r="C12" s="37">
        <f ca="1">IFERROR(__xludf.DUMMYFUNCTION("""COMPUTED_VALUE"""),9)</f>
        <v>9</v>
      </c>
      <c r="D12" s="38">
        <f ca="1">IFERROR(__xludf.DUMMYFUNCTION("""COMPUTED_VALUE"""),53)</f>
        <v>53</v>
      </c>
      <c r="E12" s="37">
        <f ca="1">IFERROR(__xludf.DUMMYFUNCTION("""COMPUTED_VALUE"""),30)</f>
        <v>30</v>
      </c>
      <c r="F12" s="37">
        <f ca="1">IFERROR(__xludf.DUMMYFUNCTION("""COMPUTED_VALUE"""),4)</f>
        <v>4</v>
      </c>
      <c r="G12" s="37">
        <f ca="1">IFERROR(__xludf.DUMMYFUNCTION("""COMPUTED_VALUE"""),1)</f>
        <v>1</v>
      </c>
      <c r="H12" s="37">
        <f ca="1">IFERROR(__xludf.DUMMYFUNCTION("""COMPUTED_VALUE"""),4)</f>
        <v>4</v>
      </c>
      <c r="I12" s="37">
        <f ca="1">IFERROR(__xludf.DUMMYFUNCTION("""COMPUTED_VALUE"""),0)</f>
        <v>0</v>
      </c>
      <c r="J12" s="37">
        <f ca="1">IFERROR(__xludf.DUMMYFUNCTION("""COMPUTED_VALUE"""),8)</f>
        <v>8</v>
      </c>
      <c r="K12" s="38">
        <f ca="1">IFERROR(__xludf.DUMMYFUNCTION("""COMPUTED_VALUE"""),4)</f>
        <v>4</v>
      </c>
      <c r="L12" s="37">
        <f ca="1">IFERROR(__xludf.DUMMYFUNCTION("""COMPUTED_VALUE"""),0)</f>
        <v>0</v>
      </c>
      <c r="M12" s="37">
        <f ca="1">IFERROR(__xludf.DUMMYFUNCTION("""COMPUTED_VALUE"""),1)</f>
        <v>1</v>
      </c>
      <c r="N12" s="39">
        <f ca="1">IFERROR(__xludf.DUMMYFUNCTION("""COMPUTED_VALUE"""),8.48)</f>
        <v>8.48</v>
      </c>
      <c r="O12" s="40">
        <f ca="1">IFERROR(__xludf.DUMMYFUNCTION("""COMPUTED_VALUE"""),94.84)</f>
        <v>94.84</v>
      </c>
      <c r="P12" s="37">
        <f ca="1">IFERROR(__xludf.DUMMYFUNCTION("""COMPUTED_VALUE"""),2)</f>
        <v>2</v>
      </c>
      <c r="Q12" s="37">
        <f ca="1">IFERROR(__xludf.DUMMYFUNCTION("""COMPUTED_VALUE"""),2)</f>
        <v>2</v>
      </c>
      <c r="R12" s="37"/>
      <c r="S12" s="37"/>
      <c r="T12" s="37"/>
      <c r="U12" s="37"/>
      <c r="V12" s="37"/>
    </row>
    <row r="13" spans="1:22" x14ac:dyDescent="0.35">
      <c r="A13" s="37" t="str">
        <f ca="1">IFERROR(__xludf.DUMMYFUNCTION("""COMPUTED_VALUE"""),"5043,00")</f>
        <v>5043,00</v>
      </c>
      <c r="B13" s="37" t="str">
        <f ca="1">IFERROR(__xludf.DUMMYFUNCTION("""COMPUTED_VALUE"""),"Intraclastic packstone")</f>
        <v>Intraclastic packstone</v>
      </c>
      <c r="C13" s="37">
        <f ca="1">IFERROR(__xludf.DUMMYFUNCTION("""COMPUTED_VALUE"""),9)</f>
        <v>9</v>
      </c>
      <c r="D13" s="38">
        <f ca="1">IFERROR(__xludf.DUMMYFUNCTION("""COMPUTED_VALUE"""),29)</f>
        <v>29</v>
      </c>
      <c r="E13" s="37">
        <f ca="1">IFERROR(__xludf.DUMMYFUNCTION("""COMPUTED_VALUE"""),35)</f>
        <v>35</v>
      </c>
      <c r="F13" s="37">
        <f ca="1">IFERROR(__xludf.DUMMYFUNCTION("""COMPUTED_VALUE"""),6)</f>
        <v>6</v>
      </c>
      <c r="G13" s="37">
        <f ca="1">IFERROR(__xludf.DUMMYFUNCTION("""COMPUTED_VALUE"""),10)</f>
        <v>10</v>
      </c>
      <c r="H13" s="37">
        <f ca="1">IFERROR(__xludf.DUMMYFUNCTION("""COMPUTED_VALUE"""),4)</f>
        <v>4</v>
      </c>
      <c r="I13" s="37">
        <f ca="1">IFERROR(__xludf.DUMMYFUNCTION("""COMPUTED_VALUE"""),0)</f>
        <v>0</v>
      </c>
      <c r="J13" s="37">
        <f ca="1">IFERROR(__xludf.DUMMYFUNCTION("""COMPUTED_VALUE"""),18)</f>
        <v>18</v>
      </c>
      <c r="K13" s="38">
        <f ca="1">IFERROR(__xludf.DUMMYFUNCTION("""COMPUTED_VALUE"""),2)</f>
        <v>2</v>
      </c>
      <c r="L13" s="37">
        <f ca="1">IFERROR(__xludf.DUMMYFUNCTION("""COMPUTED_VALUE"""),1)</f>
        <v>1</v>
      </c>
      <c r="M13" s="37">
        <f ca="1">IFERROR(__xludf.DUMMYFUNCTION("""COMPUTED_VALUE"""),1)</f>
        <v>1</v>
      </c>
      <c r="N13" s="39">
        <f ca="1">IFERROR(__xludf.DUMMYFUNCTION("""COMPUTED_VALUE"""),16.61)</f>
        <v>16.61</v>
      </c>
      <c r="O13" s="40">
        <f ca="1">IFERROR(__xludf.DUMMYFUNCTION("""COMPUTED_VALUE"""),43.88)</f>
        <v>43.88</v>
      </c>
      <c r="P13" s="37">
        <f ca="1">IFERROR(__xludf.DUMMYFUNCTION("""COMPUTED_VALUE"""),2)</f>
        <v>2</v>
      </c>
      <c r="Q13" s="37">
        <f ca="1">IFERROR(__xludf.DUMMYFUNCTION("""COMPUTED_VALUE"""),1)</f>
        <v>1</v>
      </c>
      <c r="R13" s="37"/>
      <c r="S13" s="37"/>
      <c r="T13" s="37"/>
      <c r="U13" s="37"/>
      <c r="V13" s="37"/>
    </row>
    <row r="14" spans="1:22" x14ac:dyDescent="0.35">
      <c r="A14" s="37" t="str">
        <f ca="1">IFERROR(__xludf.DUMMYFUNCTION("""COMPUTED_VALUE"""),"5049,00")</f>
        <v>5049,00</v>
      </c>
      <c r="B14" s="37" t="str">
        <f ca="1">IFERROR(__xludf.DUMMYFUNCTION("""COMPUTED_VALUE"""),"Intraclastic packstone")</f>
        <v>Intraclastic packstone</v>
      </c>
      <c r="C14" s="37">
        <f ca="1">IFERROR(__xludf.DUMMYFUNCTION("""COMPUTED_VALUE"""),9)</f>
        <v>9</v>
      </c>
      <c r="D14" s="38">
        <f ca="1">IFERROR(__xludf.DUMMYFUNCTION("""COMPUTED_VALUE"""),38)</f>
        <v>38</v>
      </c>
      <c r="E14" s="37">
        <f ca="1">IFERROR(__xludf.DUMMYFUNCTION("""COMPUTED_VALUE"""),30)</f>
        <v>30</v>
      </c>
      <c r="F14" s="37">
        <f ca="1">IFERROR(__xludf.DUMMYFUNCTION("""COMPUTED_VALUE"""),15)</f>
        <v>15</v>
      </c>
      <c r="G14" s="37">
        <f ca="1">IFERROR(__xludf.DUMMYFUNCTION("""COMPUTED_VALUE"""),5)</f>
        <v>5</v>
      </c>
      <c r="H14" s="37">
        <f ca="1">IFERROR(__xludf.DUMMYFUNCTION("""COMPUTED_VALUE"""),4)</f>
        <v>4</v>
      </c>
      <c r="I14" s="37">
        <f ca="1">IFERROR(__xludf.DUMMYFUNCTION("""COMPUTED_VALUE"""),0)</f>
        <v>0</v>
      </c>
      <c r="J14" s="37">
        <f ca="1">IFERROR(__xludf.DUMMYFUNCTION("""COMPUTED_VALUE"""),10)</f>
        <v>10</v>
      </c>
      <c r="K14" s="38">
        <f ca="1">IFERROR(__xludf.DUMMYFUNCTION("""COMPUTED_VALUE"""),2)</f>
        <v>2</v>
      </c>
      <c r="L14" s="37">
        <f ca="1">IFERROR(__xludf.DUMMYFUNCTION("""COMPUTED_VALUE"""),0)</f>
        <v>0</v>
      </c>
      <c r="M14" s="37">
        <f ca="1">IFERROR(__xludf.DUMMYFUNCTION("""COMPUTED_VALUE"""),0)</f>
        <v>0</v>
      </c>
      <c r="N14" s="39">
        <f ca="1">IFERROR(__xludf.DUMMYFUNCTION("""COMPUTED_VALUE"""),11.65)</f>
        <v>11.65</v>
      </c>
      <c r="O14" s="40">
        <f ca="1">IFERROR(__xludf.DUMMYFUNCTION("""COMPUTED_VALUE"""),29.72)</f>
        <v>29.72</v>
      </c>
      <c r="P14" s="37">
        <f ca="1">IFERROR(__xludf.DUMMYFUNCTION("""COMPUTED_VALUE"""),2)</f>
        <v>2</v>
      </c>
      <c r="Q14" s="37">
        <f ca="1">IFERROR(__xludf.DUMMYFUNCTION("""COMPUTED_VALUE"""),1)</f>
        <v>1</v>
      </c>
      <c r="R14" s="37"/>
      <c r="S14" s="37"/>
      <c r="T14" s="37"/>
      <c r="U14" s="37"/>
      <c r="V14" s="37"/>
    </row>
    <row r="15" spans="1:22" x14ac:dyDescent="0.35">
      <c r="A15" s="37" t="str">
        <f ca="1">IFERROR(__xludf.DUMMYFUNCTION("""COMPUTED_VALUE"""),"5056,50")</f>
        <v>5056,50</v>
      </c>
      <c r="B15" s="37" t="str">
        <f ca="1">IFERROR(__xludf.DUMMYFUNCTION("""COMPUTED_VALUE"""),"Intraclastic packstone")</f>
        <v>Intraclastic packstone</v>
      </c>
      <c r="C15" s="37">
        <f ca="1">IFERROR(__xludf.DUMMYFUNCTION("""COMPUTED_VALUE"""),9)</f>
        <v>9</v>
      </c>
      <c r="D15" s="38">
        <f ca="1">IFERROR(__xludf.DUMMYFUNCTION("""COMPUTED_VALUE"""),59)</f>
        <v>59</v>
      </c>
      <c r="E15" s="37">
        <f ca="1">IFERROR(__xludf.DUMMYFUNCTION("""COMPUTED_VALUE"""),11)</f>
        <v>11</v>
      </c>
      <c r="F15" s="37">
        <f ca="1">IFERROR(__xludf.DUMMYFUNCTION("""COMPUTED_VALUE"""),12)</f>
        <v>12</v>
      </c>
      <c r="G15" s="37">
        <f ca="1">IFERROR(__xludf.DUMMYFUNCTION("""COMPUTED_VALUE"""),0)</f>
        <v>0</v>
      </c>
      <c r="H15" s="37">
        <f ca="1">IFERROR(__xludf.DUMMYFUNCTION("""COMPUTED_VALUE"""),2)</f>
        <v>2</v>
      </c>
      <c r="I15" s="37">
        <f ca="1">IFERROR(__xludf.DUMMYFUNCTION("""COMPUTED_VALUE"""),0)</f>
        <v>0</v>
      </c>
      <c r="J15" s="37">
        <f ca="1">IFERROR(__xludf.DUMMYFUNCTION("""COMPUTED_VALUE"""),12)</f>
        <v>12</v>
      </c>
      <c r="K15" s="38">
        <f ca="1">IFERROR(__xludf.DUMMYFUNCTION("""COMPUTED_VALUE"""),6)</f>
        <v>6</v>
      </c>
      <c r="L15" s="37">
        <f ca="1">IFERROR(__xludf.DUMMYFUNCTION("""COMPUTED_VALUE"""),0)</f>
        <v>0</v>
      </c>
      <c r="M15" s="37">
        <f ca="1">IFERROR(__xludf.DUMMYFUNCTION("""COMPUTED_VALUE"""),0)</f>
        <v>0</v>
      </c>
      <c r="N15" s="39">
        <f ca="1">IFERROR(__xludf.DUMMYFUNCTION("""COMPUTED_VALUE"""),17.02)</f>
        <v>17.02</v>
      </c>
      <c r="O15" s="40">
        <f ca="1">IFERROR(__xludf.DUMMYFUNCTION("""COMPUTED_VALUE"""),99.2)</f>
        <v>99.2</v>
      </c>
      <c r="P15" s="37">
        <f ca="1">IFERROR(__xludf.DUMMYFUNCTION("""COMPUTED_VALUE"""),2)</f>
        <v>2</v>
      </c>
      <c r="Q15" s="37">
        <f ca="1">IFERROR(__xludf.DUMMYFUNCTION("""COMPUTED_VALUE"""),2)</f>
        <v>2</v>
      </c>
      <c r="R15" s="37"/>
      <c r="S15" s="37"/>
      <c r="T15" s="37"/>
      <c r="U15" s="37"/>
      <c r="V15" s="37"/>
    </row>
    <row r="16" spans="1:22" x14ac:dyDescent="0.35">
      <c r="A16" s="37" t="str">
        <f ca="1">IFERROR(__xludf.DUMMYFUNCTION("""COMPUTED_VALUE"""),"5061,00")</f>
        <v>5061,00</v>
      </c>
      <c r="B16" s="37" t="str">
        <f ca="1">IFERROR(__xludf.DUMMYFUNCTION("""COMPUTED_VALUE"""),"Intraclastic packstone")</f>
        <v>Intraclastic packstone</v>
      </c>
      <c r="C16" s="37">
        <f ca="1">IFERROR(__xludf.DUMMYFUNCTION("""COMPUTED_VALUE"""),9)</f>
        <v>9</v>
      </c>
      <c r="D16" s="38">
        <f ca="1">IFERROR(__xludf.DUMMYFUNCTION("""COMPUTED_VALUE"""),67)</f>
        <v>67</v>
      </c>
      <c r="E16" s="37">
        <f ca="1">IFERROR(__xludf.DUMMYFUNCTION("""COMPUTED_VALUE"""),4)</f>
        <v>4</v>
      </c>
      <c r="F16" s="37">
        <f ca="1">IFERROR(__xludf.DUMMYFUNCTION("""COMPUTED_VALUE"""),6)</f>
        <v>6</v>
      </c>
      <c r="G16" s="37">
        <f ca="1">IFERROR(__xludf.DUMMYFUNCTION("""COMPUTED_VALUE"""),0)</f>
        <v>0</v>
      </c>
      <c r="H16" s="37">
        <f ca="1">IFERROR(__xludf.DUMMYFUNCTION("""COMPUTED_VALUE"""),3)</f>
        <v>3</v>
      </c>
      <c r="I16" s="37">
        <f ca="1">IFERROR(__xludf.DUMMYFUNCTION("""COMPUTED_VALUE"""),0)</f>
        <v>0</v>
      </c>
      <c r="J16" s="37">
        <f ca="1">IFERROR(__xludf.DUMMYFUNCTION("""COMPUTED_VALUE"""),20)</f>
        <v>20</v>
      </c>
      <c r="K16" s="38">
        <f ca="1">IFERROR(__xludf.DUMMYFUNCTION("""COMPUTED_VALUE"""),3)</f>
        <v>3</v>
      </c>
      <c r="L16" s="37">
        <f ca="1">IFERROR(__xludf.DUMMYFUNCTION("""COMPUTED_VALUE"""),1)</f>
        <v>1</v>
      </c>
      <c r="M16" s="37">
        <f ca="1">IFERROR(__xludf.DUMMYFUNCTION("""COMPUTED_VALUE"""),1)</f>
        <v>1</v>
      </c>
      <c r="N16" s="39">
        <f ca="1">IFERROR(__xludf.DUMMYFUNCTION("""COMPUTED_VALUE"""),21.5)</f>
        <v>21.5</v>
      </c>
      <c r="O16" s="40">
        <f ca="1">IFERROR(__xludf.DUMMYFUNCTION("""COMPUTED_VALUE"""),456.3)</f>
        <v>456.3</v>
      </c>
      <c r="P16" s="37">
        <f ca="1">IFERROR(__xludf.DUMMYFUNCTION("""COMPUTED_VALUE"""),2)</f>
        <v>2</v>
      </c>
      <c r="Q16" s="37">
        <f ca="1">IFERROR(__xludf.DUMMYFUNCTION("""COMPUTED_VALUE"""),3)</f>
        <v>3</v>
      </c>
      <c r="R16" s="37"/>
      <c r="S16" s="37"/>
      <c r="T16" s="37"/>
      <c r="U16" s="37"/>
      <c r="V16" s="37"/>
    </row>
    <row r="17" spans="1:22" x14ac:dyDescent="0.35">
      <c r="A17" s="37" t="str">
        <f ca="1">IFERROR(__xludf.DUMMYFUNCTION("""COMPUTED_VALUE"""),"5064,50")</f>
        <v>5064,50</v>
      </c>
      <c r="B17" s="37" t="str">
        <f ca="1">IFERROR(__xludf.DUMMYFUNCTION("""COMPUTED_VALUE"""),"Intraclastic packstone")</f>
        <v>Intraclastic packstone</v>
      </c>
      <c r="C17" s="37">
        <f ca="1">IFERROR(__xludf.DUMMYFUNCTION("""COMPUTED_VALUE"""),9)</f>
        <v>9</v>
      </c>
      <c r="D17" s="38">
        <f ca="1">IFERROR(__xludf.DUMMYFUNCTION("""COMPUTED_VALUE"""),51)</f>
        <v>51</v>
      </c>
      <c r="E17" s="37">
        <f ca="1">IFERROR(__xludf.DUMMYFUNCTION("""COMPUTED_VALUE"""),5)</f>
        <v>5</v>
      </c>
      <c r="F17" s="37">
        <f ca="1">IFERROR(__xludf.DUMMYFUNCTION("""COMPUTED_VALUE"""),24)</f>
        <v>24</v>
      </c>
      <c r="G17" s="37">
        <f ca="1">IFERROR(__xludf.DUMMYFUNCTION("""COMPUTED_VALUE"""),5)</f>
        <v>5</v>
      </c>
      <c r="H17" s="37">
        <f ca="1">IFERROR(__xludf.DUMMYFUNCTION("""COMPUTED_VALUE"""),3)</f>
        <v>3</v>
      </c>
      <c r="I17" s="37">
        <f ca="1">IFERROR(__xludf.DUMMYFUNCTION("""COMPUTED_VALUE"""),0)</f>
        <v>0</v>
      </c>
      <c r="J17" s="37">
        <f ca="1">IFERROR(__xludf.DUMMYFUNCTION("""COMPUTED_VALUE"""),10)</f>
        <v>10</v>
      </c>
      <c r="K17" s="38">
        <f ca="1">IFERROR(__xludf.DUMMYFUNCTION("""COMPUTED_VALUE"""),5)</f>
        <v>5</v>
      </c>
      <c r="L17" s="37">
        <f ca="1">IFERROR(__xludf.DUMMYFUNCTION("""COMPUTED_VALUE"""),0)</f>
        <v>0</v>
      </c>
      <c r="M17" s="37">
        <f ca="1">IFERROR(__xludf.DUMMYFUNCTION("""COMPUTED_VALUE"""),0)</f>
        <v>0</v>
      </c>
      <c r="N17" s="39">
        <f ca="1">IFERROR(__xludf.DUMMYFUNCTION("""COMPUTED_VALUE"""),18.24)</f>
        <v>18.239999999999998</v>
      </c>
      <c r="O17" s="40">
        <f ca="1">IFERROR(__xludf.DUMMYFUNCTION("""COMPUTED_VALUE"""),20.34)</f>
        <v>20.34</v>
      </c>
      <c r="P17" s="37">
        <f ca="1">IFERROR(__xludf.DUMMYFUNCTION("""COMPUTED_VALUE"""),2)</f>
        <v>2</v>
      </c>
      <c r="Q17" s="37">
        <f ca="1">IFERROR(__xludf.DUMMYFUNCTION("""COMPUTED_VALUE"""),1)</f>
        <v>1</v>
      </c>
      <c r="R17" s="37"/>
      <c r="S17" s="37"/>
      <c r="T17" s="37"/>
      <c r="U17" s="37"/>
      <c r="V17" s="37"/>
    </row>
    <row r="18" spans="1:22" x14ac:dyDescent="0.35">
      <c r="A18" s="37" t="str">
        <f ca="1">IFERROR(__xludf.DUMMYFUNCTION("""COMPUTED_VALUE"""),"5073,00")</f>
        <v>5073,00</v>
      </c>
      <c r="B18" s="37" t="str">
        <f ca="1">IFERROR(__xludf.DUMMYFUNCTION("""COMPUTED_VALUE"""),"Intraclastic rudstone")</f>
        <v>Intraclastic rudstone</v>
      </c>
      <c r="C18" s="37">
        <f ca="1">IFERROR(__xludf.DUMMYFUNCTION("""COMPUTED_VALUE"""),10)</f>
        <v>10</v>
      </c>
      <c r="D18" s="38">
        <f ca="1">IFERROR(__xludf.DUMMYFUNCTION("""COMPUTED_VALUE"""),58)</f>
        <v>58</v>
      </c>
      <c r="E18" s="37">
        <f ca="1">IFERROR(__xludf.DUMMYFUNCTION("""COMPUTED_VALUE"""),23)</f>
        <v>23</v>
      </c>
      <c r="F18" s="37">
        <f ca="1">IFERROR(__xludf.DUMMYFUNCTION("""COMPUTED_VALUE"""),10)</f>
        <v>10</v>
      </c>
      <c r="G18" s="37">
        <f ca="1">IFERROR(__xludf.DUMMYFUNCTION("""COMPUTED_VALUE"""),0)</f>
        <v>0</v>
      </c>
      <c r="H18" s="37">
        <f ca="1">IFERROR(__xludf.DUMMYFUNCTION("""COMPUTED_VALUE"""),0)</f>
        <v>0</v>
      </c>
      <c r="I18" s="37">
        <f ca="1">IFERROR(__xludf.DUMMYFUNCTION("""COMPUTED_VALUE"""),1)</f>
        <v>1</v>
      </c>
      <c r="J18" s="37">
        <f ca="1">IFERROR(__xludf.DUMMYFUNCTION("""COMPUTED_VALUE"""),8)</f>
        <v>8</v>
      </c>
      <c r="K18" s="38">
        <f ca="1">IFERROR(__xludf.DUMMYFUNCTION("""COMPUTED_VALUE"""),1)</f>
        <v>1</v>
      </c>
      <c r="L18" s="37">
        <f ca="1">IFERROR(__xludf.DUMMYFUNCTION("""COMPUTED_VALUE"""),1)</f>
        <v>1</v>
      </c>
      <c r="M18" s="37">
        <f ca="1">IFERROR(__xludf.DUMMYFUNCTION("""COMPUTED_VALUE"""),0)</f>
        <v>0</v>
      </c>
      <c r="N18" s="39">
        <f ca="1">IFERROR(__xludf.DUMMYFUNCTION("""COMPUTED_VALUE"""),21.14)</f>
        <v>21.14</v>
      </c>
      <c r="O18" s="40">
        <f ca="1">IFERROR(__xludf.DUMMYFUNCTION("""COMPUTED_VALUE"""),23.4)</f>
        <v>23.4</v>
      </c>
      <c r="P18" s="37">
        <f ca="1">IFERROR(__xludf.DUMMYFUNCTION("""COMPUTED_VALUE"""),2)</f>
        <v>2</v>
      </c>
      <c r="Q18" s="37">
        <f ca="1">IFERROR(__xludf.DUMMYFUNCTION("""COMPUTED_VALUE"""),1)</f>
        <v>1</v>
      </c>
      <c r="R18" s="37"/>
      <c r="S18" s="37"/>
      <c r="T18" s="37"/>
      <c r="U18" s="37"/>
      <c r="V18" s="37"/>
    </row>
    <row r="19" spans="1:22" x14ac:dyDescent="0.35">
      <c r="A19" s="37" t="str">
        <f ca="1">IFERROR(__xludf.DUMMYFUNCTION("""COMPUTED_VALUE"""),"5077,00")</f>
        <v>5077,00</v>
      </c>
      <c r="B19" s="37" t="str">
        <f ca="1">IFERROR(__xludf.DUMMYFUNCTION("""COMPUTED_VALUE"""),"Intraclastic rudstone")</f>
        <v>Intraclastic rudstone</v>
      </c>
      <c r="C19" s="37">
        <f ca="1">IFERROR(__xludf.DUMMYFUNCTION("""COMPUTED_VALUE"""),10)</f>
        <v>10</v>
      </c>
      <c r="D19" s="38">
        <f ca="1">IFERROR(__xludf.DUMMYFUNCTION("""COMPUTED_VALUE"""),52)</f>
        <v>52</v>
      </c>
      <c r="E19" s="37">
        <f ca="1">IFERROR(__xludf.DUMMYFUNCTION("""COMPUTED_VALUE"""),8)</f>
        <v>8</v>
      </c>
      <c r="F19" s="37">
        <f ca="1">IFERROR(__xludf.DUMMYFUNCTION("""COMPUTED_VALUE"""),15)</f>
        <v>15</v>
      </c>
      <c r="G19" s="37">
        <f ca="1">IFERROR(__xludf.DUMMYFUNCTION("""COMPUTED_VALUE"""),5)</f>
        <v>5</v>
      </c>
      <c r="H19" s="37">
        <f ca="1">IFERROR(__xludf.DUMMYFUNCTION("""COMPUTED_VALUE"""),0)</f>
        <v>0</v>
      </c>
      <c r="I19" s="37">
        <f ca="1">IFERROR(__xludf.DUMMYFUNCTION("""COMPUTED_VALUE"""),1)</f>
        <v>1</v>
      </c>
      <c r="J19" s="37">
        <f ca="1">IFERROR(__xludf.DUMMYFUNCTION("""COMPUTED_VALUE"""),10)</f>
        <v>10</v>
      </c>
      <c r="K19" s="38">
        <f ca="1">IFERROR(__xludf.DUMMYFUNCTION("""COMPUTED_VALUE"""),10)</f>
        <v>10</v>
      </c>
      <c r="L19" s="37">
        <f ca="1">IFERROR(__xludf.DUMMYFUNCTION("""COMPUTED_VALUE"""),0)</f>
        <v>0</v>
      </c>
      <c r="M19" s="37">
        <f ca="1">IFERROR(__xludf.DUMMYFUNCTION("""COMPUTED_VALUE"""),0)</f>
        <v>0</v>
      </c>
      <c r="N19" s="39">
        <f ca="1">IFERROR(__xludf.DUMMYFUNCTION("""COMPUTED_VALUE"""),22.23)</f>
        <v>22.23</v>
      </c>
      <c r="O19" s="40">
        <f ca="1">IFERROR(__xludf.DUMMYFUNCTION("""COMPUTED_VALUE"""),31.34)</f>
        <v>31.34</v>
      </c>
      <c r="P19" s="37">
        <f ca="1">IFERROR(__xludf.DUMMYFUNCTION("""COMPUTED_VALUE"""),2)</f>
        <v>2</v>
      </c>
      <c r="Q19" s="37">
        <f ca="1">IFERROR(__xludf.DUMMYFUNCTION("""COMPUTED_VALUE"""),1)</f>
        <v>1</v>
      </c>
      <c r="R19" s="37"/>
      <c r="S19" s="37"/>
      <c r="T19" s="37"/>
      <c r="U19" s="37"/>
      <c r="V19" s="37"/>
    </row>
    <row r="20" spans="1:22" x14ac:dyDescent="0.35">
      <c r="A20" s="37" t="str">
        <f ca="1">IFERROR(__xludf.DUMMYFUNCTION("""COMPUTED_VALUE"""),"5084,00")</f>
        <v>5084,00</v>
      </c>
      <c r="B20" s="37" t="str">
        <f ca="1">IFERROR(__xludf.DUMMYFUNCTION("""COMPUTED_VALUE"""),"Intraclastic rudstone")</f>
        <v>Intraclastic rudstone</v>
      </c>
      <c r="C20" s="37">
        <f ca="1">IFERROR(__xludf.DUMMYFUNCTION("""COMPUTED_VALUE"""),10)</f>
        <v>10</v>
      </c>
      <c r="D20" s="38">
        <f ca="1">IFERROR(__xludf.DUMMYFUNCTION("""COMPUTED_VALUE"""),52)</f>
        <v>52</v>
      </c>
      <c r="E20" s="37">
        <f ca="1">IFERROR(__xludf.DUMMYFUNCTION("""COMPUTED_VALUE"""),20)</f>
        <v>20</v>
      </c>
      <c r="F20" s="37">
        <f ca="1">IFERROR(__xludf.DUMMYFUNCTION("""COMPUTED_VALUE"""),15)</f>
        <v>15</v>
      </c>
      <c r="G20" s="37">
        <f ca="1">IFERROR(__xludf.DUMMYFUNCTION("""COMPUTED_VALUE"""),0)</f>
        <v>0</v>
      </c>
      <c r="H20" s="37">
        <f ca="1">IFERROR(__xludf.DUMMYFUNCTION("""COMPUTED_VALUE"""),0)</f>
        <v>0</v>
      </c>
      <c r="I20" s="37">
        <f ca="1">IFERROR(__xludf.DUMMYFUNCTION("""COMPUTED_VALUE"""),1)</f>
        <v>1</v>
      </c>
      <c r="J20" s="37">
        <f ca="1">IFERROR(__xludf.DUMMYFUNCTION("""COMPUTED_VALUE"""),8)</f>
        <v>8</v>
      </c>
      <c r="K20" s="38">
        <f ca="1">IFERROR(__xludf.DUMMYFUNCTION("""COMPUTED_VALUE"""),5)</f>
        <v>5</v>
      </c>
      <c r="L20" s="37">
        <f ca="1">IFERROR(__xludf.DUMMYFUNCTION("""COMPUTED_VALUE"""),1)</f>
        <v>1</v>
      </c>
      <c r="M20" s="37">
        <f ca="1">IFERROR(__xludf.DUMMYFUNCTION("""COMPUTED_VALUE"""),0)</f>
        <v>0</v>
      </c>
      <c r="N20" s="39">
        <f ca="1">IFERROR(__xludf.DUMMYFUNCTION("""COMPUTED_VALUE"""),16.57)</f>
        <v>16.57</v>
      </c>
      <c r="O20" s="40">
        <f ca="1">IFERROR(__xludf.DUMMYFUNCTION("""COMPUTED_VALUE"""),70.92)</f>
        <v>70.92</v>
      </c>
      <c r="P20" s="37">
        <f ca="1">IFERROR(__xludf.DUMMYFUNCTION("""COMPUTED_VALUE"""),2)</f>
        <v>2</v>
      </c>
      <c r="Q20" s="37">
        <f ca="1">IFERROR(__xludf.DUMMYFUNCTION("""COMPUTED_VALUE"""),2)</f>
        <v>2</v>
      </c>
      <c r="R20" s="37"/>
      <c r="S20" s="37"/>
      <c r="T20" s="37"/>
      <c r="U20" s="37"/>
      <c r="V20" s="37"/>
    </row>
    <row r="21" spans="1:22" x14ac:dyDescent="0.35">
      <c r="A21" s="37" t="str">
        <f ca="1">IFERROR(__xludf.DUMMYFUNCTION("""COMPUTED_VALUE"""),"5091,00")</f>
        <v>5091,00</v>
      </c>
      <c r="B21" s="37" t="str">
        <f ca="1">IFERROR(__xludf.DUMMYFUNCTION("""COMPUTED_VALUE"""),"Intraclastic packstone")</f>
        <v>Intraclastic packstone</v>
      </c>
      <c r="C21" s="37">
        <f ca="1">IFERROR(__xludf.DUMMYFUNCTION("""COMPUTED_VALUE"""),9)</f>
        <v>9</v>
      </c>
      <c r="D21" s="38">
        <f ca="1">IFERROR(__xludf.DUMMYFUNCTION("""COMPUTED_VALUE"""),49)</f>
        <v>49</v>
      </c>
      <c r="E21" s="37">
        <f ca="1">IFERROR(__xludf.DUMMYFUNCTION("""COMPUTED_VALUE"""),5)</f>
        <v>5</v>
      </c>
      <c r="F21" s="37">
        <f ca="1">IFERROR(__xludf.DUMMYFUNCTION("""COMPUTED_VALUE"""),16)</f>
        <v>16</v>
      </c>
      <c r="G21" s="37">
        <f ca="1">IFERROR(__xludf.DUMMYFUNCTION("""COMPUTED_VALUE"""),8)</f>
        <v>8</v>
      </c>
      <c r="H21" s="37">
        <f ca="1">IFERROR(__xludf.DUMMYFUNCTION("""COMPUTED_VALUE"""),3)</f>
        <v>3</v>
      </c>
      <c r="I21" s="37">
        <f ca="1">IFERROR(__xludf.DUMMYFUNCTION("""COMPUTED_VALUE"""),0)</f>
        <v>0</v>
      </c>
      <c r="J21" s="37">
        <f ca="1">IFERROR(__xludf.DUMMYFUNCTION("""COMPUTED_VALUE"""),18)</f>
        <v>18</v>
      </c>
      <c r="K21" s="38">
        <f ca="1">IFERROR(__xludf.DUMMYFUNCTION("""COMPUTED_VALUE"""),4)</f>
        <v>4</v>
      </c>
      <c r="L21" s="37">
        <f ca="1">IFERROR(__xludf.DUMMYFUNCTION("""COMPUTED_VALUE"""),0)</f>
        <v>0</v>
      </c>
      <c r="M21" s="37">
        <f ca="1">IFERROR(__xludf.DUMMYFUNCTION("""COMPUTED_VALUE"""),1)</f>
        <v>1</v>
      </c>
      <c r="N21" s="39">
        <f ca="1">IFERROR(__xludf.DUMMYFUNCTION("""COMPUTED_VALUE"""),20.84)</f>
        <v>20.84</v>
      </c>
      <c r="O21" s="40">
        <f ca="1">IFERROR(__xludf.DUMMYFUNCTION("""COMPUTED_VALUE"""),788.4)</f>
        <v>788.4</v>
      </c>
      <c r="P21" s="37">
        <f ca="1">IFERROR(__xludf.DUMMYFUNCTION("""COMPUTED_VALUE"""),2)</f>
        <v>2</v>
      </c>
      <c r="Q21" s="37">
        <f ca="1">IFERROR(__xludf.DUMMYFUNCTION("""COMPUTED_VALUE"""),4)</f>
        <v>4</v>
      </c>
      <c r="R21" s="37"/>
      <c r="S21" s="37"/>
      <c r="T21" s="37"/>
      <c r="U21" s="37"/>
      <c r="V21" s="37"/>
    </row>
    <row r="22" spans="1:22" x14ac:dyDescent="0.35">
      <c r="A22" s="37" t="str">
        <f ca="1">IFERROR(__xludf.DUMMYFUNCTION("""COMPUTED_VALUE"""),"5099,00")</f>
        <v>5099,00</v>
      </c>
      <c r="B22" s="37" t="str">
        <f ca="1">IFERROR(__xludf.DUMMYFUNCTION("""COMPUTED_VALUE"""),"Intraclastic packstone")</f>
        <v>Intraclastic packstone</v>
      </c>
      <c r="C22" s="37">
        <f ca="1">IFERROR(__xludf.DUMMYFUNCTION("""COMPUTED_VALUE"""),9)</f>
        <v>9</v>
      </c>
      <c r="D22" s="38">
        <f ca="1">IFERROR(__xludf.DUMMYFUNCTION("""COMPUTED_VALUE"""),47)</f>
        <v>47</v>
      </c>
      <c r="E22" s="37">
        <f ca="1">IFERROR(__xludf.DUMMYFUNCTION("""COMPUTED_VALUE"""),17)</f>
        <v>17</v>
      </c>
      <c r="F22" s="37">
        <f ca="1">IFERROR(__xludf.DUMMYFUNCTION("""COMPUTED_VALUE"""),15)</f>
        <v>15</v>
      </c>
      <c r="G22" s="37">
        <f ca="1">IFERROR(__xludf.DUMMYFUNCTION("""COMPUTED_VALUE"""),2)</f>
        <v>2</v>
      </c>
      <c r="H22" s="37">
        <f ca="1">IFERROR(__xludf.DUMMYFUNCTION("""COMPUTED_VALUE"""),3)</f>
        <v>3</v>
      </c>
      <c r="I22" s="37">
        <f ca="1">IFERROR(__xludf.DUMMYFUNCTION("""COMPUTED_VALUE"""),0)</f>
        <v>0</v>
      </c>
      <c r="J22" s="37">
        <f ca="1">IFERROR(__xludf.DUMMYFUNCTION("""COMPUTED_VALUE"""),16)</f>
        <v>16</v>
      </c>
      <c r="K22" s="38">
        <f ca="1">IFERROR(__xludf.DUMMYFUNCTION("""COMPUTED_VALUE"""),3)</f>
        <v>3</v>
      </c>
      <c r="L22" s="37">
        <f ca="1">IFERROR(__xludf.DUMMYFUNCTION("""COMPUTED_VALUE"""),0)</f>
        <v>0</v>
      </c>
      <c r="M22" s="37">
        <f ca="1">IFERROR(__xludf.DUMMYFUNCTION("""COMPUTED_VALUE"""),0)</f>
        <v>0</v>
      </c>
      <c r="N22" s="39">
        <f ca="1">IFERROR(__xludf.DUMMYFUNCTION("""COMPUTED_VALUE"""),16.77)</f>
        <v>16.77</v>
      </c>
      <c r="O22" s="40">
        <f ca="1">IFERROR(__xludf.DUMMYFUNCTION("""COMPUTED_VALUE"""),19.3)</f>
        <v>19.3</v>
      </c>
      <c r="P22" s="37">
        <f ca="1">IFERROR(__xludf.DUMMYFUNCTION("""COMPUTED_VALUE"""),2)</f>
        <v>2</v>
      </c>
      <c r="Q22" s="37">
        <f ca="1">IFERROR(__xludf.DUMMYFUNCTION("""COMPUTED_VALUE"""),1)</f>
        <v>1</v>
      </c>
      <c r="R22" s="37"/>
      <c r="S22" s="37"/>
      <c r="T22" s="37"/>
      <c r="U22" s="37"/>
      <c r="V22" s="37"/>
    </row>
    <row r="23" spans="1:22" x14ac:dyDescent="0.35">
      <c r="A23" s="37" t="str">
        <f ca="1">IFERROR(__xludf.DUMMYFUNCTION("""COMPUTED_VALUE"""),"5110,10")</f>
        <v>5110,10</v>
      </c>
      <c r="B23" s="37" t="str">
        <f ca="1">IFERROR(__xludf.DUMMYFUNCTION("""COMPUTED_VALUE"""),"Intraclastic packstone")</f>
        <v>Intraclastic packstone</v>
      </c>
      <c r="C23" s="37">
        <f ca="1">IFERROR(__xludf.DUMMYFUNCTION("""COMPUTED_VALUE"""),9)</f>
        <v>9</v>
      </c>
      <c r="D23" s="38">
        <f ca="1">IFERROR(__xludf.DUMMYFUNCTION("""COMPUTED_VALUE"""),60)</f>
        <v>60</v>
      </c>
      <c r="E23" s="37">
        <f ca="1">IFERROR(__xludf.DUMMYFUNCTION("""COMPUTED_VALUE"""),18)</f>
        <v>18</v>
      </c>
      <c r="F23" s="37">
        <f ca="1">IFERROR(__xludf.DUMMYFUNCTION("""COMPUTED_VALUE"""),2)</f>
        <v>2</v>
      </c>
      <c r="G23" s="37">
        <f ca="1">IFERROR(__xludf.DUMMYFUNCTION("""COMPUTED_VALUE"""),0)</f>
        <v>0</v>
      </c>
      <c r="H23" s="37">
        <f ca="1">IFERROR(__xludf.DUMMYFUNCTION("""COMPUTED_VALUE"""),3)</f>
        <v>3</v>
      </c>
      <c r="I23" s="37">
        <f ca="1">IFERROR(__xludf.DUMMYFUNCTION("""COMPUTED_VALUE"""),0)</f>
        <v>0</v>
      </c>
      <c r="J23" s="37">
        <f ca="1">IFERROR(__xludf.DUMMYFUNCTION("""COMPUTED_VALUE"""),10)</f>
        <v>10</v>
      </c>
      <c r="K23" s="38">
        <f ca="1">IFERROR(__xludf.DUMMYFUNCTION("""COMPUTED_VALUE"""),10)</f>
        <v>10</v>
      </c>
      <c r="L23" s="37">
        <f ca="1">IFERROR(__xludf.DUMMYFUNCTION("""COMPUTED_VALUE"""),1)</f>
        <v>1</v>
      </c>
      <c r="M23" s="37">
        <f ca="1">IFERROR(__xludf.DUMMYFUNCTION("""COMPUTED_VALUE"""),1)</f>
        <v>1</v>
      </c>
      <c r="N23" s="39">
        <f ca="1">IFERROR(__xludf.DUMMYFUNCTION("""COMPUTED_VALUE"""),22.8)</f>
        <v>22.8</v>
      </c>
      <c r="O23" s="40">
        <f ca="1">IFERROR(__xludf.DUMMYFUNCTION("""COMPUTED_VALUE"""),528)</f>
        <v>528</v>
      </c>
      <c r="P23" s="37">
        <f ca="1">IFERROR(__xludf.DUMMYFUNCTION("""COMPUTED_VALUE"""),2)</f>
        <v>2</v>
      </c>
      <c r="Q23" s="37">
        <f ca="1">IFERROR(__xludf.DUMMYFUNCTION("""COMPUTED_VALUE"""),4)</f>
        <v>4</v>
      </c>
      <c r="R23" s="37"/>
      <c r="S23" s="37"/>
      <c r="T23" s="37"/>
      <c r="U23" s="37"/>
      <c r="V23" s="37"/>
    </row>
    <row r="24" spans="1:22" x14ac:dyDescent="0.35">
      <c r="A24" s="37" t="str">
        <f ca="1">IFERROR(__xludf.DUMMYFUNCTION("""COMPUTED_VALUE"""),"5111,10")</f>
        <v>5111,10</v>
      </c>
      <c r="B24" s="37" t="str">
        <f ca="1">IFERROR(__xludf.DUMMYFUNCTION("""COMPUTED_VALUE"""),"Intraclastic packstone")</f>
        <v>Intraclastic packstone</v>
      </c>
      <c r="C24" s="37">
        <f ca="1">IFERROR(__xludf.DUMMYFUNCTION("""COMPUTED_VALUE"""),9)</f>
        <v>9</v>
      </c>
      <c r="D24" s="38">
        <f ca="1">IFERROR(__xludf.DUMMYFUNCTION("""COMPUTED_VALUE"""),57)</f>
        <v>57</v>
      </c>
      <c r="E24" s="37">
        <f ca="1">IFERROR(__xludf.DUMMYFUNCTION("""COMPUTED_VALUE"""),20)</f>
        <v>20</v>
      </c>
      <c r="F24" s="37">
        <f ca="1">IFERROR(__xludf.DUMMYFUNCTION("""COMPUTED_VALUE"""),10)</f>
        <v>10</v>
      </c>
      <c r="G24" s="37">
        <f ca="1">IFERROR(__xludf.DUMMYFUNCTION("""COMPUTED_VALUE"""),0)</f>
        <v>0</v>
      </c>
      <c r="H24" s="37">
        <f ca="1">IFERROR(__xludf.DUMMYFUNCTION("""COMPUTED_VALUE"""),3)</f>
        <v>3</v>
      </c>
      <c r="I24" s="37">
        <f ca="1">IFERROR(__xludf.DUMMYFUNCTION("""COMPUTED_VALUE"""),0)</f>
        <v>0</v>
      </c>
      <c r="J24" s="37">
        <f ca="1">IFERROR(__xludf.DUMMYFUNCTION("""COMPUTED_VALUE"""),12)</f>
        <v>12</v>
      </c>
      <c r="K24" s="38">
        <f ca="1">IFERROR(__xludf.DUMMYFUNCTION("""COMPUTED_VALUE"""),1)</f>
        <v>1</v>
      </c>
      <c r="L24" s="37">
        <f ca="1">IFERROR(__xludf.DUMMYFUNCTION("""COMPUTED_VALUE"""),0)</f>
        <v>0</v>
      </c>
      <c r="M24" s="37">
        <f ca="1">IFERROR(__xludf.DUMMYFUNCTION("""COMPUTED_VALUE"""),0)</f>
        <v>0</v>
      </c>
      <c r="N24" s="39">
        <f ca="1">IFERROR(__xludf.DUMMYFUNCTION("""COMPUTED_VALUE"""),19.6)</f>
        <v>19.600000000000001</v>
      </c>
      <c r="O24" s="40">
        <f ca="1">IFERROR(__xludf.DUMMYFUNCTION("""COMPUTED_VALUE"""),38.6)</f>
        <v>38.6</v>
      </c>
      <c r="P24" s="37">
        <f ca="1">IFERROR(__xludf.DUMMYFUNCTION("""COMPUTED_VALUE"""),2)</f>
        <v>2</v>
      </c>
      <c r="Q24" s="37">
        <f ca="1">IFERROR(__xludf.DUMMYFUNCTION("""COMPUTED_VALUE"""),1)</f>
        <v>1</v>
      </c>
      <c r="R24" s="37"/>
      <c r="S24" s="37"/>
      <c r="T24" s="37"/>
      <c r="U24" s="37"/>
      <c r="V24" s="37"/>
    </row>
    <row r="25" spans="1:22" x14ac:dyDescent="0.35">
      <c r="A25" s="37" t="str">
        <f ca="1">IFERROR(__xludf.DUMMYFUNCTION("""COMPUTED_VALUE"""),"5111,65")</f>
        <v>5111,65</v>
      </c>
      <c r="B25" s="37" t="str">
        <f ca="1">IFERROR(__xludf.DUMMYFUNCTION("""COMPUTED_VALUE"""),"Intraclastic grainstone")</f>
        <v>Intraclastic grainstone</v>
      </c>
      <c r="C25" s="37">
        <f ca="1">IFERROR(__xludf.DUMMYFUNCTION("""COMPUTED_VALUE"""),8)</f>
        <v>8</v>
      </c>
      <c r="D25" s="38">
        <f ca="1">IFERROR(__xludf.DUMMYFUNCTION("""COMPUTED_VALUE"""),58)</f>
        <v>58</v>
      </c>
      <c r="E25" s="37">
        <f ca="1">IFERROR(__xludf.DUMMYFUNCTION("""COMPUTED_VALUE"""),8)</f>
        <v>8</v>
      </c>
      <c r="F25" s="37">
        <f ca="1">IFERROR(__xludf.DUMMYFUNCTION("""COMPUTED_VALUE"""),0)</f>
        <v>0</v>
      </c>
      <c r="G25" s="37">
        <f ca="1">IFERROR(__xludf.DUMMYFUNCTION("""COMPUTED_VALUE"""),2)</f>
        <v>2</v>
      </c>
      <c r="H25" s="37">
        <f ca="1">IFERROR(__xludf.DUMMYFUNCTION("""COMPUTED_VALUE"""),3)</f>
        <v>3</v>
      </c>
      <c r="I25" s="37">
        <f ca="1">IFERROR(__xludf.DUMMYFUNCTION("""COMPUTED_VALUE"""),0)</f>
        <v>0</v>
      </c>
      <c r="J25" s="37">
        <f ca="1">IFERROR(__xludf.DUMMYFUNCTION("""COMPUTED_VALUE"""),25)</f>
        <v>25</v>
      </c>
      <c r="K25" s="38">
        <f ca="1">IFERROR(__xludf.DUMMYFUNCTION("""COMPUTED_VALUE"""),7)</f>
        <v>7</v>
      </c>
      <c r="L25" s="37">
        <f ca="1">IFERROR(__xludf.DUMMYFUNCTION("""COMPUTED_VALUE"""),0)</f>
        <v>0</v>
      </c>
      <c r="M25" s="37">
        <f ca="1">IFERROR(__xludf.DUMMYFUNCTION("""COMPUTED_VALUE"""),1)</f>
        <v>1</v>
      </c>
      <c r="N25" s="39">
        <f ca="1">IFERROR(__xludf.DUMMYFUNCTION("""COMPUTED_VALUE"""),19.9)</f>
        <v>19.899999999999999</v>
      </c>
      <c r="O25" s="40">
        <f ca="1">IFERROR(__xludf.DUMMYFUNCTION("""COMPUTED_VALUE"""),1700)</f>
        <v>1700</v>
      </c>
      <c r="P25" s="37">
        <f ca="1">IFERROR(__xludf.DUMMYFUNCTION("""COMPUTED_VALUE"""),2)</f>
        <v>2</v>
      </c>
      <c r="Q25" s="37">
        <f ca="1">IFERROR(__xludf.DUMMYFUNCTION("""COMPUTED_VALUE"""),5)</f>
        <v>5</v>
      </c>
      <c r="R25" s="37"/>
      <c r="S25" s="37"/>
      <c r="T25" s="37"/>
      <c r="U25" s="37"/>
      <c r="V25" s="37"/>
    </row>
    <row r="26" spans="1:22" x14ac:dyDescent="0.35">
      <c r="A26" s="37" t="str">
        <f ca="1">IFERROR(__xludf.DUMMYFUNCTION("""COMPUTED_VALUE"""),"5111,95")</f>
        <v>5111,95</v>
      </c>
      <c r="B26" s="37" t="str">
        <f ca="1">IFERROR(__xludf.DUMMYFUNCTION("""COMPUTED_VALUE"""),"Intraclastic grainstone")</f>
        <v>Intraclastic grainstone</v>
      </c>
      <c r="C26" s="37">
        <f ca="1">IFERROR(__xludf.DUMMYFUNCTION("""COMPUTED_VALUE"""),8)</f>
        <v>8</v>
      </c>
      <c r="D26" s="38">
        <f ca="1">IFERROR(__xludf.DUMMYFUNCTION("""COMPUTED_VALUE"""),66)</f>
        <v>66</v>
      </c>
      <c r="E26" s="37">
        <f ca="1">IFERROR(__xludf.DUMMYFUNCTION("""COMPUTED_VALUE"""),0)</f>
        <v>0</v>
      </c>
      <c r="F26" s="37">
        <f ca="1">IFERROR(__xludf.DUMMYFUNCTION("""COMPUTED_VALUE"""),1)</f>
        <v>1</v>
      </c>
      <c r="G26" s="37">
        <f ca="1">IFERROR(__xludf.DUMMYFUNCTION("""COMPUTED_VALUE"""),0)</f>
        <v>0</v>
      </c>
      <c r="H26" s="37">
        <f ca="1">IFERROR(__xludf.DUMMYFUNCTION("""COMPUTED_VALUE"""),4)</f>
        <v>4</v>
      </c>
      <c r="I26" s="37">
        <f ca="1">IFERROR(__xludf.DUMMYFUNCTION("""COMPUTED_VALUE"""),0)</f>
        <v>0</v>
      </c>
      <c r="J26" s="37">
        <f ca="1">IFERROR(__xludf.DUMMYFUNCTION("""COMPUTED_VALUE"""),30)</f>
        <v>30</v>
      </c>
      <c r="K26" s="38">
        <f ca="1">IFERROR(__xludf.DUMMYFUNCTION("""COMPUTED_VALUE"""),3)</f>
        <v>3</v>
      </c>
      <c r="L26" s="37">
        <f ca="1">IFERROR(__xludf.DUMMYFUNCTION("""COMPUTED_VALUE"""),1)</f>
        <v>1</v>
      </c>
      <c r="M26" s="37">
        <f ca="1">IFERROR(__xludf.DUMMYFUNCTION("""COMPUTED_VALUE"""),1)</f>
        <v>1</v>
      </c>
      <c r="N26" s="39">
        <f ca="1">IFERROR(__xludf.DUMMYFUNCTION("""COMPUTED_VALUE"""),24.6)</f>
        <v>24.6</v>
      </c>
      <c r="O26" s="40">
        <f ca="1">IFERROR(__xludf.DUMMYFUNCTION("""COMPUTED_VALUE"""),9500)</f>
        <v>9500</v>
      </c>
      <c r="P26" s="37">
        <f ca="1">IFERROR(__xludf.DUMMYFUNCTION("""COMPUTED_VALUE"""),2)</f>
        <v>2</v>
      </c>
      <c r="Q26" s="37">
        <f ca="1">IFERROR(__xludf.DUMMYFUNCTION("""COMPUTED_VALUE"""),5)</f>
        <v>5</v>
      </c>
      <c r="R26" s="37"/>
      <c r="S26" s="37"/>
      <c r="T26" s="37"/>
      <c r="U26" s="37"/>
      <c r="V26" s="37"/>
    </row>
    <row r="27" spans="1:22" x14ac:dyDescent="0.35">
      <c r="A27" s="37" t="str">
        <f ca="1">IFERROR(__xludf.DUMMYFUNCTION("""COMPUTED_VALUE"""),"5112,35")</f>
        <v>5112,35</v>
      </c>
      <c r="B27" s="37" t="str">
        <f ca="1">IFERROR(__xludf.DUMMYFUNCTION("""COMPUTED_VALUE"""),"Intraclastic rudstone")</f>
        <v>Intraclastic rudstone</v>
      </c>
      <c r="C27" s="37">
        <f ca="1">IFERROR(__xludf.DUMMYFUNCTION("""COMPUTED_VALUE"""),10)</f>
        <v>10</v>
      </c>
      <c r="D27" s="38">
        <f ca="1">IFERROR(__xludf.DUMMYFUNCTION("""COMPUTED_VALUE"""),63)</f>
        <v>63</v>
      </c>
      <c r="E27" s="37">
        <f ca="1">IFERROR(__xludf.DUMMYFUNCTION("""COMPUTED_VALUE"""),12)</f>
        <v>12</v>
      </c>
      <c r="F27" s="37">
        <f ca="1">IFERROR(__xludf.DUMMYFUNCTION("""COMPUTED_VALUE"""),5)</f>
        <v>5</v>
      </c>
      <c r="G27" s="37">
        <f ca="1">IFERROR(__xludf.DUMMYFUNCTION("""COMPUTED_VALUE"""),0)</f>
        <v>0</v>
      </c>
      <c r="H27" s="37">
        <f ca="1">IFERROR(__xludf.DUMMYFUNCTION("""COMPUTED_VALUE"""),3)</f>
        <v>3</v>
      </c>
      <c r="I27" s="37">
        <f ca="1">IFERROR(__xludf.DUMMYFUNCTION("""COMPUTED_VALUE"""),0)</f>
        <v>0</v>
      </c>
      <c r="J27" s="37">
        <f ca="1">IFERROR(__xludf.DUMMYFUNCTION("""COMPUTED_VALUE"""),15)</f>
        <v>15</v>
      </c>
      <c r="K27" s="38">
        <f ca="1">IFERROR(__xludf.DUMMYFUNCTION("""COMPUTED_VALUE"""),5)</f>
        <v>5</v>
      </c>
      <c r="L27" s="37">
        <f ca="1">IFERROR(__xludf.DUMMYFUNCTION("""COMPUTED_VALUE"""),1)</f>
        <v>1</v>
      </c>
      <c r="M27" s="37">
        <f ca="1">IFERROR(__xludf.DUMMYFUNCTION("""COMPUTED_VALUE"""),1)</f>
        <v>1</v>
      </c>
      <c r="N27" s="39">
        <f ca="1">IFERROR(__xludf.DUMMYFUNCTION("""COMPUTED_VALUE"""),20.6)</f>
        <v>20.6</v>
      </c>
      <c r="O27" s="40">
        <f ca="1">IFERROR(__xludf.DUMMYFUNCTION("""COMPUTED_VALUE"""),482)</f>
        <v>482</v>
      </c>
      <c r="P27" s="37">
        <f ca="1">IFERROR(__xludf.DUMMYFUNCTION("""COMPUTED_VALUE"""),2)</f>
        <v>2</v>
      </c>
      <c r="Q27" s="37">
        <f ca="1">IFERROR(__xludf.DUMMYFUNCTION("""COMPUTED_VALUE"""),3)</f>
        <v>3</v>
      </c>
      <c r="R27" s="37"/>
      <c r="S27" s="37"/>
      <c r="T27" s="37"/>
      <c r="U27" s="37"/>
      <c r="V27" s="37"/>
    </row>
    <row r="28" spans="1:22" x14ac:dyDescent="0.35">
      <c r="A28" s="37" t="str">
        <f ca="1">IFERROR(__xludf.DUMMYFUNCTION("""COMPUTED_VALUE"""),"5112,65")</f>
        <v>5112,65</v>
      </c>
      <c r="B28" s="37" t="str">
        <f ca="1">IFERROR(__xludf.DUMMYFUNCTION("""COMPUTED_VALUE"""),"Shrubstone")</f>
        <v>Shrubstone</v>
      </c>
      <c r="C28" s="37">
        <f ca="1">IFERROR(__xludf.DUMMYFUNCTION("""COMPUTED_VALUE"""),1)</f>
        <v>1</v>
      </c>
      <c r="D28" s="38">
        <f ca="1">IFERROR(__xludf.DUMMYFUNCTION("""COMPUTED_VALUE"""),72)</f>
        <v>72</v>
      </c>
      <c r="E28" s="37">
        <f ca="1">IFERROR(__xludf.DUMMYFUNCTION("""COMPUTED_VALUE"""),10)</f>
        <v>10</v>
      </c>
      <c r="F28" s="37">
        <f ca="1">IFERROR(__xludf.DUMMYFUNCTION("""COMPUTED_VALUE"""),2)</f>
        <v>2</v>
      </c>
      <c r="G28" s="37">
        <f ca="1">IFERROR(__xludf.DUMMYFUNCTION("""COMPUTED_VALUE"""),0)</f>
        <v>0</v>
      </c>
      <c r="H28" s="37">
        <f ca="1">IFERROR(__xludf.DUMMYFUNCTION("""COMPUTED_VALUE"""),3)</f>
        <v>3</v>
      </c>
      <c r="I28" s="37">
        <f ca="1">IFERROR(__xludf.DUMMYFUNCTION("""COMPUTED_VALUE"""),1)</f>
        <v>1</v>
      </c>
      <c r="J28" s="37">
        <f ca="1">IFERROR(__xludf.DUMMYFUNCTION("""COMPUTED_VALUE"""),16)</f>
        <v>16</v>
      </c>
      <c r="K28" s="38">
        <f ca="1">IFERROR(__xludf.DUMMYFUNCTION("""COMPUTED_VALUE"""),0)</f>
        <v>0</v>
      </c>
      <c r="L28" s="37">
        <f ca="1">IFERROR(__xludf.DUMMYFUNCTION("""COMPUTED_VALUE"""),0)</f>
        <v>0</v>
      </c>
      <c r="M28" s="37">
        <f ca="1">IFERROR(__xludf.DUMMYFUNCTION("""COMPUTED_VALUE"""),1)</f>
        <v>1</v>
      </c>
      <c r="N28" s="39">
        <f ca="1">IFERROR(__xludf.DUMMYFUNCTION("""COMPUTED_VALUE"""),24.9)</f>
        <v>24.9</v>
      </c>
      <c r="O28" s="40">
        <f ca="1">IFERROR(__xludf.DUMMYFUNCTION("""COMPUTED_VALUE"""),412)</f>
        <v>412</v>
      </c>
      <c r="P28" s="37">
        <f ca="1">IFERROR(__xludf.DUMMYFUNCTION("""COMPUTED_VALUE"""),1)</f>
        <v>1</v>
      </c>
      <c r="Q28" s="37">
        <f ca="1">IFERROR(__xludf.DUMMYFUNCTION("""COMPUTED_VALUE"""),3)</f>
        <v>3</v>
      </c>
      <c r="R28" s="37"/>
      <c r="S28" s="37"/>
      <c r="T28" s="37"/>
      <c r="U28" s="37"/>
      <c r="V28" s="37"/>
    </row>
    <row r="29" spans="1:22" x14ac:dyDescent="0.35">
      <c r="A29" s="37" t="str">
        <f ca="1">IFERROR(__xludf.DUMMYFUNCTION("""COMPUTED_VALUE"""),"5113,00")</f>
        <v>5113,00</v>
      </c>
      <c r="B29" s="37" t="str">
        <f ca="1">IFERROR(__xludf.DUMMYFUNCTION("""COMPUTED_VALUE"""),"Intraclastic packstone")</f>
        <v>Intraclastic packstone</v>
      </c>
      <c r="C29" s="37">
        <f ca="1">IFERROR(__xludf.DUMMYFUNCTION("""COMPUTED_VALUE"""),9)</f>
        <v>9</v>
      </c>
      <c r="D29" s="38">
        <f ca="1">IFERROR(__xludf.DUMMYFUNCTION("""COMPUTED_VALUE"""),59)</f>
        <v>59</v>
      </c>
      <c r="E29" s="37">
        <f ca="1">IFERROR(__xludf.DUMMYFUNCTION("""COMPUTED_VALUE"""),15)</f>
        <v>15</v>
      </c>
      <c r="F29" s="37">
        <f ca="1">IFERROR(__xludf.DUMMYFUNCTION("""COMPUTED_VALUE"""),9)</f>
        <v>9</v>
      </c>
      <c r="G29" s="37">
        <f ca="1">IFERROR(__xludf.DUMMYFUNCTION("""COMPUTED_VALUE"""),0)</f>
        <v>0</v>
      </c>
      <c r="H29" s="37">
        <f ca="1">IFERROR(__xludf.DUMMYFUNCTION("""COMPUTED_VALUE"""),3)</f>
        <v>3</v>
      </c>
      <c r="I29" s="37">
        <f ca="1">IFERROR(__xludf.DUMMYFUNCTION("""COMPUTED_VALUE"""),0)</f>
        <v>0</v>
      </c>
      <c r="J29" s="37">
        <f ca="1">IFERROR(__xludf.DUMMYFUNCTION("""COMPUTED_VALUE"""),15)</f>
        <v>15</v>
      </c>
      <c r="K29" s="38">
        <f ca="1">IFERROR(__xludf.DUMMYFUNCTION("""COMPUTED_VALUE"""),2)</f>
        <v>2</v>
      </c>
      <c r="L29" s="37">
        <f ca="1">IFERROR(__xludf.DUMMYFUNCTION("""COMPUTED_VALUE"""),0)</f>
        <v>0</v>
      </c>
      <c r="M29" s="37">
        <f ca="1">IFERROR(__xludf.DUMMYFUNCTION("""COMPUTED_VALUE"""),0)</f>
        <v>0</v>
      </c>
      <c r="N29" s="39">
        <f ca="1">IFERROR(__xludf.DUMMYFUNCTION("""COMPUTED_VALUE"""),13.44)</f>
        <v>13.44</v>
      </c>
      <c r="O29" s="40">
        <f ca="1">IFERROR(__xludf.DUMMYFUNCTION("""COMPUTED_VALUE"""),10.97)</f>
        <v>10.97</v>
      </c>
      <c r="P29" s="37">
        <f ca="1">IFERROR(__xludf.DUMMYFUNCTION("""COMPUTED_VALUE"""),2)</f>
        <v>2</v>
      </c>
      <c r="Q29" s="37">
        <f ca="1">IFERROR(__xludf.DUMMYFUNCTION("""COMPUTED_VALUE"""),1)</f>
        <v>1</v>
      </c>
      <c r="R29" s="37"/>
      <c r="S29" s="37"/>
      <c r="T29" s="37"/>
      <c r="U29" s="37"/>
      <c r="V29" s="37"/>
    </row>
    <row r="30" spans="1:22" x14ac:dyDescent="0.35">
      <c r="A30" s="37" t="str">
        <f ca="1">IFERROR(__xludf.DUMMYFUNCTION("""COMPUTED_VALUE"""),"5113,20")</f>
        <v>5113,20</v>
      </c>
      <c r="B30" s="37" t="str">
        <f ca="1">IFERROR(__xludf.DUMMYFUNCTION("""COMPUTED_VALUE"""),"Shrubstone")</f>
        <v>Shrubstone</v>
      </c>
      <c r="C30" s="37">
        <f ca="1">IFERROR(__xludf.DUMMYFUNCTION("""COMPUTED_VALUE"""),1)</f>
        <v>1</v>
      </c>
      <c r="D30" s="38">
        <f ca="1">IFERROR(__xludf.DUMMYFUNCTION("""COMPUTED_VALUE"""),88)</f>
        <v>88</v>
      </c>
      <c r="E30" s="37">
        <f ca="1">IFERROR(__xludf.DUMMYFUNCTION("""COMPUTED_VALUE"""),0)</f>
        <v>0</v>
      </c>
      <c r="F30" s="37">
        <f ca="1">IFERROR(__xludf.DUMMYFUNCTION("""COMPUTED_VALUE"""),0)</f>
        <v>0</v>
      </c>
      <c r="G30" s="37">
        <f ca="1">IFERROR(__xludf.DUMMYFUNCTION("""COMPUTED_VALUE"""),0)</f>
        <v>0</v>
      </c>
      <c r="H30" s="37">
        <f ca="1">IFERROR(__xludf.DUMMYFUNCTION("""COMPUTED_VALUE"""),3)</f>
        <v>3</v>
      </c>
      <c r="I30" s="37">
        <f ca="1">IFERROR(__xludf.DUMMYFUNCTION("""COMPUTED_VALUE"""),1)</f>
        <v>1</v>
      </c>
      <c r="J30" s="37">
        <f ca="1">IFERROR(__xludf.DUMMYFUNCTION("""COMPUTED_VALUE"""),12)</f>
        <v>12</v>
      </c>
      <c r="K30" s="38">
        <f ca="1">IFERROR(__xludf.DUMMYFUNCTION("""COMPUTED_VALUE"""),0)</f>
        <v>0</v>
      </c>
      <c r="L30" s="37">
        <f ca="1">IFERROR(__xludf.DUMMYFUNCTION("""COMPUTED_VALUE"""),1)</f>
        <v>1</v>
      </c>
      <c r="M30" s="37">
        <f ca="1">IFERROR(__xludf.DUMMYFUNCTION("""COMPUTED_VALUE"""),1)</f>
        <v>1</v>
      </c>
      <c r="N30" s="39">
        <f ca="1">IFERROR(__xludf.DUMMYFUNCTION("""COMPUTED_VALUE"""),18.6)</f>
        <v>18.600000000000001</v>
      </c>
      <c r="O30" s="40">
        <f ca="1">IFERROR(__xludf.DUMMYFUNCTION("""COMPUTED_VALUE"""),9020)</f>
        <v>9020</v>
      </c>
      <c r="P30" s="37">
        <f ca="1">IFERROR(__xludf.DUMMYFUNCTION("""COMPUTED_VALUE"""),1)</f>
        <v>1</v>
      </c>
      <c r="Q30" s="37">
        <f ca="1">IFERROR(__xludf.DUMMYFUNCTION("""COMPUTED_VALUE"""),5)</f>
        <v>5</v>
      </c>
      <c r="R30" s="37"/>
      <c r="S30" s="37"/>
      <c r="T30" s="37"/>
      <c r="U30" s="37"/>
      <c r="V30" s="37"/>
    </row>
    <row r="31" spans="1:22" x14ac:dyDescent="0.35">
      <c r="A31" s="37" t="str">
        <f ca="1">IFERROR(__xludf.DUMMYFUNCTION("""COMPUTED_VALUE"""),"5113,55")</f>
        <v>5113,55</v>
      </c>
      <c r="B31" s="37" t="str">
        <f ca="1">IFERROR(__xludf.DUMMYFUNCTION("""COMPUTED_VALUE"""),"Spherulitestone")</f>
        <v>Spherulitestone</v>
      </c>
      <c r="C31" s="37">
        <f ca="1">IFERROR(__xludf.DUMMYFUNCTION("""COMPUTED_VALUE"""),2)</f>
        <v>2</v>
      </c>
      <c r="D31" s="38">
        <f ca="1">IFERROR(__xludf.DUMMYFUNCTION("""COMPUTED_VALUE"""),55)</f>
        <v>55</v>
      </c>
      <c r="E31" s="37">
        <f ca="1">IFERROR(__xludf.DUMMYFUNCTION("""COMPUTED_VALUE"""),20)</f>
        <v>20</v>
      </c>
      <c r="F31" s="37">
        <f ca="1">IFERROR(__xludf.DUMMYFUNCTION("""COMPUTED_VALUE"""),10)</f>
        <v>10</v>
      </c>
      <c r="G31" s="37">
        <f ca="1">IFERROR(__xludf.DUMMYFUNCTION("""COMPUTED_VALUE"""),0)</f>
        <v>0</v>
      </c>
      <c r="H31" s="37">
        <f ca="1">IFERROR(__xludf.DUMMYFUNCTION("""COMPUTED_VALUE"""),4)</f>
        <v>4</v>
      </c>
      <c r="I31" s="37">
        <f ca="1">IFERROR(__xludf.DUMMYFUNCTION("""COMPUTED_VALUE"""),0)</f>
        <v>0</v>
      </c>
      <c r="J31" s="37">
        <f ca="1">IFERROR(__xludf.DUMMYFUNCTION("""COMPUTED_VALUE"""),10)</f>
        <v>10</v>
      </c>
      <c r="K31" s="38">
        <f ca="1">IFERROR(__xludf.DUMMYFUNCTION("""COMPUTED_VALUE"""),5)</f>
        <v>5</v>
      </c>
      <c r="L31" s="37">
        <f ca="1">IFERROR(__xludf.DUMMYFUNCTION("""COMPUTED_VALUE"""),0)</f>
        <v>0</v>
      </c>
      <c r="M31" s="37">
        <f ca="1">IFERROR(__xludf.DUMMYFUNCTION("""COMPUTED_VALUE"""),0)</f>
        <v>0</v>
      </c>
      <c r="N31" s="39">
        <f ca="1">IFERROR(__xludf.DUMMYFUNCTION("""COMPUTED_VALUE"""),0.01)</f>
        <v>0.01</v>
      </c>
      <c r="O31" s="40">
        <f ca="1">IFERROR(__xludf.DUMMYFUNCTION("""COMPUTED_VALUE"""),0)</f>
        <v>0</v>
      </c>
      <c r="P31" s="37">
        <f ca="1">IFERROR(__xludf.DUMMYFUNCTION("""COMPUTED_VALUE"""),1)</f>
        <v>1</v>
      </c>
      <c r="Q31" s="37">
        <f ca="1">IFERROR(__xludf.DUMMYFUNCTION("""COMPUTED_VALUE"""),1)</f>
        <v>1</v>
      </c>
      <c r="R31" s="37"/>
      <c r="S31" s="37"/>
      <c r="T31" s="37"/>
      <c r="U31" s="37"/>
      <c r="V31" s="37"/>
    </row>
    <row r="32" spans="1:22" x14ac:dyDescent="0.35">
      <c r="A32" s="37" t="str">
        <f ca="1">IFERROR(__xludf.DUMMYFUNCTION("""COMPUTED_VALUE"""),"5113,95")</f>
        <v>5113,95</v>
      </c>
      <c r="B32" s="37" t="str">
        <f ca="1">IFERROR(__xludf.DUMMYFUNCTION("""COMPUTED_VALUE"""),"Mudstone")</f>
        <v>Mudstone</v>
      </c>
      <c r="C32" s="37">
        <f ca="1">IFERROR(__xludf.DUMMYFUNCTION("""COMPUTED_VALUE"""),3)</f>
        <v>3</v>
      </c>
      <c r="D32" s="38">
        <f ca="1">IFERROR(__xludf.DUMMYFUNCTION("""COMPUTED_VALUE"""),0)</f>
        <v>0</v>
      </c>
      <c r="E32" s="37">
        <f ca="1">IFERROR(__xludf.DUMMYFUNCTION("""COMPUTED_VALUE"""),55)</f>
        <v>55</v>
      </c>
      <c r="F32" s="37">
        <f ca="1">IFERROR(__xludf.DUMMYFUNCTION("""COMPUTED_VALUE"""),35)</f>
        <v>35</v>
      </c>
      <c r="G32" s="37">
        <f ca="1">IFERROR(__xludf.DUMMYFUNCTION("""COMPUTED_VALUE"""),0)</f>
        <v>0</v>
      </c>
      <c r="H32" s="37">
        <f ca="1">IFERROR(__xludf.DUMMYFUNCTION("""COMPUTED_VALUE"""),0)</f>
        <v>0</v>
      </c>
      <c r="I32" s="37">
        <f ca="1">IFERROR(__xludf.DUMMYFUNCTION("""COMPUTED_VALUE"""),0)</f>
        <v>0</v>
      </c>
      <c r="J32" s="37">
        <f ca="1">IFERROR(__xludf.DUMMYFUNCTION("""COMPUTED_VALUE"""),10)</f>
        <v>10</v>
      </c>
      <c r="K32" s="38">
        <f ca="1">IFERROR(__xludf.DUMMYFUNCTION("""COMPUTED_VALUE"""),0)</f>
        <v>0</v>
      </c>
      <c r="L32" s="37">
        <f ca="1">IFERROR(__xludf.DUMMYFUNCTION("""COMPUTED_VALUE"""),0)</f>
        <v>0</v>
      </c>
      <c r="M32" s="37">
        <f ca="1">IFERROR(__xludf.DUMMYFUNCTION("""COMPUTED_VALUE"""),0)</f>
        <v>0</v>
      </c>
      <c r="N32" s="39">
        <f ca="1">IFERROR(__xludf.DUMMYFUNCTION("""COMPUTED_VALUE"""),13.5)</f>
        <v>13.5</v>
      </c>
      <c r="O32" s="40">
        <f ca="1">IFERROR(__xludf.DUMMYFUNCTION("""COMPUTED_VALUE"""),41.3)</f>
        <v>41.3</v>
      </c>
      <c r="P32" s="37">
        <f ca="1">IFERROR(__xludf.DUMMYFUNCTION("""COMPUTED_VALUE"""),1)</f>
        <v>1</v>
      </c>
      <c r="Q32" s="37">
        <f ca="1">IFERROR(__xludf.DUMMYFUNCTION("""COMPUTED_VALUE"""),1)</f>
        <v>1</v>
      </c>
      <c r="R32" s="37"/>
      <c r="S32" s="37"/>
      <c r="T32" s="37"/>
      <c r="U32" s="37"/>
      <c r="V32" s="37"/>
    </row>
    <row r="33" spans="1:22" x14ac:dyDescent="0.35">
      <c r="A33" s="37" t="str">
        <f ca="1">IFERROR(__xludf.DUMMYFUNCTION("""COMPUTED_VALUE"""),"5114,30")</f>
        <v>5114,30</v>
      </c>
      <c r="B33" s="37" t="str">
        <f ca="1">IFERROR(__xludf.DUMMYFUNCTION("""COMPUTED_VALUE"""),"Spherulitestone")</f>
        <v>Spherulitestone</v>
      </c>
      <c r="C33" s="37">
        <f ca="1">IFERROR(__xludf.DUMMYFUNCTION("""COMPUTED_VALUE"""),2)</f>
        <v>2</v>
      </c>
      <c r="D33" s="38">
        <f ca="1">IFERROR(__xludf.DUMMYFUNCTION("""COMPUTED_VALUE"""),52)</f>
        <v>52</v>
      </c>
      <c r="E33" s="37">
        <f ca="1">IFERROR(__xludf.DUMMYFUNCTION("""COMPUTED_VALUE"""),30)</f>
        <v>30</v>
      </c>
      <c r="F33" s="37">
        <f ca="1">IFERROR(__xludf.DUMMYFUNCTION("""COMPUTED_VALUE"""),0)</f>
        <v>0</v>
      </c>
      <c r="G33" s="37">
        <f ca="1">IFERROR(__xludf.DUMMYFUNCTION("""COMPUTED_VALUE"""),0)</f>
        <v>0</v>
      </c>
      <c r="H33" s="37">
        <f ca="1">IFERROR(__xludf.DUMMYFUNCTION("""COMPUTED_VALUE"""),3)</f>
        <v>3</v>
      </c>
      <c r="I33" s="37">
        <f ca="1">IFERROR(__xludf.DUMMYFUNCTION("""COMPUTED_VALUE"""),0)</f>
        <v>0</v>
      </c>
      <c r="J33" s="37">
        <f ca="1">IFERROR(__xludf.DUMMYFUNCTION("""COMPUTED_VALUE"""),14)</f>
        <v>14</v>
      </c>
      <c r="K33" s="38">
        <f ca="1">IFERROR(__xludf.DUMMYFUNCTION("""COMPUTED_VALUE"""),4)</f>
        <v>4</v>
      </c>
      <c r="L33" s="37">
        <f ca="1">IFERROR(__xludf.DUMMYFUNCTION("""COMPUTED_VALUE"""),0)</f>
        <v>0</v>
      </c>
      <c r="M33" s="37">
        <f ca="1">IFERROR(__xludf.DUMMYFUNCTION("""COMPUTED_VALUE"""),1)</f>
        <v>1</v>
      </c>
      <c r="N33" s="39">
        <f ca="1">IFERROR(__xludf.DUMMYFUNCTION("""COMPUTED_VALUE"""),16.2)</f>
        <v>16.2</v>
      </c>
      <c r="O33" s="40">
        <f ca="1">IFERROR(__xludf.DUMMYFUNCTION("""COMPUTED_VALUE"""),82.7)</f>
        <v>82.7</v>
      </c>
      <c r="P33" s="37">
        <f ca="1">IFERROR(__xludf.DUMMYFUNCTION("""COMPUTED_VALUE"""),1)</f>
        <v>1</v>
      </c>
      <c r="Q33" s="37">
        <f ca="1">IFERROR(__xludf.DUMMYFUNCTION("""COMPUTED_VALUE"""),2)</f>
        <v>2</v>
      </c>
      <c r="R33" s="37"/>
      <c r="S33" s="37"/>
      <c r="T33" s="37"/>
      <c r="U33" s="37"/>
      <c r="V33" s="37"/>
    </row>
    <row r="34" spans="1:22" x14ac:dyDescent="0.35">
      <c r="A34" s="37" t="str">
        <f ca="1">IFERROR(__xludf.DUMMYFUNCTION("""COMPUTED_VALUE"""),"5114,60")</f>
        <v>5114,60</v>
      </c>
      <c r="B34" s="37" t="str">
        <f ca="1">IFERROR(__xludf.DUMMYFUNCTION("""COMPUTED_VALUE"""),"Spherulitestone")</f>
        <v>Spherulitestone</v>
      </c>
      <c r="C34" s="37">
        <f ca="1">IFERROR(__xludf.DUMMYFUNCTION("""COMPUTED_VALUE"""),2)</f>
        <v>2</v>
      </c>
      <c r="D34" s="38">
        <f ca="1">IFERROR(__xludf.DUMMYFUNCTION("""COMPUTED_VALUE"""),35)</f>
        <v>35</v>
      </c>
      <c r="E34" s="37">
        <f ca="1">IFERROR(__xludf.DUMMYFUNCTION("""COMPUTED_VALUE"""),40)</f>
        <v>40</v>
      </c>
      <c r="F34" s="37">
        <f ca="1">IFERROR(__xludf.DUMMYFUNCTION("""COMPUTED_VALUE"""),4)</f>
        <v>4</v>
      </c>
      <c r="G34" s="37">
        <f ca="1">IFERROR(__xludf.DUMMYFUNCTION("""COMPUTED_VALUE"""),1)</f>
        <v>1</v>
      </c>
      <c r="H34" s="37">
        <f ca="1">IFERROR(__xludf.DUMMYFUNCTION("""COMPUTED_VALUE"""),3)</f>
        <v>3</v>
      </c>
      <c r="I34" s="37">
        <f ca="1">IFERROR(__xludf.DUMMYFUNCTION("""COMPUTED_VALUE"""),0)</f>
        <v>0</v>
      </c>
      <c r="J34" s="37">
        <f ca="1">IFERROR(__xludf.DUMMYFUNCTION("""COMPUTED_VALUE"""),15)</f>
        <v>15</v>
      </c>
      <c r="K34" s="38">
        <f ca="1">IFERROR(__xludf.DUMMYFUNCTION("""COMPUTED_VALUE"""),5)</f>
        <v>5</v>
      </c>
      <c r="L34" s="37">
        <f ca="1">IFERROR(__xludf.DUMMYFUNCTION("""COMPUTED_VALUE"""),0)</f>
        <v>0</v>
      </c>
      <c r="M34" s="37">
        <f ca="1">IFERROR(__xludf.DUMMYFUNCTION("""COMPUTED_VALUE"""),1)</f>
        <v>1</v>
      </c>
      <c r="N34" s="39">
        <f ca="1">IFERROR(__xludf.DUMMYFUNCTION("""COMPUTED_VALUE"""),19.2)</f>
        <v>19.2</v>
      </c>
      <c r="O34" s="40">
        <f ca="1">IFERROR(__xludf.DUMMYFUNCTION("""COMPUTED_VALUE"""),96.2)</f>
        <v>96.2</v>
      </c>
      <c r="P34" s="37">
        <f ca="1">IFERROR(__xludf.DUMMYFUNCTION("""COMPUTED_VALUE"""),1)</f>
        <v>1</v>
      </c>
      <c r="Q34" s="37">
        <f ca="1">IFERROR(__xludf.DUMMYFUNCTION("""COMPUTED_VALUE"""),2)</f>
        <v>2</v>
      </c>
      <c r="R34" s="37"/>
      <c r="S34" s="37"/>
      <c r="T34" s="37"/>
      <c r="U34" s="37"/>
      <c r="V34" s="37"/>
    </row>
    <row r="35" spans="1:22" x14ac:dyDescent="0.35">
      <c r="A35" s="37" t="str">
        <f ca="1">IFERROR(__xludf.DUMMYFUNCTION("""COMPUTED_VALUE"""),"5114,95")</f>
        <v>5114,95</v>
      </c>
      <c r="B35" s="37" t="str">
        <f ca="1">IFERROR(__xludf.DUMMYFUNCTION("""COMPUTED_VALUE"""),"Spherulitestone")</f>
        <v>Spherulitestone</v>
      </c>
      <c r="C35" s="37">
        <f ca="1">IFERROR(__xludf.DUMMYFUNCTION("""COMPUTED_VALUE"""),2)</f>
        <v>2</v>
      </c>
      <c r="D35" s="38">
        <f ca="1">IFERROR(__xludf.DUMMYFUNCTION("""COMPUTED_VALUE"""),38)</f>
        <v>38</v>
      </c>
      <c r="E35" s="37">
        <f ca="1">IFERROR(__xludf.DUMMYFUNCTION("""COMPUTED_VALUE"""),36)</f>
        <v>36</v>
      </c>
      <c r="F35" s="37">
        <f ca="1">IFERROR(__xludf.DUMMYFUNCTION("""COMPUTED_VALUE"""),0)</f>
        <v>0</v>
      </c>
      <c r="G35" s="37">
        <f ca="1">IFERROR(__xludf.DUMMYFUNCTION("""COMPUTED_VALUE"""),1)</f>
        <v>1</v>
      </c>
      <c r="H35" s="37">
        <f ca="1">IFERROR(__xludf.DUMMYFUNCTION("""COMPUTED_VALUE"""),2)</f>
        <v>2</v>
      </c>
      <c r="I35" s="37">
        <f ca="1">IFERROR(__xludf.DUMMYFUNCTION("""COMPUTED_VALUE"""),0)</f>
        <v>0</v>
      </c>
      <c r="J35" s="37">
        <f ca="1">IFERROR(__xludf.DUMMYFUNCTION("""COMPUTED_VALUE"""),18)</f>
        <v>18</v>
      </c>
      <c r="K35" s="38">
        <f ca="1">IFERROR(__xludf.DUMMYFUNCTION("""COMPUTED_VALUE"""),7)</f>
        <v>7</v>
      </c>
      <c r="L35" s="37">
        <f ca="1">IFERROR(__xludf.DUMMYFUNCTION("""COMPUTED_VALUE"""),0)</f>
        <v>0</v>
      </c>
      <c r="M35" s="37">
        <f ca="1">IFERROR(__xludf.DUMMYFUNCTION("""COMPUTED_VALUE"""),1)</f>
        <v>1</v>
      </c>
      <c r="N35" s="39">
        <f ca="1">IFERROR(__xludf.DUMMYFUNCTION("""COMPUTED_VALUE"""),19.3)</f>
        <v>19.3</v>
      </c>
      <c r="O35" s="40">
        <f ca="1">IFERROR(__xludf.DUMMYFUNCTION("""COMPUTED_VALUE"""),73.6)</f>
        <v>73.599999999999994</v>
      </c>
      <c r="P35" s="37">
        <f ca="1">IFERROR(__xludf.DUMMYFUNCTION("""COMPUTED_VALUE"""),1)</f>
        <v>1</v>
      </c>
      <c r="Q35" s="37">
        <f ca="1">IFERROR(__xludf.DUMMYFUNCTION("""COMPUTED_VALUE"""),2)</f>
        <v>2</v>
      </c>
      <c r="R35" s="37"/>
      <c r="S35" s="37"/>
      <c r="T35" s="37"/>
      <c r="U35" s="37"/>
      <c r="V35" s="37"/>
    </row>
    <row r="36" spans="1:22" x14ac:dyDescent="0.35">
      <c r="A36" s="37" t="str">
        <f ca="1">IFERROR(__xludf.DUMMYFUNCTION("""COMPUTED_VALUE"""),"5115,25")</f>
        <v>5115,25</v>
      </c>
      <c r="B36" s="37" t="str">
        <f ca="1">IFERROR(__xludf.DUMMYFUNCTION("""COMPUTED_VALUE"""),"Intraclastic packstone")</f>
        <v>Intraclastic packstone</v>
      </c>
      <c r="C36" s="37">
        <f ca="1">IFERROR(__xludf.DUMMYFUNCTION("""COMPUTED_VALUE"""),9)</f>
        <v>9</v>
      </c>
      <c r="D36" s="38">
        <f ca="1">IFERROR(__xludf.DUMMYFUNCTION("""COMPUTED_VALUE"""),67)</f>
        <v>67</v>
      </c>
      <c r="E36" s="37">
        <f ca="1">IFERROR(__xludf.DUMMYFUNCTION("""COMPUTED_VALUE"""),5)</f>
        <v>5</v>
      </c>
      <c r="F36" s="37">
        <f ca="1">IFERROR(__xludf.DUMMYFUNCTION("""COMPUTED_VALUE"""),10)</f>
        <v>10</v>
      </c>
      <c r="G36" s="37">
        <f ca="1">IFERROR(__xludf.DUMMYFUNCTION("""COMPUTED_VALUE"""),0)</f>
        <v>0</v>
      </c>
      <c r="H36" s="37">
        <f ca="1">IFERROR(__xludf.DUMMYFUNCTION("""COMPUTED_VALUE"""),2)</f>
        <v>2</v>
      </c>
      <c r="I36" s="37">
        <f ca="1">IFERROR(__xludf.DUMMYFUNCTION("""COMPUTED_VALUE"""),0)</f>
        <v>0</v>
      </c>
      <c r="J36" s="37">
        <f ca="1">IFERROR(__xludf.DUMMYFUNCTION("""COMPUTED_VALUE"""),10)</f>
        <v>10</v>
      </c>
      <c r="K36" s="38">
        <f ca="1">IFERROR(__xludf.DUMMYFUNCTION("""COMPUTED_VALUE"""),8)</f>
        <v>8</v>
      </c>
      <c r="L36" s="37">
        <f ca="1">IFERROR(__xludf.DUMMYFUNCTION("""COMPUTED_VALUE"""),0)</f>
        <v>0</v>
      </c>
      <c r="M36" s="37">
        <f ca="1">IFERROR(__xludf.DUMMYFUNCTION("""COMPUTED_VALUE"""),1)</f>
        <v>1</v>
      </c>
      <c r="N36" s="39">
        <f ca="1">IFERROR(__xludf.DUMMYFUNCTION("""COMPUTED_VALUE"""),19.2)</f>
        <v>19.2</v>
      </c>
      <c r="O36" s="40">
        <f ca="1">IFERROR(__xludf.DUMMYFUNCTION("""COMPUTED_VALUE"""),179)</f>
        <v>179</v>
      </c>
      <c r="P36" s="37">
        <f ca="1">IFERROR(__xludf.DUMMYFUNCTION("""COMPUTED_VALUE"""),2)</f>
        <v>2</v>
      </c>
      <c r="Q36" s="37">
        <f ca="1">IFERROR(__xludf.DUMMYFUNCTION("""COMPUTED_VALUE"""),3)</f>
        <v>3</v>
      </c>
      <c r="R36" s="37"/>
      <c r="S36" s="37"/>
      <c r="T36" s="37"/>
      <c r="U36" s="37"/>
      <c r="V36" s="37"/>
    </row>
    <row r="37" spans="1:22" x14ac:dyDescent="0.35">
      <c r="A37" s="37" t="str">
        <f ca="1">IFERROR(__xludf.DUMMYFUNCTION("""COMPUTED_VALUE"""),"5116,00")</f>
        <v>5116,00</v>
      </c>
      <c r="B37" s="37" t="str">
        <f ca="1">IFERROR(__xludf.DUMMYFUNCTION("""COMPUTED_VALUE"""),"Spherulitestone")</f>
        <v>Spherulitestone</v>
      </c>
      <c r="C37" s="37">
        <f ca="1">IFERROR(__xludf.DUMMYFUNCTION("""COMPUTED_VALUE"""),2)</f>
        <v>2</v>
      </c>
      <c r="D37" s="38">
        <f ca="1">IFERROR(__xludf.DUMMYFUNCTION("""COMPUTED_VALUE"""),47)</f>
        <v>47</v>
      </c>
      <c r="E37" s="37">
        <f ca="1">IFERROR(__xludf.DUMMYFUNCTION("""COMPUTED_VALUE"""),25)</f>
        <v>25</v>
      </c>
      <c r="F37" s="37">
        <f ca="1">IFERROR(__xludf.DUMMYFUNCTION("""COMPUTED_VALUE"""),8)</f>
        <v>8</v>
      </c>
      <c r="G37" s="37">
        <f ca="1">IFERROR(__xludf.DUMMYFUNCTION("""COMPUTED_VALUE"""),5)</f>
        <v>5</v>
      </c>
      <c r="H37" s="37">
        <f ca="1">IFERROR(__xludf.DUMMYFUNCTION("""COMPUTED_VALUE"""),3)</f>
        <v>3</v>
      </c>
      <c r="I37" s="37">
        <f ca="1">IFERROR(__xludf.DUMMYFUNCTION("""COMPUTED_VALUE"""),0)</f>
        <v>0</v>
      </c>
      <c r="J37" s="37">
        <f ca="1">IFERROR(__xludf.DUMMYFUNCTION("""COMPUTED_VALUE"""),10)</f>
        <v>10</v>
      </c>
      <c r="K37" s="38">
        <f ca="1">IFERROR(__xludf.DUMMYFUNCTION("""COMPUTED_VALUE"""),5)</f>
        <v>5</v>
      </c>
      <c r="L37" s="37">
        <f ca="1">IFERROR(__xludf.DUMMYFUNCTION("""COMPUTED_VALUE"""),1)</f>
        <v>1</v>
      </c>
      <c r="M37" s="37">
        <f ca="1">IFERROR(__xludf.DUMMYFUNCTION("""COMPUTED_VALUE"""),1)</f>
        <v>1</v>
      </c>
      <c r="N37" s="39">
        <f ca="1">IFERROR(__xludf.DUMMYFUNCTION("""COMPUTED_VALUE"""),18.14)</f>
        <v>18.14</v>
      </c>
      <c r="O37" s="40">
        <f ca="1">IFERROR(__xludf.DUMMYFUNCTION("""COMPUTED_VALUE"""),1736)</f>
        <v>1736</v>
      </c>
      <c r="P37" s="37">
        <f ca="1">IFERROR(__xludf.DUMMYFUNCTION("""COMPUTED_VALUE"""),1)</f>
        <v>1</v>
      </c>
      <c r="Q37" s="37">
        <f ca="1">IFERROR(__xludf.DUMMYFUNCTION("""COMPUTED_VALUE"""),5)</f>
        <v>5</v>
      </c>
      <c r="R37" s="37"/>
      <c r="S37" s="37"/>
      <c r="T37" s="37"/>
      <c r="U37" s="37"/>
      <c r="V37" s="37"/>
    </row>
    <row r="38" spans="1:22" x14ac:dyDescent="0.35">
      <c r="A38" s="37" t="str">
        <f ca="1">IFERROR(__xludf.DUMMYFUNCTION("""COMPUTED_VALUE"""),"5116,15")</f>
        <v>5116,15</v>
      </c>
      <c r="B38" s="37" t="str">
        <f ca="1">IFERROR(__xludf.DUMMYFUNCTION("""COMPUTED_VALUE"""),"Intraclastic packstone")</f>
        <v>Intraclastic packstone</v>
      </c>
      <c r="C38" s="37">
        <f ca="1">IFERROR(__xludf.DUMMYFUNCTION("""COMPUTED_VALUE"""),9)</f>
        <v>9</v>
      </c>
      <c r="D38" s="38">
        <f ca="1">IFERROR(__xludf.DUMMYFUNCTION("""COMPUTED_VALUE"""),54)</f>
        <v>54</v>
      </c>
      <c r="E38" s="37">
        <f ca="1">IFERROR(__xludf.DUMMYFUNCTION("""COMPUTED_VALUE"""),8)</f>
        <v>8</v>
      </c>
      <c r="F38" s="37">
        <f ca="1">IFERROR(__xludf.DUMMYFUNCTION("""COMPUTED_VALUE"""),15)</f>
        <v>15</v>
      </c>
      <c r="G38" s="37">
        <f ca="1">IFERROR(__xludf.DUMMYFUNCTION("""COMPUTED_VALUE"""),5)</f>
        <v>5</v>
      </c>
      <c r="H38" s="37">
        <f ca="1">IFERROR(__xludf.DUMMYFUNCTION("""COMPUTED_VALUE"""),2)</f>
        <v>2</v>
      </c>
      <c r="I38" s="37">
        <f ca="1">IFERROR(__xludf.DUMMYFUNCTION("""COMPUTED_VALUE"""),0)</f>
        <v>0</v>
      </c>
      <c r="J38" s="37">
        <f ca="1">IFERROR(__xludf.DUMMYFUNCTION("""COMPUTED_VALUE"""),15)</f>
        <v>15</v>
      </c>
      <c r="K38" s="38">
        <f ca="1">IFERROR(__xludf.DUMMYFUNCTION("""COMPUTED_VALUE"""),3)</f>
        <v>3</v>
      </c>
      <c r="L38" s="37">
        <f ca="1">IFERROR(__xludf.DUMMYFUNCTION("""COMPUTED_VALUE"""),0)</f>
        <v>0</v>
      </c>
      <c r="M38" s="37">
        <f ca="1">IFERROR(__xludf.DUMMYFUNCTION("""COMPUTED_VALUE"""),1)</f>
        <v>1</v>
      </c>
      <c r="N38" s="39">
        <f ca="1">IFERROR(__xludf.DUMMYFUNCTION("""COMPUTED_VALUE"""),17.1)</f>
        <v>17.100000000000001</v>
      </c>
      <c r="O38" s="40">
        <f ca="1">IFERROR(__xludf.DUMMYFUNCTION("""COMPUTED_VALUE"""),113)</f>
        <v>113</v>
      </c>
      <c r="P38" s="37">
        <f ca="1">IFERROR(__xludf.DUMMYFUNCTION("""COMPUTED_VALUE"""),2)</f>
        <v>2</v>
      </c>
      <c r="Q38" s="37">
        <f ca="1">IFERROR(__xludf.DUMMYFUNCTION("""COMPUTED_VALUE"""),3)</f>
        <v>3</v>
      </c>
      <c r="R38" s="37"/>
      <c r="S38" s="37"/>
      <c r="T38" s="37"/>
      <c r="U38" s="37"/>
      <c r="V38" s="37"/>
    </row>
    <row r="39" spans="1:22" x14ac:dyDescent="0.35">
      <c r="A39" s="37" t="str">
        <f ca="1">IFERROR(__xludf.DUMMYFUNCTION("""COMPUTED_VALUE"""),"5116,45")</f>
        <v>5116,45</v>
      </c>
      <c r="B39" s="37" t="str">
        <f ca="1">IFERROR(__xludf.DUMMYFUNCTION("""COMPUTED_VALUE"""),"Intraclastic packstone")</f>
        <v>Intraclastic packstone</v>
      </c>
      <c r="C39" s="37">
        <f ca="1">IFERROR(__xludf.DUMMYFUNCTION("""COMPUTED_VALUE"""),9)</f>
        <v>9</v>
      </c>
      <c r="D39" s="38">
        <f ca="1">IFERROR(__xludf.DUMMYFUNCTION("""COMPUTED_VALUE"""),75)</f>
        <v>75</v>
      </c>
      <c r="E39" s="37">
        <f ca="1">IFERROR(__xludf.DUMMYFUNCTION("""COMPUTED_VALUE"""),1)</f>
        <v>1</v>
      </c>
      <c r="F39" s="37">
        <f ca="1">IFERROR(__xludf.DUMMYFUNCTION("""COMPUTED_VALUE"""),8)</f>
        <v>8</v>
      </c>
      <c r="G39" s="37">
        <f ca="1">IFERROR(__xludf.DUMMYFUNCTION("""COMPUTED_VALUE"""),0)</f>
        <v>0</v>
      </c>
      <c r="H39" s="37">
        <f ca="1">IFERROR(__xludf.DUMMYFUNCTION("""COMPUTED_VALUE"""),3)</f>
        <v>3</v>
      </c>
      <c r="I39" s="37">
        <f ca="1">IFERROR(__xludf.DUMMYFUNCTION("""COMPUTED_VALUE"""),0)</f>
        <v>0</v>
      </c>
      <c r="J39" s="37">
        <f ca="1">IFERROR(__xludf.DUMMYFUNCTION("""COMPUTED_VALUE"""),11)</f>
        <v>11</v>
      </c>
      <c r="K39" s="38">
        <f ca="1">IFERROR(__xludf.DUMMYFUNCTION("""COMPUTED_VALUE"""),5)</f>
        <v>5</v>
      </c>
      <c r="L39" s="37">
        <f ca="1">IFERROR(__xludf.DUMMYFUNCTION("""COMPUTED_VALUE"""),0)</f>
        <v>0</v>
      </c>
      <c r="M39" s="37">
        <f ca="1">IFERROR(__xludf.DUMMYFUNCTION("""COMPUTED_VALUE"""),1)</f>
        <v>1</v>
      </c>
      <c r="N39" s="39">
        <f ca="1">IFERROR(__xludf.DUMMYFUNCTION("""COMPUTED_VALUE"""),20.4)</f>
        <v>20.399999999999999</v>
      </c>
      <c r="O39" s="40">
        <f ca="1">IFERROR(__xludf.DUMMYFUNCTION("""COMPUTED_VALUE"""),2170)</f>
        <v>2170</v>
      </c>
      <c r="P39" s="37">
        <f ca="1">IFERROR(__xludf.DUMMYFUNCTION("""COMPUTED_VALUE"""),2)</f>
        <v>2</v>
      </c>
      <c r="Q39" s="37">
        <f ca="1">IFERROR(__xludf.DUMMYFUNCTION("""COMPUTED_VALUE"""),5)</f>
        <v>5</v>
      </c>
      <c r="R39" s="37"/>
      <c r="S39" s="37"/>
      <c r="T39" s="37"/>
      <c r="U39" s="37"/>
      <c r="V39" s="37"/>
    </row>
    <row r="40" spans="1:22" x14ac:dyDescent="0.35">
      <c r="A40" s="37" t="str">
        <f ca="1">IFERROR(__xludf.DUMMYFUNCTION("""COMPUTED_VALUE"""),"5116,75")</f>
        <v>5116,75</v>
      </c>
      <c r="B40" s="37" t="str">
        <f ca="1">IFERROR(__xludf.DUMMYFUNCTION("""COMPUTED_VALUE"""),"Intraclastic grainstone")</f>
        <v>Intraclastic grainstone</v>
      </c>
      <c r="C40" s="37">
        <f ca="1">IFERROR(__xludf.DUMMYFUNCTION("""COMPUTED_VALUE"""),8)</f>
        <v>8</v>
      </c>
      <c r="D40" s="38">
        <f ca="1">IFERROR(__xludf.DUMMYFUNCTION("""COMPUTED_VALUE"""),78)</f>
        <v>78</v>
      </c>
      <c r="E40" s="37">
        <f ca="1">IFERROR(__xludf.DUMMYFUNCTION("""COMPUTED_VALUE"""),2)</f>
        <v>2</v>
      </c>
      <c r="F40" s="37">
        <f ca="1">IFERROR(__xludf.DUMMYFUNCTION("""COMPUTED_VALUE"""),0)</f>
        <v>0</v>
      </c>
      <c r="G40" s="37">
        <f ca="1">IFERROR(__xludf.DUMMYFUNCTION("""COMPUTED_VALUE"""),2)</f>
        <v>2</v>
      </c>
      <c r="H40" s="37">
        <f ca="1">IFERROR(__xludf.DUMMYFUNCTION("""COMPUTED_VALUE"""),3)</f>
        <v>3</v>
      </c>
      <c r="I40" s="37">
        <f ca="1">IFERROR(__xludf.DUMMYFUNCTION("""COMPUTED_VALUE"""),0)</f>
        <v>0</v>
      </c>
      <c r="J40" s="37">
        <f ca="1">IFERROR(__xludf.DUMMYFUNCTION("""COMPUTED_VALUE"""),15)</f>
        <v>15</v>
      </c>
      <c r="K40" s="38">
        <f ca="1">IFERROR(__xludf.DUMMYFUNCTION("""COMPUTED_VALUE"""),3)</f>
        <v>3</v>
      </c>
      <c r="L40" s="37">
        <f ca="1">IFERROR(__xludf.DUMMYFUNCTION("""COMPUTED_VALUE"""),0)</f>
        <v>0</v>
      </c>
      <c r="M40" s="37">
        <f ca="1">IFERROR(__xludf.DUMMYFUNCTION("""COMPUTED_VALUE"""),1)</f>
        <v>1</v>
      </c>
      <c r="N40" s="39">
        <f ca="1">IFERROR(__xludf.DUMMYFUNCTION("""COMPUTED_VALUE"""),21.6)</f>
        <v>21.6</v>
      </c>
      <c r="O40" s="40">
        <f ca="1">IFERROR(__xludf.DUMMYFUNCTION("""COMPUTED_VALUE"""),2650)</f>
        <v>2650</v>
      </c>
      <c r="P40" s="37">
        <f ca="1">IFERROR(__xludf.DUMMYFUNCTION("""COMPUTED_VALUE"""),2)</f>
        <v>2</v>
      </c>
      <c r="Q40" s="37">
        <f ca="1">IFERROR(__xludf.DUMMYFUNCTION("""COMPUTED_VALUE"""),5)</f>
        <v>5</v>
      </c>
      <c r="R40" s="37"/>
      <c r="S40" s="37"/>
      <c r="T40" s="37"/>
      <c r="U40" s="37"/>
      <c r="V40" s="37"/>
    </row>
    <row r="41" spans="1:22" x14ac:dyDescent="0.35">
      <c r="A41" s="37" t="str">
        <f ca="1">IFERROR(__xludf.DUMMYFUNCTION("""COMPUTED_VALUE"""),"5117,05")</f>
        <v>5117,05</v>
      </c>
      <c r="B41" s="37" t="str">
        <f ca="1">IFERROR(__xludf.DUMMYFUNCTION("""COMPUTED_VALUE"""),"Intraclastic packstone")</f>
        <v>Intraclastic packstone</v>
      </c>
      <c r="C41" s="37">
        <f ca="1">IFERROR(__xludf.DUMMYFUNCTION("""COMPUTED_VALUE"""),9)</f>
        <v>9</v>
      </c>
      <c r="D41" s="38">
        <f ca="1">IFERROR(__xludf.DUMMYFUNCTION("""COMPUTED_VALUE"""),56)</f>
        <v>56</v>
      </c>
      <c r="E41" s="37">
        <f ca="1">IFERROR(__xludf.DUMMYFUNCTION("""COMPUTED_VALUE"""),15)</f>
        <v>15</v>
      </c>
      <c r="F41" s="37">
        <f ca="1">IFERROR(__xludf.DUMMYFUNCTION("""COMPUTED_VALUE"""),8)</f>
        <v>8</v>
      </c>
      <c r="G41" s="37">
        <f ca="1">IFERROR(__xludf.DUMMYFUNCTION("""COMPUTED_VALUE"""),4)</f>
        <v>4</v>
      </c>
      <c r="H41" s="37">
        <f ca="1">IFERROR(__xludf.DUMMYFUNCTION("""COMPUTED_VALUE"""),3)</f>
        <v>3</v>
      </c>
      <c r="I41" s="37">
        <f ca="1">IFERROR(__xludf.DUMMYFUNCTION("""COMPUTED_VALUE"""),0)</f>
        <v>0</v>
      </c>
      <c r="J41" s="37">
        <f ca="1">IFERROR(__xludf.DUMMYFUNCTION("""COMPUTED_VALUE"""),10)</f>
        <v>10</v>
      </c>
      <c r="K41" s="38">
        <f ca="1">IFERROR(__xludf.DUMMYFUNCTION("""COMPUTED_VALUE"""),7)</f>
        <v>7</v>
      </c>
      <c r="L41" s="37">
        <f ca="1">IFERROR(__xludf.DUMMYFUNCTION("""COMPUTED_VALUE"""),1)</f>
        <v>1</v>
      </c>
      <c r="M41" s="37">
        <f ca="1">IFERROR(__xludf.DUMMYFUNCTION("""COMPUTED_VALUE"""),1)</f>
        <v>1</v>
      </c>
      <c r="N41" s="39">
        <f ca="1">IFERROR(__xludf.DUMMYFUNCTION("""COMPUTED_VALUE"""),19.8)</f>
        <v>19.8</v>
      </c>
      <c r="O41" s="40">
        <f ca="1">IFERROR(__xludf.DUMMYFUNCTION("""COMPUTED_VALUE"""),1210)</f>
        <v>1210</v>
      </c>
      <c r="P41" s="37">
        <f ca="1">IFERROR(__xludf.DUMMYFUNCTION("""COMPUTED_VALUE"""),2)</f>
        <v>2</v>
      </c>
      <c r="Q41" s="37">
        <f ca="1">IFERROR(__xludf.DUMMYFUNCTION("""COMPUTED_VALUE"""),5)</f>
        <v>5</v>
      </c>
      <c r="R41" s="37"/>
      <c r="S41" s="37"/>
      <c r="T41" s="37"/>
      <c r="U41" s="37"/>
      <c r="V41" s="37"/>
    </row>
    <row r="42" spans="1:22" x14ac:dyDescent="0.35">
      <c r="A42" s="37" t="str">
        <f ca="1">IFERROR(__xludf.DUMMYFUNCTION("""COMPUTED_VALUE"""),"5117,35")</f>
        <v>5117,35</v>
      </c>
      <c r="B42" s="37" t="str">
        <f ca="1">IFERROR(__xludf.DUMMYFUNCTION("""COMPUTED_VALUE"""),"Intraclastic packstone")</f>
        <v>Intraclastic packstone</v>
      </c>
      <c r="C42" s="37">
        <f ca="1">IFERROR(__xludf.DUMMYFUNCTION("""COMPUTED_VALUE"""),9)</f>
        <v>9</v>
      </c>
      <c r="D42" s="38">
        <f ca="1">IFERROR(__xludf.DUMMYFUNCTION("""COMPUTED_VALUE"""),42)</f>
        <v>42</v>
      </c>
      <c r="E42" s="37">
        <f ca="1">IFERROR(__xludf.DUMMYFUNCTION("""COMPUTED_VALUE"""),20)</f>
        <v>20</v>
      </c>
      <c r="F42" s="37">
        <f ca="1">IFERROR(__xludf.DUMMYFUNCTION("""COMPUTED_VALUE"""),5)</f>
        <v>5</v>
      </c>
      <c r="G42" s="37">
        <f ca="1">IFERROR(__xludf.DUMMYFUNCTION("""COMPUTED_VALUE"""),8)</f>
        <v>8</v>
      </c>
      <c r="H42" s="37">
        <f ca="1">IFERROR(__xludf.DUMMYFUNCTION("""COMPUTED_VALUE"""),3)</f>
        <v>3</v>
      </c>
      <c r="I42" s="37">
        <f ca="1">IFERROR(__xludf.DUMMYFUNCTION("""COMPUTED_VALUE"""),0)</f>
        <v>0</v>
      </c>
      <c r="J42" s="37">
        <f ca="1">IFERROR(__xludf.DUMMYFUNCTION("""COMPUTED_VALUE"""),20)</f>
        <v>20</v>
      </c>
      <c r="K42" s="38">
        <f ca="1">IFERROR(__xludf.DUMMYFUNCTION("""COMPUTED_VALUE"""),5)</f>
        <v>5</v>
      </c>
      <c r="L42" s="37">
        <f ca="1">IFERROR(__xludf.DUMMYFUNCTION("""COMPUTED_VALUE"""),0)</f>
        <v>0</v>
      </c>
      <c r="M42" s="37">
        <f ca="1">IFERROR(__xludf.DUMMYFUNCTION("""COMPUTED_VALUE"""),1)</f>
        <v>1</v>
      </c>
      <c r="N42" s="39">
        <f ca="1">IFERROR(__xludf.DUMMYFUNCTION("""COMPUTED_VALUE"""),20.6)</f>
        <v>20.6</v>
      </c>
      <c r="O42" s="40">
        <f ca="1">IFERROR(__xludf.DUMMYFUNCTION("""COMPUTED_VALUE"""),353)</f>
        <v>353</v>
      </c>
      <c r="P42" s="37">
        <f ca="1">IFERROR(__xludf.DUMMYFUNCTION("""COMPUTED_VALUE"""),2)</f>
        <v>2</v>
      </c>
      <c r="Q42" s="37">
        <f ca="1">IFERROR(__xludf.DUMMYFUNCTION("""COMPUTED_VALUE"""),3)</f>
        <v>3</v>
      </c>
      <c r="R42" s="37"/>
      <c r="S42" s="37"/>
      <c r="T42" s="37"/>
      <c r="U42" s="37"/>
      <c r="V42" s="37"/>
    </row>
    <row r="43" spans="1:22" x14ac:dyDescent="0.35">
      <c r="A43" s="37" t="str">
        <f ca="1">IFERROR(__xludf.DUMMYFUNCTION("""COMPUTED_VALUE"""),"5117,65")</f>
        <v>5117,65</v>
      </c>
      <c r="B43" s="37" t="str">
        <f ca="1">IFERROR(__xludf.DUMMYFUNCTION("""COMPUTED_VALUE"""),"Intraclastic packstone")</f>
        <v>Intraclastic packstone</v>
      </c>
      <c r="C43" s="37">
        <f ca="1">IFERROR(__xludf.DUMMYFUNCTION("""COMPUTED_VALUE"""),9)</f>
        <v>9</v>
      </c>
      <c r="D43" s="38">
        <f ca="1">IFERROR(__xludf.DUMMYFUNCTION("""COMPUTED_VALUE"""),61)</f>
        <v>61</v>
      </c>
      <c r="E43" s="37">
        <f ca="1">IFERROR(__xludf.DUMMYFUNCTION("""COMPUTED_VALUE"""),12)</f>
        <v>12</v>
      </c>
      <c r="F43" s="37">
        <f ca="1">IFERROR(__xludf.DUMMYFUNCTION("""COMPUTED_VALUE"""),9)</f>
        <v>9</v>
      </c>
      <c r="G43" s="37">
        <f ca="1">IFERROR(__xludf.DUMMYFUNCTION("""COMPUTED_VALUE"""),3)</f>
        <v>3</v>
      </c>
      <c r="H43" s="37">
        <f ca="1">IFERROR(__xludf.DUMMYFUNCTION("""COMPUTED_VALUE"""),3)</f>
        <v>3</v>
      </c>
      <c r="I43" s="37">
        <f ca="1">IFERROR(__xludf.DUMMYFUNCTION("""COMPUTED_VALUE"""),0)</f>
        <v>0</v>
      </c>
      <c r="J43" s="37">
        <f ca="1">IFERROR(__xludf.DUMMYFUNCTION("""COMPUTED_VALUE"""),10)</f>
        <v>10</v>
      </c>
      <c r="K43" s="38">
        <f ca="1">IFERROR(__xludf.DUMMYFUNCTION("""COMPUTED_VALUE"""),5)</f>
        <v>5</v>
      </c>
      <c r="L43" s="37">
        <f ca="1">IFERROR(__xludf.DUMMYFUNCTION("""COMPUTED_VALUE"""),1)</f>
        <v>1</v>
      </c>
      <c r="M43" s="37">
        <f ca="1">IFERROR(__xludf.DUMMYFUNCTION("""COMPUTED_VALUE"""),0)</f>
        <v>0</v>
      </c>
      <c r="N43" s="39">
        <f ca="1">IFERROR(__xludf.DUMMYFUNCTION("""COMPUTED_VALUE"""),17.9)</f>
        <v>17.899999999999999</v>
      </c>
      <c r="O43" s="40">
        <f ca="1">IFERROR(__xludf.DUMMYFUNCTION("""COMPUTED_VALUE"""),418)</f>
        <v>418</v>
      </c>
      <c r="P43" s="37">
        <f ca="1">IFERROR(__xludf.DUMMYFUNCTION("""COMPUTED_VALUE"""),2)</f>
        <v>2</v>
      </c>
      <c r="Q43" s="37">
        <f ca="1">IFERROR(__xludf.DUMMYFUNCTION("""COMPUTED_VALUE"""),3)</f>
        <v>3</v>
      </c>
      <c r="R43" s="37"/>
      <c r="S43" s="37"/>
      <c r="T43" s="37"/>
      <c r="U43" s="37"/>
      <c r="V43" s="37"/>
    </row>
    <row r="44" spans="1:22" x14ac:dyDescent="0.35">
      <c r="A44" s="37" t="str">
        <f ca="1">IFERROR(__xludf.DUMMYFUNCTION("""COMPUTED_VALUE"""),"5117,95")</f>
        <v>5117,95</v>
      </c>
      <c r="B44" s="37" t="str">
        <f ca="1">IFERROR(__xludf.DUMMYFUNCTION("""COMPUTED_VALUE"""),"Shrubstone")</f>
        <v>Shrubstone</v>
      </c>
      <c r="C44" s="37">
        <f ca="1">IFERROR(__xludf.DUMMYFUNCTION("""COMPUTED_VALUE"""),1)</f>
        <v>1</v>
      </c>
      <c r="D44" s="38">
        <f ca="1">IFERROR(__xludf.DUMMYFUNCTION("""COMPUTED_VALUE"""),62)</f>
        <v>62</v>
      </c>
      <c r="E44" s="37">
        <f ca="1">IFERROR(__xludf.DUMMYFUNCTION("""COMPUTED_VALUE"""),20)</f>
        <v>20</v>
      </c>
      <c r="F44" s="37">
        <f ca="1">IFERROR(__xludf.DUMMYFUNCTION("""COMPUTED_VALUE"""),0)</f>
        <v>0</v>
      </c>
      <c r="G44" s="37">
        <f ca="1">IFERROR(__xludf.DUMMYFUNCTION("""COMPUTED_VALUE"""),0)</f>
        <v>0</v>
      </c>
      <c r="H44" s="37">
        <f ca="1">IFERROR(__xludf.DUMMYFUNCTION("""COMPUTED_VALUE"""),3)</f>
        <v>3</v>
      </c>
      <c r="I44" s="37">
        <f ca="1">IFERROR(__xludf.DUMMYFUNCTION("""COMPUTED_VALUE"""),1)</f>
        <v>1</v>
      </c>
      <c r="J44" s="37">
        <f ca="1">IFERROR(__xludf.DUMMYFUNCTION("""COMPUTED_VALUE"""),15)</f>
        <v>15</v>
      </c>
      <c r="K44" s="38">
        <f ca="1">IFERROR(__xludf.DUMMYFUNCTION("""COMPUTED_VALUE"""),3)</f>
        <v>3</v>
      </c>
      <c r="L44" s="37">
        <f ca="1">IFERROR(__xludf.DUMMYFUNCTION("""COMPUTED_VALUE"""),1)</f>
        <v>1</v>
      </c>
      <c r="M44" s="37">
        <f ca="1">IFERROR(__xludf.DUMMYFUNCTION("""COMPUTED_VALUE"""),1)</f>
        <v>1</v>
      </c>
      <c r="N44" s="39">
        <f ca="1">IFERROR(__xludf.DUMMYFUNCTION("""COMPUTED_VALUE"""),18.5)</f>
        <v>18.5</v>
      </c>
      <c r="O44" s="40">
        <f ca="1">IFERROR(__xludf.DUMMYFUNCTION("""COMPUTED_VALUE"""),756)</f>
        <v>756</v>
      </c>
      <c r="P44" s="37">
        <f ca="1">IFERROR(__xludf.DUMMYFUNCTION("""COMPUTED_VALUE"""),1)</f>
        <v>1</v>
      </c>
      <c r="Q44" s="37">
        <f ca="1">IFERROR(__xludf.DUMMYFUNCTION("""COMPUTED_VALUE"""),4)</f>
        <v>4</v>
      </c>
      <c r="R44" s="37"/>
      <c r="S44" s="37"/>
      <c r="T44" s="37"/>
      <c r="U44" s="37"/>
      <c r="V44" s="37"/>
    </row>
    <row r="45" spans="1:22" x14ac:dyDescent="0.35">
      <c r="A45" s="37" t="str">
        <f ca="1">IFERROR(__xludf.DUMMYFUNCTION("""COMPUTED_VALUE"""),"5118,20")</f>
        <v>5118,20</v>
      </c>
      <c r="B45" s="37" t="str">
        <f ca="1">IFERROR(__xludf.DUMMYFUNCTION("""COMPUTED_VALUE"""),"Intraclastic packstone")</f>
        <v>Intraclastic packstone</v>
      </c>
      <c r="C45" s="37">
        <f ca="1">IFERROR(__xludf.DUMMYFUNCTION("""COMPUTED_VALUE"""),9)</f>
        <v>9</v>
      </c>
      <c r="D45" s="38">
        <f ca="1">IFERROR(__xludf.DUMMYFUNCTION("""COMPUTED_VALUE"""),34)</f>
        <v>34</v>
      </c>
      <c r="E45" s="37">
        <f ca="1">IFERROR(__xludf.DUMMYFUNCTION("""COMPUTED_VALUE"""),12)</f>
        <v>12</v>
      </c>
      <c r="F45" s="37">
        <f ca="1">IFERROR(__xludf.DUMMYFUNCTION("""COMPUTED_VALUE"""),34)</f>
        <v>34</v>
      </c>
      <c r="G45" s="37">
        <f ca="1">IFERROR(__xludf.DUMMYFUNCTION("""COMPUTED_VALUE"""),6)</f>
        <v>6</v>
      </c>
      <c r="H45" s="37">
        <f ca="1">IFERROR(__xludf.DUMMYFUNCTION("""COMPUTED_VALUE"""),4)</f>
        <v>4</v>
      </c>
      <c r="I45" s="37">
        <f ca="1">IFERROR(__xludf.DUMMYFUNCTION("""COMPUTED_VALUE"""),0)</f>
        <v>0</v>
      </c>
      <c r="J45" s="37">
        <f ca="1">IFERROR(__xludf.DUMMYFUNCTION("""COMPUTED_VALUE"""),8)</f>
        <v>8</v>
      </c>
      <c r="K45" s="38">
        <f ca="1">IFERROR(__xludf.DUMMYFUNCTION("""COMPUTED_VALUE"""),6)</f>
        <v>6</v>
      </c>
      <c r="L45" s="37">
        <f ca="1">IFERROR(__xludf.DUMMYFUNCTION("""COMPUTED_VALUE"""),1)</f>
        <v>1</v>
      </c>
      <c r="M45" s="37">
        <f ca="1">IFERROR(__xludf.DUMMYFUNCTION("""COMPUTED_VALUE"""),0)</f>
        <v>0</v>
      </c>
      <c r="N45" s="39">
        <f ca="1">IFERROR(__xludf.DUMMYFUNCTION("""COMPUTED_VALUE"""),18.8)</f>
        <v>18.8</v>
      </c>
      <c r="O45" s="40">
        <f ca="1">IFERROR(__xludf.DUMMYFUNCTION("""COMPUTED_VALUE"""),76.6)</f>
        <v>76.599999999999994</v>
      </c>
      <c r="P45" s="37">
        <f ca="1">IFERROR(__xludf.DUMMYFUNCTION("""COMPUTED_VALUE"""),2)</f>
        <v>2</v>
      </c>
      <c r="Q45" s="37">
        <f ca="1">IFERROR(__xludf.DUMMYFUNCTION("""COMPUTED_VALUE"""),2)</f>
        <v>2</v>
      </c>
      <c r="R45" s="37"/>
      <c r="S45" s="37"/>
      <c r="T45" s="37"/>
      <c r="U45" s="37"/>
      <c r="V45" s="37"/>
    </row>
    <row r="46" spans="1:22" x14ac:dyDescent="0.35">
      <c r="A46" s="37" t="str">
        <f ca="1">IFERROR(__xludf.DUMMYFUNCTION("""COMPUTED_VALUE"""),"5118,60")</f>
        <v>5118,60</v>
      </c>
      <c r="B46" s="37" t="str">
        <f ca="1">IFERROR(__xludf.DUMMYFUNCTION("""COMPUTED_VALUE"""),"Intraclastic packstone")</f>
        <v>Intraclastic packstone</v>
      </c>
      <c r="C46" s="37">
        <f ca="1">IFERROR(__xludf.DUMMYFUNCTION("""COMPUTED_VALUE"""),9)</f>
        <v>9</v>
      </c>
      <c r="D46" s="38">
        <f ca="1">IFERROR(__xludf.DUMMYFUNCTION("""COMPUTED_VALUE"""),41)</f>
        <v>41</v>
      </c>
      <c r="E46" s="37">
        <f ca="1">IFERROR(__xludf.DUMMYFUNCTION("""COMPUTED_VALUE"""),40)</f>
        <v>40</v>
      </c>
      <c r="F46" s="37">
        <f ca="1">IFERROR(__xludf.DUMMYFUNCTION("""COMPUTED_VALUE"""),4)</f>
        <v>4</v>
      </c>
      <c r="G46" s="37">
        <f ca="1">IFERROR(__xludf.DUMMYFUNCTION("""COMPUTED_VALUE"""),3)</f>
        <v>3</v>
      </c>
      <c r="H46" s="37">
        <f ca="1">IFERROR(__xludf.DUMMYFUNCTION("""COMPUTED_VALUE"""),3)</f>
        <v>3</v>
      </c>
      <c r="I46" s="37">
        <f ca="1">IFERROR(__xludf.DUMMYFUNCTION("""COMPUTED_VALUE"""),0)</f>
        <v>0</v>
      </c>
      <c r="J46" s="37">
        <f ca="1">IFERROR(__xludf.DUMMYFUNCTION("""COMPUTED_VALUE"""),10)</f>
        <v>10</v>
      </c>
      <c r="K46" s="38">
        <f ca="1">IFERROR(__xludf.DUMMYFUNCTION("""COMPUTED_VALUE"""),2)</f>
        <v>2</v>
      </c>
      <c r="L46" s="37">
        <f ca="1">IFERROR(__xludf.DUMMYFUNCTION("""COMPUTED_VALUE"""),0)</f>
        <v>0</v>
      </c>
      <c r="M46" s="37">
        <f ca="1">IFERROR(__xludf.DUMMYFUNCTION("""COMPUTED_VALUE"""),0)</f>
        <v>0</v>
      </c>
      <c r="N46" s="39">
        <f ca="1">IFERROR(__xludf.DUMMYFUNCTION("""COMPUTED_VALUE"""),18)</f>
        <v>18</v>
      </c>
      <c r="O46" s="40">
        <f ca="1">IFERROR(__xludf.DUMMYFUNCTION("""COMPUTED_VALUE"""),79.3)</f>
        <v>79.3</v>
      </c>
      <c r="P46" s="37">
        <f ca="1">IFERROR(__xludf.DUMMYFUNCTION("""COMPUTED_VALUE"""),2)</f>
        <v>2</v>
      </c>
      <c r="Q46" s="37">
        <f ca="1">IFERROR(__xludf.DUMMYFUNCTION("""COMPUTED_VALUE"""),2)</f>
        <v>2</v>
      </c>
      <c r="R46" s="37"/>
      <c r="S46" s="37"/>
      <c r="T46" s="37"/>
      <c r="U46" s="37"/>
      <c r="V46" s="37"/>
    </row>
    <row r="47" spans="1:22" x14ac:dyDescent="0.35">
      <c r="A47" s="37" t="str">
        <f ca="1">IFERROR(__xludf.DUMMYFUNCTION("""COMPUTED_VALUE"""),"5119,00")</f>
        <v>5119,00</v>
      </c>
      <c r="B47" s="37" t="str">
        <f ca="1">IFERROR(__xludf.DUMMYFUNCTION("""COMPUTED_VALUE"""),"Intraclastic packstone")</f>
        <v>Intraclastic packstone</v>
      </c>
      <c r="C47" s="37">
        <f ca="1">IFERROR(__xludf.DUMMYFUNCTION("""COMPUTED_VALUE"""),9)</f>
        <v>9</v>
      </c>
      <c r="D47" s="38">
        <f ca="1">IFERROR(__xludf.DUMMYFUNCTION("""COMPUTED_VALUE"""),58)</f>
        <v>58</v>
      </c>
      <c r="E47" s="37">
        <f ca="1">IFERROR(__xludf.DUMMYFUNCTION("""COMPUTED_VALUE"""),20)</f>
        <v>20</v>
      </c>
      <c r="F47" s="37">
        <f ca="1">IFERROR(__xludf.DUMMYFUNCTION("""COMPUTED_VALUE"""),2)</f>
        <v>2</v>
      </c>
      <c r="G47" s="37">
        <f ca="1">IFERROR(__xludf.DUMMYFUNCTION("""COMPUTED_VALUE"""),0)</f>
        <v>0</v>
      </c>
      <c r="H47" s="37">
        <f ca="1">IFERROR(__xludf.DUMMYFUNCTION("""COMPUTED_VALUE"""),3)</f>
        <v>3</v>
      </c>
      <c r="I47" s="37">
        <f ca="1">IFERROR(__xludf.DUMMYFUNCTION("""COMPUTED_VALUE"""),0)</f>
        <v>0</v>
      </c>
      <c r="J47" s="37">
        <f ca="1">IFERROR(__xludf.DUMMYFUNCTION("""COMPUTED_VALUE"""),20)</f>
        <v>20</v>
      </c>
      <c r="K47" s="38">
        <f ca="1">IFERROR(__xludf.DUMMYFUNCTION("""COMPUTED_VALUE"""),0)</f>
        <v>0</v>
      </c>
      <c r="L47" s="37">
        <f ca="1">IFERROR(__xludf.DUMMYFUNCTION("""COMPUTED_VALUE"""),1)</f>
        <v>1</v>
      </c>
      <c r="M47" s="37">
        <f ca="1">IFERROR(__xludf.DUMMYFUNCTION("""COMPUTED_VALUE"""),1)</f>
        <v>1</v>
      </c>
      <c r="N47" s="39">
        <f ca="1">IFERROR(__xludf.DUMMYFUNCTION("""COMPUTED_VALUE"""),21.7)</f>
        <v>21.7</v>
      </c>
      <c r="O47" s="40">
        <f ca="1">IFERROR(__xludf.DUMMYFUNCTION("""COMPUTED_VALUE"""),1370)</f>
        <v>1370</v>
      </c>
      <c r="P47" s="37">
        <f ca="1">IFERROR(__xludf.DUMMYFUNCTION("""COMPUTED_VALUE"""),2)</f>
        <v>2</v>
      </c>
      <c r="Q47" s="37">
        <f ca="1">IFERROR(__xludf.DUMMYFUNCTION("""COMPUTED_VALUE"""),5)</f>
        <v>5</v>
      </c>
      <c r="R47" s="37"/>
      <c r="S47" s="37"/>
      <c r="T47" s="37"/>
      <c r="U47" s="37"/>
      <c r="V47" s="37"/>
    </row>
    <row r="48" spans="1:22" x14ac:dyDescent="0.35">
      <c r="A48" s="37" t="str">
        <f ca="1">IFERROR(__xludf.DUMMYFUNCTION("""COMPUTED_VALUE"""),"5119,30")</f>
        <v>5119,30</v>
      </c>
      <c r="B48" s="37" t="str">
        <f ca="1">IFERROR(__xludf.DUMMYFUNCTION("""COMPUTED_VALUE"""),"Intraclastic packstone")</f>
        <v>Intraclastic packstone</v>
      </c>
      <c r="C48" s="37">
        <f ca="1">IFERROR(__xludf.DUMMYFUNCTION("""COMPUTED_VALUE"""),9)</f>
        <v>9</v>
      </c>
      <c r="D48" s="38">
        <f ca="1">IFERROR(__xludf.DUMMYFUNCTION("""COMPUTED_VALUE"""),24)</f>
        <v>24</v>
      </c>
      <c r="E48" s="37">
        <f ca="1">IFERROR(__xludf.DUMMYFUNCTION("""COMPUTED_VALUE"""),38)</f>
        <v>38</v>
      </c>
      <c r="F48" s="37">
        <f ca="1">IFERROR(__xludf.DUMMYFUNCTION("""COMPUTED_VALUE"""),5)</f>
        <v>5</v>
      </c>
      <c r="G48" s="37">
        <f ca="1">IFERROR(__xludf.DUMMYFUNCTION("""COMPUTED_VALUE"""),5)</f>
        <v>5</v>
      </c>
      <c r="H48" s="37">
        <f ca="1">IFERROR(__xludf.DUMMYFUNCTION("""COMPUTED_VALUE"""),2)</f>
        <v>2</v>
      </c>
      <c r="I48" s="37">
        <f ca="1">IFERROR(__xludf.DUMMYFUNCTION("""COMPUTED_VALUE"""),0)</f>
        <v>0</v>
      </c>
      <c r="J48" s="37">
        <f ca="1">IFERROR(__xludf.DUMMYFUNCTION("""COMPUTED_VALUE"""),25)</f>
        <v>25</v>
      </c>
      <c r="K48" s="38">
        <f ca="1">IFERROR(__xludf.DUMMYFUNCTION("""COMPUTED_VALUE"""),3)</f>
        <v>3</v>
      </c>
      <c r="L48" s="37">
        <f ca="1">IFERROR(__xludf.DUMMYFUNCTION("""COMPUTED_VALUE"""),1)</f>
        <v>1</v>
      </c>
      <c r="M48" s="37">
        <f ca="1">IFERROR(__xludf.DUMMYFUNCTION("""COMPUTED_VALUE"""),1)</f>
        <v>1</v>
      </c>
      <c r="N48" s="39">
        <f ca="1">IFERROR(__xludf.DUMMYFUNCTION("""COMPUTED_VALUE"""),20.5)</f>
        <v>20.5</v>
      </c>
      <c r="O48" s="40">
        <f ca="1">IFERROR(__xludf.DUMMYFUNCTION("""COMPUTED_VALUE"""),800)</f>
        <v>800</v>
      </c>
      <c r="P48" s="37">
        <f ca="1">IFERROR(__xludf.DUMMYFUNCTION("""COMPUTED_VALUE"""),2)</f>
        <v>2</v>
      </c>
      <c r="Q48" s="37">
        <f ca="1">IFERROR(__xludf.DUMMYFUNCTION("""COMPUTED_VALUE"""),4)</f>
        <v>4</v>
      </c>
      <c r="R48" s="37"/>
      <c r="S48" s="37"/>
      <c r="T48" s="37"/>
      <c r="U48" s="37"/>
      <c r="V48" s="37"/>
    </row>
    <row r="49" spans="1:22" x14ac:dyDescent="0.35">
      <c r="A49" s="37" t="str">
        <f ca="1">IFERROR(__xludf.DUMMYFUNCTION("""COMPUTED_VALUE"""),"5119,60")</f>
        <v>5119,60</v>
      </c>
      <c r="B49" s="37" t="str">
        <f ca="1">IFERROR(__xludf.DUMMYFUNCTION("""COMPUTED_VALUE"""),"Intraclastic rudstone")</f>
        <v>Intraclastic rudstone</v>
      </c>
      <c r="C49" s="37">
        <f ca="1">IFERROR(__xludf.DUMMYFUNCTION("""COMPUTED_VALUE"""),10)</f>
        <v>10</v>
      </c>
      <c r="D49" s="38">
        <f ca="1">IFERROR(__xludf.DUMMYFUNCTION("""COMPUTED_VALUE"""),47)</f>
        <v>47</v>
      </c>
      <c r="E49" s="37">
        <f ca="1">IFERROR(__xludf.DUMMYFUNCTION("""COMPUTED_VALUE"""),29)</f>
        <v>29</v>
      </c>
      <c r="F49" s="37">
        <f ca="1">IFERROR(__xludf.DUMMYFUNCTION("""COMPUTED_VALUE"""),2)</f>
        <v>2</v>
      </c>
      <c r="G49" s="37">
        <f ca="1">IFERROR(__xludf.DUMMYFUNCTION("""COMPUTED_VALUE"""),0)</f>
        <v>0</v>
      </c>
      <c r="H49" s="37">
        <f ca="1">IFERROR(__xludf.DUMMYFUNCTION("""COMPUTED_VALUE"""),3)</f>
        <v>3</v>
      </c>
      <c r="I49" s="37">
        <f ca="1">IFERROR(__xludf.DUMMYFUNCTION("""COMPUTED_VALUE"""),0)</f>
        <v>0</v>
      </c>
      <c r="J49" s="37">
        <f ca="1">IFERROR(__xludf.DUMMYFUNCTION("""COMPUTED_VALUE"""),18)</f>
        <v>18</v>
      </c>
      <c r="K49" s="38">
        <f ca="1">IFERROR(__xludf.DUMMYFUNCTION("""COMPUTED_VALUE"""),4)</f>
        <v>4</v>
      </c>
      <c r="L49" s="37">
        <f ca="1">IFERROR(__xludf.DUMMYFUNCTION("""COMPUTED_VALUE"""),1)</f>
        <v>1</v>
      </c>
      <c r="M49" s="37">
        <f ca="1">IFERROR(__xludf.DUMMYFUNCTION("""COMPUTED_VALUE"""),1)</f>
        <v>1</v>
      </c>
      <c r="N49" s="39">
        <f ca="1">IFERROR(__xludf.DUMMYFUNCTION("""COMPUTED_VALUE"""),18.7)</f>
        <v>18.7</v>
      </c>
      <c r="O49" s="40">
        <f ca="1">IFERROR(__xludf.DUMMYFUNCTION("""COMPUTED_VALUE"""),923)</f>
        <v>923</v>
      </c>
      <c r="P49" s="37">
        <f ca="1">IFERROR(__xludf.DUMMYFUNCTION("""COMPUTED_VALUE"""),2)</f>
        <v>2</v>
      </c>
      <c r="Q49" s="37">
        <f ca="1">IFERROR(__xludf.DUMMYFUNCTION("""COMPUTED_VALUE"""),4)</f>
        <v>4</v>
      </c>
      <c r="R49" s="37"/>
      <c r="S49" s="37"/>
      <c r="T49" s="37"/>
      <c r="U49" s="37"/>
      <c r="V49" s="37"/>
    </row>
    <row r="50" spans="1:22" x14ac:dyDescent="0.35">
      <c r="A50" s="37" t="str">
        <f ca="1">IFERROR(__xludf.DUMMYFUNCTION("""COMPUTED_VALUE"""),"5119,90")</f>
        <v>5119,90</v>
      </c>
      <c r="B50" s="37" t="str">
        <f ca="1">IFERROR(__xludf.DUMMYFUNCTION("""COMPUTED_VALUE"""),"Intraclastic packstone")</f>
        <v>Intraclastic packstone</v>
      </c>
      <c r="C50" s="37">
        <f ca="1">IFERROR(__xludf.DUMMYFUNCTION("""COMPUTED_VALUE"""),9)</f>
        <v>9</v>
      </c>
      <c r="D50" s="38">
        <f ca="1">IFERROR(__xludf.DUMMYFUNCTION("""COMPUTED_VALUE"""),46)</f>
        <v>46</v>
      </c>
      <c r="E50" s="37">
        <f ca="1">IFERROR(__xludf.DUMMYFUNCTION("""COMPUTED_VALUE"""),34)</f>
        <v>34</v>
      </c>
      <c r="F50" s="37">
        <f ca="1">IFERROR(__xludf.DUMMYFUNCTION("""COMPUTED_VALUE"""),4)</f>
        <v>4</v>
      </c>
      <c r="G50" s="37">
        <f ca="1">IFERROR(__xludf.DUMMYFUNCTION("""COMPUTED_VALUE"""),0)</f>
        <v>0</v>
      </c>
      <c r="H50" s="37">
        <f ca="1">IFERROR(__xludf.DUMMYFUNCTION("""COMPUTED_VALUE"""),3)</f>
        <v>3</v>
      </c>
      <c r="I50" s="37">
        <f ca="1">IFERROR(__xludf.DUMMYFUNCTION("""COMPUTED_VALUE"""),0)</f>
        <v>0</v>
      </c>
      <c r="J50" s="37">
        <f ca="1">IFERROR(__xludf.DUMMYFUNCTION("""COMPUTED_VALUE"""),10)</f>
        <v>10</v>
      </c>
      <c r="K50" s="38">
        <f ca="1">IFERROR(__xludf.DUMMYFUNCTION("""COMPUTED_VALUE"""),6)</f>
        <v>6</v>
      </c>
      <c r="L50" s="37">
        <f ca="1">IFERROR(__xludf.DUMMYFUNCTION("""COMPUTED_VALUE"""),1)</f>
        <v>1</v>
      </c>
      <c r="M50" s="37">
        <f ca="1">IFERROR(__xludf.DUMMYFUNCTION("""COMPUTED_VALUE"""),0)</f>
        <v>0</v>
      </c>
      <c r="N50" s="39">
        <f ca="1">IFERROR(__xludf.DUMMYFUNCTION("""COMPUTED_VALUE"""),15.6)</f>
        <v>15.6</v>
      </c>
      <c r="O50" s="40">
        <f ca="1">IFERROR(__xludf.DUMMYFUNCTION("""COMPUTED_VALUE"""),101)</f>
        <v>101</v>
      </c>
      <c r="P50" s="37">
        <f ca="1">IFERROR(__xludf.DUMMYFUNCTION("""COMPUTED_VALUE"""),2)</f>
        <v>2</v>
      </c>
      <c r="Q50" s="37">
        <f ca="1">IFERROR(__xludf.DUMMYFUNCTION("""COMPUTED_VALUE"""),3)</f>
        <v>3</v>
      </c>
      <c r="R50" s="37"/>
      <c r="S50" s="37"/>
      <c r="T50" s="37"/>
      <c r="U50" s="37"/>
      <c r="V50" s="37"/>
    </row>
    <row r="51" spans="1:22" x14ac:dyDescent="0.35">
      <c r="A51" s="37" t="str">
        <f ca="1">IFERROR(__xludf.DUMMYFUNCTION("""COMPUTED_VALUE"""),"5120,45")</f>
        <v>5120,45</v>
      </c>
      <c r="B51" s="37" t="str">
        <f ca="1">IFERROR(__xludf.DUMMYFUNCTION("""COMPUTED_VALUE"""),"Intraclastic packstone")</f>
        <v>Intraclastic packstone</v>
      </c>
      <c r="C51" s="37">
        <f ca="1">IFERROR(__xludf.DUMMYFUNCTION("""COMPUTED_VALUE"""),9)</f>
        <v>9</v>
      </c>
      <c r="D51" s="38">
        <f ca="1">IFERROR(__xludf.DUMMYFUNCTION("""COMPUTED_VALUE"""),42)</f>
        <v>42</v>
      </c>
      <c r="E51" s="37">
        <f ca="1">IFERROR(__xludf.DUMMYFUNCTION("""COMPUTED_VALUE"""),35)</f>
        <v>35</v>
      </c>
      <c r="F51" s="37">
        <f ca="1">IFERROR(__xludf.DUMMYFUNCTION("""COMPUTED_VALUE"""),3)</f>
        <v>3</v>
      </c>
      <c r="G51" s="37">
        <f ca="1">IFERROR(__xludf.DUMMYFUNCTION("""COMPUTED_VALUE"""),2)</f>
        <v>2</v>
      </c>
      <c r="H51" s="37">
        <f ca="1">IFERROR(__xludf.DUMMYFUNCTION("""COMPUTED_VALUE"""),3)</f>
        <v>3</v>
      </c>
      <c r="I51" s="37">
        <f ca="1">IFERROR(__xludf.DUMMYFUNCTION("""COMPUTED_VALUE"""),0)</f>
        <v>0</v>
      </c>
      <c r="J51" s="37">
        <f ca="1">IFERROR(__xludf.DUMMYFUNCTION("""COMPUTED_VALUE"""),14)</f>
        <v>14</v>
      </c>
      <c r="K51" s="38">
        <f ca="1">IFERROR(__xludf.DUMMYFUNCTION("""COMPUTED_VALUE"""),4)</f>
        <v>4</v>
      </c>
      <c r="L51" s="37">
        <f ca="1">IFERROR(__xludf.DUMMYFUNCTION("""COMPUTED_VALUE"""),0)</f>
        <v>0</v>
      </c>
      <c r="M51" s="37">
        <f ca="1">IFERROR(__xludf.DUMMYFUNCTION("""COMPUTED_VALUE"""),1)</f>
        <v>1</v>
      </c>
      <c r="N51" s="39">
        <f ca="1">IFERROR(__xludf.DUMMYFUNCTION("""COMPUTED_VALUE"""),19.4)</f>
        <v>19.399999999999999</v>
      </c>
      <c r="O51" s="40">
        <f ca="1">IFERROR(__xludf.DUMMYFUNCTION("""COMPUTED_VALUE"""),800)</f>
        <v>800</v>
      </c>
      <c r="P51" s="37">
        <f ca="1">IFERROR(__xludf.DUMMYFUNCTION("""COMPUTED_VALUE"""),2)</f>
        <v>2</v>
      </c>
      <c r="Q51" s="37">
        <f ca="1">IFERROR(__xludf.DUMMYFUNCTION("""COMPUTED_VALUE"""),4)</f>
        <v>4</v>
      </c>
      <c r="R51" s="37"/>
      <c r="S51" s="37"/>
      <c r="T51" s="37"/>
      <c r="U51" s="37"/>
      <c r="V51" s="37"/>
    </row>
    <row r="52" spans="1:22" x14ac:dyDescent="0.35">
      <c r="A52" s="37" t="str">
        <f ca="1">IFERROR(__xludf.DUMMYFUNCTION("""COMPUTED_VALUE"""),"5120,50")</f>
        <v>5120,50</v>
      </c>
      <c r="B52" s="37" t="str">
        <f ca="1">IFERROR(__xludf.DUMMYFUNCTION("""COMPUTED_VALUE"""),"Shrubstone")</f>
        <v>Shrubstone</v>
      </c>
      <c r="C52" s="37">
        <f ca="1">IFERROR(__xludf.DUMMYFUNCTION("""COMPUTED_VALUE"""),1)</f>
        <v>1</v>
      </c>
      <c r="D52" s="38">
        <f ca="1">IFERROR(__xludf.DUMMYFUNCTION("""COMPUTED_VALUE"""),73)</f>
        <v>73</v>
      </c>
      <c r="E52" s="37">
        <f ca="1">IFERROR(__xludf.DUMMYFUNCTION("""COMPUTED_VALUE"""),10)</f>
        <v>10</v>
      </c>
      <c r="F52" s="37">
        <f ca="1">IFERROR(__xludf.DUMMYFUNCTION("""COMPUTED_VALUE"""),0)</f>
        <v>0</v>
      </c>
      <c r="G52" s="37">
        <f ca="1">IFERROR(__xludf.DUMMYFUNCTION("""COMPUTED_VALUE"""),5)</f>
        <v>5</v>
      </c>
      <c r="H52" s="37">
        <f ca="1">IFERROR(__xludf.DUMMYFUNCTION("""COMPUTED_VALUE"""),2)</f>
        <v>2</v>
      </c>
      <c r="I52" s="37">
        <f ca="1">IFERROR(__xludf.DUMMYFUNCTION("""COMPUTED_VALUE"""),1)</f>
        <v>1</v>
      </c>
      <c r="J52" s="37">
        <f ca="1">IFERROR(__xludf.DUMMYFUNCTION("""COMPUTED_VALUE"""),8)</f>
        <v>8</v>
      </c>
      <c r="K52" s="38">
        <f ca="1">IFERROR(__xludf.DUMMYFUNCTION("""COMPUTED_VALUE"""),4)</f>
        <v>4</v>
      </c>
      <c r="L52" s="37">
        <f ca="1">IFERROR(__xludf.DUMMYFUNCTION("""COMPUTED_VALUE"""),1)</f>
        <v>1</v>
      </c>
      <c r="M52" s="37">
        <f ca="1">IFERROR(__xludf.DUMMYFUNCTION("""COMPUTED_VALUE"""),0)</f>
        <v>0</v>
      </c>
      <c r="N52" s="39">
        <f ca="1">IFERROR(__xludf.DUMMYFUNCTION("""COMPUTED_VALUE"""),14.95)</f>
        <v>14.95</v>
      </c>
      <c r="O52" s="40">
        <f ca="1">IFERROR(__xludf.DUMMYFUNCTION("""COMPUTED_VALUE"""),92.9)</f>
        <v>92.9</v>
      </c>
      <c r="P52" s="37">
        <f ca="1">IFERROR(__xludf.DUMMYFUNCTION("""COMPUTED_VALUE"""),1)</f>
        <v>1</v>
      </c>
      <c r="Q52" s="37">
        <f ca="1">IFERROR(__xludf.DUMMYFUNCTION("""COMPUTED_VALUE"""),2)</f>
        <v>2</v>
      </c>
      <c r="R52" s="37"/>
      <c r="S52" s="37"/>
      <c r="T52" s="37"/>
      <c r="U52" s="37"/>
      <c r="V52" s="37"/>
    </row>
    <row r="53" spans="1:22" x14ac:dyDescent="0.35">
      <c r="A53" s="37" t="str">
        <f ca="1">IFERROR(__xludf.DUMMYFUNCTION("""COMPUTED_VALUE"""),"5120,80")</f>
        <v>5120,80</v>
      </c>
      <c r="B53" s="37" t="str">
        <f ca="1">IFERROR(__xludf.DUMMYFUNCTION("""COMPUTED_VALUE"""),"Intraclastic packstone")</f>
        <v>Intraclastic packstone</v>
      </c>
      <c r="C53" s="37">
        <f ca="1">IFERROR(__xludf.DUMMYFUNCTION("""COMPUTED_VALUE"""),9)</f>
        <v>9</v>
      </c>
      <c r="D53" s="38">
        <f ca="1">IFERROR(__xludf.DUMMYFUNCTION("""COMPUTED_VALUE"""),69)</f>
        <v>69</v>
      </c>
      <c r="E53" s="37">
        <f ca="1">IFERROR(__xludf.DUMMYFUNCTION("""COMPUTED_VALUE"""),12)</f>
        <v>12</v>
      </c>
      <c r="F53" s="37">
        <f ca="1">IFERROR(__xludf.DUMMYFUNCTION("""COMPUTED_VALUE"""),1)</f>
        <v>1</v>
      </c>
      <c r="G53" s="37">
        <f ca="1">IFERROR(__xludf.DUMMYFUNCTION("""COMPUTED_VALUE"""),0)</f>
        <v>0</v>
      </c>
      <c r="H53" s="37">
        <f ca="1">IFERROR(__xludf.DUMMYFUNCTION("""COMPUTED_VALUE"""),3)</f>
        <v>3</v>
      </c>
      <c r="I53" s="37">
        <f ca="1">IFERROR(__xludf.DUMMYFUNCTION("""COMPUTED_VALUE"""),0)</f>
        <v>0</v>
      </c>
      <c r="J53" s="37">
        <f ca="1">IFERROR(__xludf.DUMMYFUNCTION("""COMPUTED_VALUE"""),12)</f>
        <v>12</v>
      </c>
      <c r="K53" s="38">
        <f ca="1">IFERROR(__xludf.DUMMYFUNCTION("""COMPUTED_VALUE"""),6)</f>
        <v>6</v>
      </c>
      <c r="L53" s="37">
        <f ca="1">IFERROR(__xludf.DUMMYFUNCTION("""COMPUTED_VALUE"""),0)</f>
        <v>0</v>
      </c>
      <c r="M53" s="37">
        <f ca="1">IFERROR(__xludf.DUMMYFUNCTION("""COMPUTED_VALUE"""),0)</f>
        <v>0</v>
      </c>
      <c r="N53" s="39">
        <f ca="1">IFERROR(__xludf.DUMMYFUNCTION("""COMPUTED_VALUE"""),17.1)</f>
        <v>17.100000000000001</v>
      </c>
      <c r="O53" s="40">
        <f ca="1">IFERROR(__xludf.DUMMYFUNCTION("""COMPUTED_VALUE"""),159)</f>
        <v>159</v>
      </c>
      <c r="P53" s="37">
        <f ca="1">IFERROR(__xludf.DUMMYFUNCTION("""COMPUTED_VALUE"""),2)</f>
        <v>2</v>
      </c>
      <c r="Q53" s="37">
        <f ca="1">IFERROR(__xludf.DUMMYFUNCTION("""COMPUTED_VALUE"""),3)</f>
        <v>3</v>
      </c>
      <c r="R53" s="37"/>
      <c r="S53" s="37"/>
      <c r="T53" s="37"/>
      <c r="U53" s="37"/>
      <c r="V53" s="37"/>
    </row>
    <row r="54" spans="1:22" x14ac:dyDescent="0.35">
      <c r="A54" s="37" t="str">
        <f ca="1">IFERROR(__xludf.DUMMYFUNCTION("""COMPUTED_VALUE"""),"5121,05")</f>
        <v>5121,05</v>
      </c>
      <c r="B54" s="37" t="str">
        <f ca="1">IFERROR(__xludf.DUMMYFUNCTION("""COMPUTED_VALUE"""),"Intraclastic packstone")</f>
        <v>Intraclastic packstone</v>
      </c>
      <c r="C54" s="37">
        <f ca="1">IFERROR(__xludf.DUMMYFUNCTION("""COMPUTED_VALUE"""),9)</f>
        <v>9</v>
      </c>
      <c r="D54" s="38">
        <f ca="1">IFERROR(__xludf.DUMMYFUNCTION("""COMPUTED_VALUE"""),35)</f>
        <v>35</v>
      </c>
      <c r="E54" s="37">
        <f ca="1">IFERROR(__xludf.DUMMYFUNCTION("""COMPUTED_VALUE"""),44)</f>
        <v>44</v>
      </c>
      <c r="F54" s="37">
        <f ca="1">IFERROR(__xludf.DUMMYFUNCTION("""COMPUTED_VALUE"""),8)</f>
        <v>8</v>
      </c>
      <c r="G54" s="37">
        <f ca="1">IFERROR(__xludf.DUMMYFUNCTION("""COMPUTED_VALUE"""),5)</f>
        <v>5</v>
      </c>
      <c r="H54" s="37">
        <f ca="1">IFERROR(__xludf.DUMMYFUNCTION("""COMPUTED_VALUE"""),4)</f>
        <v>4</v>
      </c>
      <c r="I54" s="37">
        <f ca="1">IFERROR(__xludf.DUMMYFUNCTION("""COMPUTED_VALUE"""),0)</f>
        <v>0</v>
      </c>
      <c r="J54" s="37">
        <f ca="1">IFERROR(__xludf.DUMMYFUNCTION("""COMPUTED_VALUE"""),5)</f>
        <v>5</v>
      </c>
      <c r="K54" s="38">
        <f ca="1">IFERROR(__xludf.DUMMYFUNCTION("""COMPUTED_VALUE"""),3)</f>
        <v>3</v>
      </c>
      <c r="L54" s="37">
        <f ca="1">IFERROR(__xludf.DUMMYFUNCTION("""COMPUTED_VALUE"""),0)</f>
        <v>0</v>
      </c>
      <c r="M54" s="37">
        <f ca="1">IFERROR(__xludf.DUMMYFUNCTION("""COMPUTED_VALUE"""),0)</f>
        <v>0</v>
      </c>
      <c r="N54" s="39">
        <f ca="1">IFERROR(__xludf.DUMMYFUNCTION("""COMPUTED_VALUE"""),19.2)</f>
        <v>19.2</v>
      </c>
      <c r="O54" s="40">
        <f ca="1">IFERROR(__xludf.DUMMYFUNCTION("""COMPUTED_VALUE"""),14.2)</f>
        <v>14.2</v>
      </c>
      <c r="P54" s="37">
        <f ca="1">IFERROR(__xludf.DUMMYFUNCTION("""COMPUTED_VALUE"""),2)</f>
        <v>2</v>
      </c>
      <c r="Q54" s="37">
        <f ca="1">IFERROR(__xludf.DUMMYFUNCTION("""COMPUTED_VALUE"""),1)</f>
        <v>1</v>
      </c>
      <c r="R54" s="37"/>
      <c r="S54" s="37"/>
      <c r="T54" s="37"/>
      <c r="U54" s="37"/>
      <c r="V54" s="37"/>
    </row>
    <row r="55" spans="1:22" x14ac:dyDescent="0.35">
      <c r="A55" s="37" t="str">
        <f ca="1">IFERROR(__xludf.DUMMYFUNCTION("""COMPUTED_VALUE"""),"5121,40")</f>
        <v>5121,40</v>
      </c>
      <c r="B55" s="37" t="str">
        <f ca="1">IFERROR(__xludf.DUMMYFUNCTION("""COMPUTED_VALUE"""),"Intraclastic rudstone")</f>
        <v>Intraclastic rudstone</v>
      </c>
      <c r="C55" s="37">
        <f ca="1">IFERROR(__xludf.DUMMYFUNCTION("""COMPUTED_VALUE"""),10)</f>
        <v>10</v>
      </c>
      <c r="D55" s="38">
        <f ca="1">IFERROR(__xludf.DUMMYFUNCTION("""COMPUTED_VALUE"""),57)</f>
        <v>57</v>
      </c>
      <c r="E55" s="37">
        <f ca="1">IFERROR(__xludf.DUMMYFUNCTION("""COMPUTED_VALUE"""),18)</f>
        <v>18</v>
      </c>
      <c r="F55" s="37">
        <f ca="1">IFERROR(__xludf.DUMMYFUNCTION("""COMPUTED_VALUE"""),5)</f>
        <v>5</v>
      </c>
      <c r="G55" s="37">
        <f ca="1">IFERROR(__xludf.DUMMYFUNCTION("""COMPUTED_VALUE"""),2)</f>
        <v>2</v>
      </c>
      <c r="H55" s="37">
        <f ca="1">IFERROR(__xludf.DUMMYFUNCTION("""COMPUTED_VALUE"""),3)</f>
        <v>3</v>
      </c>
      <c r="I55" s="37">
        <f ca="1">IFERROR(__xludf.DUMMYFUNCTION("""COMPUTED_VALUE"""),0)</f>
        <v>0</v>
      </c>
      <c r="J55" s="37">
        <f ca="1">IFERROR(__xludf.DUMMYFUNCTION("""COMPUTED_VALUE"""),10)</f>
        <v>10</v>
      </c>
      <c r="K55" s="38">
        <f ca="1">IFERROR(__xludf.DUMMYFUNCTION("""COMPUTED_VALUE"""),8)</f>
        <v>8</v>
      </c>
      <c r="L55" s="37">
        <f ca="1">IFERROR(__xludf.DUMMYFUNCTION("""COMPUTED_VALUE"""),1)</f>
        <v>1</v>
      </c>
      <c r="M55" s="37">
        <f ca="1">IFERROR(__xludf.DUMMYFUNCTION("""COMPUTED_VALUE"""),1)</f>
        <v>1</v>
      </c>
      <c r="N55" s="39">
        <f ca="1">IFERROR(__xludf.DUMMYFUNCTION("""COMPUTED_VALUE"""),18)</f>
        <v>18</v>
      </c>
      <c r="O55" s="40">
        <f ca="1">IFERROR(__xludf.DUMMYFUNCTION("""COMPUTED_VALUE"""),1730)</f>
        <v>1730</v>
      </c>
      <c r="P55" s="37">
        <f ca="1">IFERROR(__xludf.DUMMYFUNCTION("""COMPUTED_VALUE"""),2)</f>
        <v>2</v>
      </c>
      <c r="Q55" s="37">
        <f ca="1">IFERROR(__xludf.DUMMYFUNCTION("""COMPUTED_VALUE"""),5)</f>
        <v>5</v>
      </c>
      <c r="R55" s="37"/>
      <c r="S55" s="37"/>
      <c r="T55" s="37"/>
      <c r="U55" s="37"/>
      <c r="V55" s="37"/>
    </row>
    <row r="56" spans="1:22" x14ac:dyDescent="0.35">
      <c r="A56" s="37" t="str">
        <f ca="1">IFERROR(__xludf.DUMMYFUNCTION("""COMPUTED_VALUE"""),"5121,70")</f>
        <v>5121,70</v>
      </c>
      <c r="B56" s="37" t="str">
        <f ca="1">IFERROR(__xludf.DUMMYFUNCTION("""COMPUTED_VALUE"""),"Shrubstone")</f>
        <v>Shrubstone</v>
      </c>
      <c r="C56" s="37">
        <f ca="1">IFERROR(__xludf.DUMMYFUNCTION("""COMPUTED_VALUE"""),1)</f>
        <v>1</v>
      </c>
      <c r="D56" s="38">
        <f ca="1">IFERROR(__xludf.DUMMYFUNCTION("""COMPUTED_VALUE"""),90)</f>
        <v>90</v>
      </c>
      <c r="E56" s="37">
        <f ca="1">IFERROR(__xludf.DUMMYFUNCTION("""COMPUTED_VALUE"""),0)</f>
        <v>0</v>
      </c>
      <c r="F56" s="37">
        <f ca="1">IFERROR(__xludf.DUMMYFUNCTION("""COMPUTED_VALUE"""),0)</f>
        <v>0</v>
      </c>
      <c r="G56" s="37">
        <f ca="1">IFERROR(__xludf.DUMMYFUNCTION("""COMPUTED_VALUE"""),0)</f>
        <v>0</v>
      </c>
      <c r="H56" s="37">
        <f ca="1">IFERROR(__xludf.DUMMYFUNCTION("""COMPUTED_VALUE"""),0)</f>
        <v>0</v>
      </c>
      <c r="I56" s="37">
        <f ca="1">IFERROR(__xludf.DUMMYFUNCTION("""COMPUTED_VALUE"""),1)</f>
        <v>1</v>
      </c>
      <c r="J56" s="37">
        <f ca="1">IFERROR(__xludf.DUMMYFUNCTION("""COMPUTED_VALUE"""),7)</f>
        <v>7</v>
      </c>
      <c r="K56" s="38">
        <f ca="1">IFERROR(__xludf.DUMMYFUNCTION("""COMPUTED_VALUE"""),3)</f>
        <v>3</v>
      </c>
      <c r="L56" s="37">
        <f ca="1">IFERROR(__xludf.DUMMYFUNCTION("""COMPUTED_VALUE"""),1)</f>
        <v>1</v>
      </c>
      <c r="M56" s="37">
        <f ca="1">IFERROR(__xludf.DUMMYFUNCTION("""COMPUTED_VALUE"""),1)</f>
        <v>1</v>
      </c>
      <c r="N56" s="39">
        <f ca="1">IFERROR(__xludf.DUMMYFUNCTION("""COMPUTED_VALUE"""),15.5)</f>
        <v>15.5</v>
      </c>
      <c r="O56" s="40">
        <f ca="1">IFERROR(__xludf.DUMMYFUNCTION("""COMPUTED_VALUE"""),1620)</f>
        <v>1620</v>
      </c>
      <c r="P56" s="37">
        <f ca="1">IFERROR(__xludf.DUMMYFUNCTION("""COMPUTED_VALUE"""),1)</f>
        <v>1</v>
      </c>
      <c r="Q56" s="37">
        <f ca="1">IFERROR(__xludf.DUMMYFUNCTION("""COMPUTED_VALUE"""),5)</f>
        <v>5</v>
      </c>
      <c r="R56" s="37"/>
      <c r="S56" s="37"/>
      <c r="T56" s="37"/>
      <c r="U56" s="37"/>
      <c r="V56" s="37"/>
    </row>
    <row r="57" spans="1:22" x14ac:dyDescent="0.35">
      <c r="A57" s="37" t="str">
        <f ca="1">IFERROR(__xludf.DUMMYFUNCTION("""COMPUTED_VALUE"""),"5122,00")</f>
        <v>5122,00</v>
      </c>
      <c r="B57" s="37" t="str">
        <f ca="1">IFERROR(__xludf.DUMMYFUNCTION("""COMPUTED_VALUE"""),"Shrubstone")</f>
        <v>Shrubstone</v>
      </c>
      <c r="C57" s="37">
        <f ca="1">IFERROR(__xludf.DUMMYFUNCTION("""COMPUTED_VALUE"""),1)</f>
        <v>1</v>
      </c>
      <c r="D57" s="38">
        <f ca="1">IFERROR(__xludf.DUMMYFUNCTION("""COMPUTED_VALUE"""),87)</f>
        <v>87</v>
      </c>
      <c r="E57" s="37">
        <f ca="1">IFERROR(__xludf.DUMMYFUNCTION("""COMPUTED_VALUE"""),0)</f>
        <v>0</v>
      </c>
      <c r="F57" s="37">
        <f ca="1">IFERROR(__xludf.DUMMYFUNCTION("""COMPUTED_VALUE"""),0)</f>
        <v>0</v>
      </c>
      <c r="G57" s="37">
        <f ca="1">IFERROR(__xludf.DUMMYFUNCTION("""COMPUTED_VALUE"""),0)</f>
        <v>0</v>
      </c>
      <c r="H57" s="37">
        <f ca="1">IFERROR(__xludf.DUMMYFUNCTION("""COMPUTED_VALUE"""),1)</f>
        <v>1</v>
      </c>
      <c r="I57" s="37">
        <f ca="1">IFERROR(__xludf.DUMMYFUNCTION("""COMPUTED_VALUE"""),1)</f>
        <v>1</v>
      </c>
      <c r="J57" s="37">
        <f ca="1">IFERROR(__xludf.DUMMYFUNCTION("""COMPUTED_VALUE"""),9)</f>
        <v>9</v>
      </c>
      <c r="K57" s="38">
        <f ca="1">IFERROR(__xludf.DUMMYFUNCTION("""COMPUTED_VALUE"""),4)</f>
        <v>4</v>
      </c>
      <c r="L57" s="37">
        <f ca="1">IFERROR(__xludf.DUMMYFUNCTION("""COMPUTED_VALUE"""),1)</f>
        <v>1</v>
      </c>
      <c r="M57" s="37">
        <f ca="1">IFERROR(__xludf.DUMMYFUNCTION("""COMPUTED_VALUE"""),1)</f>
        <v>1</v>
      </c>
      <c r="N57" s="39">
        <f ca="1">IFERROR(__xludf.DUMMYFUNCTION("""COMPUTED_VALUE"""),16.3)</f>
        <v>16.3</v>
      </c>
      <c r="O57" s="40">
        <f ca="1">IFERROR(__xludf.DUMMYFUNCTION("""COMPUTED_VALUE"""),3550)</f>
        <v>3550</v>
      </c>
      <c r="P57" s="37">
        <f ca="1">IFERROR(__xludf.DUMMYFUNCTION("""COMPUTED_VALUE"""),1)</f>
        <v>1</v>
      </c>
      <c r="Q57" s="37">
        <f ca="1">IFERROR(__xludf.DUMMYFUNCTION("""COMPUTED_VALUE"""),5)</f>
        <v>5</v>
      </c>
      <c r="R57" s="37"/>
      <c r="S57" s="37"/>
      <c r="T57" s="37"/>
      <c r="U57" s="37"/>
      <c r="V57" s="37"/>
    </row>
    <row r="58" spans="1:22" x14ac:dyDescent="0.35">
      <c r="A58" s="37" t="str">
        <f ca="1">IFERROR(__xludf.DUMMYFUNCTION("""COMPUTED_VALUE"""),"5122,30")</f>
        <v>5122,30</v>
      </c>
      <c r="B58" s="37" t="str">
        <f ca="1">IFERROR(__xludf.DUMMYFUNCTION("""COMPUTED_VALUE"""),"Intraclastic packstone")</f>
        <v>Intraclastic packstone</v>
      </c>
      <c r="C58" s="37">
        <f ca="1">IFERROR(__xludf.DUMMYFUNCTION("""COMPUTED_VALUE"""),9)</f>
        <v>9</v>
      </c>
      <c r="D58" s="38">
        <f ca="1">IFERROR(__xludf.DUMMYFUNCTION("""COMPUTED_VALUE"""),74)</f>
        <v>74</v>
      </c>
      <c r="E58" s="37">
        <f ca="1">IFERROR(__xludf.DUMMYFUNCTION("""COMPUTED_VALUE"""),8)</f>
        <v>8</v>
      </c>
      <c r="F58" s="37">
        <f ca="1">IFERROR(__xludf.DUMMYFUNCTION("""COMPUTED_VALUE"""),1)</f>
        <v>1</v>
      </c>
      <c r="G58" s="37">
        <f ca="1">IFERROR(__xludf.DUMMYFUNCTION("""COMPUTED_VALUE"""),1)</f>
        <v>1</v>
      </c>
      <c r="H58" s="37">
        <f ca="1">IFERROR(__xludf.DUMMYFUNCTION("""COMPUTED_VALUE"""),3)</f>
        <v>3</v>
      </c>
      <c r="I58" s="37">
        <f ca="1">IFERROR(__xludf.DUMMYFUNCTION("""COMPUTED_VALUE"""),0)</f>
        <v>0</v>
      </c>
      <c r="J58" s="37">
        <f ca="1">IFERROR(__xludf.DUMMYFUNCTION("""COMPUTED_VALUE"""),13)</f>
        <v>13</v>
      </c>
      <c r="K58" s="38">
        <f ca="1">IFERROR(__xludf.DUMMYFUNCTION("""COMPUTED_VALUE"""),3)</f>
        <v>3</v>
      </c>
      <c r="L58" s="37">
        <f ca="1">IFERROR(__xludf.DUMMYFUNCTION("""COMPUTED_VALUE"""),1)</f>
        <v>1</v>
      </c>
      <c r="M58" s="37">
        <f ca="1">IFERROR(__xludf.DUMMYFUNCTION("""COMPUTED_VALUE"""),1)</f>
        <v>1</v>
      </c>
      <c r="N58" s="39">
        <f ca="1">IFERROR(__xludf.DUMMYFUNCTION("""COMPUTED_VALUE"""),14)</f>
        <v>14</v>
      </c>
      <c r="O58" s="40">
        <f ca="1">IFERROR(__xludf.DUMMYFUNCTION("""COMPUTED_VALUE"""),786)</f>
        <v>786</v>
      </c>
      <c r="P58" s="37">
        <f ca="1">IFERROR(__xludf.DUMMYFUNCTION("""COMPUTED_VALUE"""),2)</f>
        <v>2</v>
      </c>
      <c r="Q58" s="37">
        <f ca="1">IFERROR(__xludf.DUMMYFUNCTION("""COMPUTED_VALUE"""),4)</f>
        <v>4</v>
      </c>
      <c r="R58" s="37"/>
      <c r="S58" s="37"/>
      <c r="T58" s="37"/>
      <c r="U58" s="37"/>
      <c r="V58" s="37"/>
    </row>
    <row r="59" spans="1:22" x14ac:dyDescent="0.35">
      <c r="A59" s="37" t="str">
        <f ca="1">IFERROR(__xludf.DUMMYFUNCTION("""COMPUTED_VALUE"""),"5123,60")</f>
        <v>5123,60</v>
      </c>
      <c r="B59" s="37" t="str">
        <f ca="1">IFERROR(__xludf.DUMMYFUNCTION("""COMPUTED_VALUE"""),"Shrubstone")</f>
        <v>Shrubstone</v>
      </c>
      <c r="C59" s="37">
        <f ca="1">IFERROR(__xludf.DUMMYFUNCTION("""COMPUTED_VALUE"""),1)</f>
        <v>1</v>
      </c>
      <c r="D59" s="38">
        <f ca="1">IFERROR(__xludf.DUMMYFUNCTION("""COMPUTED_VALUE"""),76)</f>
        <v>76</v>
      </c>
      <c r="E59" s="37">
        <f ca="1">IFERROR(__xludf.DUMMYFUNCTION("""COMPUTED_VALUE"""),10)</f>
        <v>10</v>
      </c>
      <c r="F59" s="37">
        <f ca="1">IFERROR(__xludf.DUMMYFUNCTION("""COMPUTED_VALUE"""),1)</f>
        <v>1</v>
      </c>
      <c r="G59" s="37">
        <f ca="1">IFERROR(__xludf.DUMMYFUNCTION("""COMPUTED_VALUE"""),0)</f>
        <v>0</v>
      </c>
      <c r="H59" s="37">
        <f ca="1">IFERROR(__xludf.DUMMYFUNCTION("""COMPUTED_VALUE"""),4)</f>
        <v>4</v>
      </c>
      <c r="I59" s="37">
        <f ca="1">IFERROR(__xludf.DUMMYFUNCTION("""COMPUTED_VALUE"""),1)</f>
        <v>1</v>
      </c>
      <c r="J59" s="37">
        <f ca="1">IFERROR(__xludf.DUMMYFUNCTION("""COMPUTED_VALUE"""),10)</f>
        <v>10</v>
      </c>
      <c r="K59" s="38">
        <f ca="1">IFERROR(__xludf.DUMMYFUNCTION("""COMPUTED_VALUE"""),3)</f>
        <v>3</v>
      </c>
      <c r="L59" s="37">
        <f ca="1">IFERROR(__xludf.DUMMYFUNCTION("""COMPUTED_VALUE"""),1)</f>
        <v>1</v>
      </c>
      <c r="M59" s="37">
        <f ca="1">IFERROR(__xludf.DUMMYFUNCTION("""COMPUTED_VALUE"""),1)</f>
        <v>1</v>
      </c>
      <c r="N59" s="39">
        <f ca="1">IFERROR(__xludf.DUMMYFUNCTION("""COMPUTED_VALUE"""),16.8)</f>
        <v>16.8</v>
      </c>
      <c r="O59" s="40">
        <f ca="1">IFERROR(__xludf.DUMMYFUNCTION("""COMPUTED_VALUE"""),410)</f>
        <v>410</v>
      </c>
      <c r="P59" s="37">
        <f ca="1">IFERROR(__xludf.DUMMYFUNCTION("""COMPUTED_VALUE"""),1)</f>
        <v>1</v>
      </c>
      <c r="Q59" s="37">
        <f ca="1">IFERROR(__xludf.DUMMYFUNCTION("""COMPUTED_VALUE"""),3)</f>
        <v>3</v>
      </c>
      <c r="R59" s="37"/>
      <c r="S59" s="37"/>
      <c r="T59" s="37"/>
      <c r="U59" s="37"/>
      <c r="V59" s="37"/>
    </row>
    <row r="60" spans="1:22" x14ac:dyDescent="0.35">
      <c r="A60" s="37" t="str">
        <f ca="1">IFERROR(__xludf.DUMMYFUNCTION("""COMPUTED_VALUE"""),"5123,90")</f>
        <v>5123,90</v>
      </c>
      <c r="B60" s="37" t="str">
        <f ca="1">IFERROR(__xludf.DUMMYFUNCTION("""COMPUTED_VALUE"""),"Intraclastic packstone")</f>
        <v>Intraclastic packstone</v>
      </c>
      <c r="C60" s="37">
        <f ca="1">IFERROR(__xludf.DUMMYFUNCTION("""COMPUTED_VALUE"""),9)</f>
        <v>9</v>
      </c>
      <c r="D60" s="38">
        <f ca="1">IFERROR(__xludf.DUMMYFUNCTION("""COMPUTED_VALUE"""),71)</f>
        <v>71</v>
      </c>
      <c r="E60" s="37">
        <f ca="1">IFERROR(__xludf.DUMMYFUNCTION("""COMPUTED_VALUE"""),11)</f>
        <v>11</v>
      </c>
      <c r="F60" s="37">
        <f ca="1">IFERROR(__xludf.DUMMYFUNCTION("""COMPUTED_VALUE"""),2)</f>
        <v>2</v>
      </c>
      <c r="G60" s="37">
        <f ca="1">IFERROR(__xludf.DUMMYFUNCTION("""COMPUTED_VALUE"""),0)</f>
        <v>0</v>
      </c>
      <c r="H60" s="37">
        <f ca="1">IFERROR(__xludf.DUMMYFUNCTION("""COMPUTED_VALUE"""),3)</f>
        <v>3</v>
      </c>
      <c r="I60" s="37">
        <f ca="1">IFERROR(__xludf.DUMMYFUNCTION("""COMPUTED_VALUE"""),0)</f>
        <v>0</v>
      </c>
      <c r="J60" s="37">
        <f ca="1">IFERROR(__xludf.DUMMYFUNCTION("""COMPUTED_VALUE"""),14)</f>
        <v>14</v>
      </c>
      <c r="K60" s="38">
        <f ca="1">IFERROR(__xludf.DUMMYFUNCTION("""COMPUTED_VALUE"""),2)</f>
        <v>2</v>
      </c>
      <c r="L60" s="37">
        <f ca="1">IFERROR(__xludf.DUMMYFUNCTION("""COMPUTED_VALUE"""),0)</f>
        <v>0</v>
      </c>
      <c r="M60" s="37">
        <f ca="1">IFERROR(__xludf.DUMMYFUNCTION("""COMPUTED_VALUE"""),0)</f>
        <v>0</v>
      </c>
      <c r="N60" s="39">
        <f ca="1">IFERROR(__xludf.DUMMYFUNCTION("""COMPUTED_VALUE"""),0.01)</f>
        <v>0.01</v>
      </c>
      <c r="O60" s="40">
        <f ca="1">IFERROR(__xludf.DUMMYFUNCTION("""COMPUTED_VALUE"""),0)</f>
        <v>0</v>
      </c>
      <c r="P60" s="37">
        <f ca="1">IFERROR(__xludf.DUMMYFUNCTION("""COMPUTED_VALUE"""),2)</f>
        <v>2</v>
      </c>
      <c r="Q60" s="37">
        <f ca="1">IFERROR(__xludf.DUMMYFUNCTION("""COMPUTED_VALUE"""),1)</f>
        <v>1</v>
      </c>
      <c r="R60" s="37"/>
      <c r="S60" s="37"/>
      <c r="T60" s="37"/>
      <c r="U60" s="37"/>
      <c r="V60" s="37"/>
    </row>
    <row r="61" spans="1:22" x14ac:dyDescent="0.35">
      <c r="A61" s="37" t="str">
        <f ca="1">IFERROR(__xludf.DUMMYFUNCTION("""COMPUTED_VALUE"""),"5124,20")</f>
        <v>5124,20</v>
      </c>
      <c r="B61" s="37" t="str">
        <f ca="1">IFERROR(__xludf.DUMMYFUNCTION("""COMPUTED_VALUE"""),"Shrubstone")</f>
        <v>Shrubstone</v>
      </c>
      <c r="C61" s="37">
        <f ca="1">IFERROR(__xludf.DUMMYFUNCTION("""COMPUTED_VALUE"""),1)</f>
        <v>1</v>
      </c>
      <c r="D61" s="38">
        <f ca="1">IFERROR(__xludf.DUMMYFUNCTION("""COMPUTED_VALUE"""),80)</f>
        <v>80</v>
      </c>
      <c r="E61" s="37">
        <f ca="1">IFERROR(__xludf.DUMMYFUNCTION("""COMPUTED_VALUE"""),7)</f>
        <v>7</v>
      </c>
      <c r="F61" s="37">
        <f ca="1">IFERROR(__xludf.DUMMYFUNCTION("""COMPUTED_VALUE"""),0)</f>
        <v>0</v>
      </c>
      <c r="G61" s="37">
        <f ca="1">IFERROR(__xludf.DUMMYFUNCTION("""COMPUTED_VALUE"""),1)</f>
        <v>1</v>
      </c>
      <c r="H61" s="37">
        <f ca="1">IFERROR(__xludf.DUMMYFUNCTION("""COMPUTED_VALUE"""),4)</f>
        <v>4</v>
      </c>
      <c r="I61" s="37">
        <f ca="1">IFERROR(__xludf.DUMMYFUNCTION("""COMPUTED_VALUE"""),1)</f>
        <v>1</v>
      </c>
      <c r="J61" s="37">
        <f ca="1">IFERROR(__xludf.DUMMYFUNCTION("""COMPUTED_VALUE"""),10)</f>
        <v>10</v>
      </c>
      <c r="K61" s="38">
        <f ca="1">IFERROR(__xludf.DUMMYFUNCTION("""COMPUTED_VALUE"""),2)</f>
        <v>2</v>
      </c>
      <c r="L61" s="37">
        <f ca="1">IFERROR(__xludf.DUMMYFUNCTION("""COMPUTED_VALUE"""),0)</f>
        <v>0</v>
      </c>
      <c r="M61" s="37">
        <f ca="1">IFERROR(__xludf.DUMMYFUNCTION("""COMPUTED_VALUE"""),1)</f>
        <v>1</v>
      </c>
      <c r="N61" s="39">
        <f ca="1">IFERROR(__xludf.DUMMYFUNCTION("""COMPUTED_VALUE"""),17.2)</f>
        <v>17.2</v>
      </c>
      <c r="O61" s="40">
        <f ca="1">IFERROR(__xludf.DUMMYFUNCTION("""COMPUTED_VALUE"""),533)</f>
        <v>533</v>
      </c>
      <c r="P61" s="37">
        <f ca="1">IFERROR(__xludf.DUMMYFUNCTION("""COMPUTED_VALUE"""),1)</f>
        <v>1</v>
      </c>
      <c r="Q61" s="37">
        <f ca="1">IFERROR(__xludf.DUMMYFUNCTION("""COMPUTED_VALUE"""),4)</f>
        <v>4</v>
      </c>
      <c r="R61" s="37"/>
      <c r="S61" s="37"/>
      <c r="T61" s="37"/>
      <c r="U61" s="37"/>
      <c r="V61" s="37"/>
    </row>
    <row r="62" spans="1:22" x14ac:dyDescent="0.35">
      <c r="A62" s="37" t="str">
        <f ca="1">IFERROR(__xludf.DUMMYFUNCTION("""COMPUTED_VALUE"""),"5124,50")</f>
        <v>5124,50</v>
      </c>
      <c r="B62" s="37" t="str">
        <f ca="1">IFERROR(__xludf.DUMMYFUNCTION("""COMPUTED_VALUE"""),"Mudstone")</f>
        <v>Mudstone</v>
      </c>
      <c r="C62" s="37">
        <f ca="1">IFERROR(__xludf.DUMMYFUNCTION("""COMPUTED_VALUE"""),3)</f>
        <v>3</v>
      </c>
      <c r="D62" s="38">
        <f ca="1">IFERROR(__xludf.DUMMYFUNCTION("""COMPUTED_VALUE"""),0)</f>
        <v>0</v>
      </c>
      <c r="E62" s="37">
        <f ca="1">IFERROR(__xludf.DUMMYFUNCTION("""COMPUTED_VALUE"""),77)</f>
        <v>77</v>
      </c>
      <c r="F62" s="37">
        <f ca="1">IFERROR(__xludf.DUMMYFUNCTION("""COMPUTED_VALUE"""),5)</f>
        <v>5</v>
      </c>
      <c r="G62" s="37">
        <f ca="1">IFERROR(__xludf.DUMMYFUNCTION("""COMPUTED_VALUE"""),4)</f>
        <v>4</v>
      </c>
      <c r="H62" s="37">
        <f ca="1">IFERROR(__xludf.DUMMYFUNCTION("""COMPUTED_VALUE"""),0)</f>
        <v>0</v>
      </c>
      <c r="I62" s="37">
        <f ca="1">IFERROR(__xludf.DUMMYFUNCTION("""COMPUTED_VALUE"""),0)</f>
        <v>0</v>
      </c>
      <c r="J62" s="37">
        <f ca="1">IFERROR(__xludf.DUMMYFUNCTION("""COMPUTED_VALUE"""),13)</f>
        <v>13</v>
      </c>
      <c r="K62" s="38">
        <f ca="1">IFERROR(__xludf.DUMMYFUNCTION("""COMPUTED_VALUE"""),1)</f>
        <v>1</v>
      </c>
      <c r="L62" s="37">
        <f ca="1">IFERROR(__xludf.DUMMYFUNCTION("""COMPUTED_VALUE"""),0)</f>
        <v>0</v>
      </c>
      <c r="M62" s="37">
        <f ca="1">IFERROR(__xludf.DUMMYFUNCTION("""COMPUTED_VALUE"""),0)</f>
        <v>0</v>
      </c>
      <c r="N62" s="39">
        <f ca="1">IFERROR(__xludf.DUMMYFUNCTION("""COMPUTED_VALUE"""),13.9)</f>
        <v>13.9</v>
      </c>
      <c r="O62" s="40">
        <f ca="1">IFERROR(__xludf.DUMMYFUNCTION("""COMPUTED_VALUE"""),33.8)</f>
        <v>33.799999999999997</v>
      </c>
      <c r="P62" s="37">
        <f ca="1">IFERROR(__xludf.DUMMYFUNCTION("""COMPUTED_VALUE"""),1)</f>
        <v>1</v>
      </c>
      <c r="Q62" s="37">
        <f ca="1">IFERROR(__xludf.DUMMYFUNCTION("""COMPUTED_VALUE"""),1)</f>
        <v>1</v>
      </c>
      <c r="R62" s="37"/>
      <c r="S62" s="37"/>
      <c r="T62" s="37"/>
      <c r="U62" s="37"/>
      <c r="V62" s="37"/>
    </row>
    <row r="63" spans="1:22" x14ac:dyDescent="0.35">
      <c r="A63" s="37" t="str">
        <f ca="1">IFERROR(__xludf.DUMMYFUNCTION("""COMPUTED_VALUE"""),"5124,85")</f>
        <v>5124,85</v>
      </c>
      <c r="B63" s="37" t="str">
        <f ca="1">IFERROR(__xludf.DUMMYFUNCTION("""COMPUTED_VALUE"""),"Shrubby spherulitestone with mud")</f>
        <v>Shrubby spherulitestone with mud</v>
      </c>
      <c r="C63" s="37">
        <f ca="1">IFERROR(__xludf.DUMMYFUNCTION("""COMPUTED_VALUE"""),7)</f>
        <v>7</v>
      </c>
      <c r="D63" s="38">
        <f ca="1">IFERROR(__xludf.DUMMYFUNCTION("""COMPUTED_VALUE"""),17)</f>
        <v>17</v>
      </c>
      <c r="E63" s="37">
        <f ca="1">IFERROR(__xludf.DUMMYFUNCTION("""COMPUTED_VALUE"""),68)</f>
        <v>68</v>
      </c>
      <c r="F63" s="37">
        <f ca="1">IFERROR(__xludf.DUMMYFUNCTION("""COMPUTED_VALUE"""),3)</f>
        <v>3</v>
      </c>
      <c r="G63" s="37">
        <f ca="1">IFERROR(__xludf.DUMMYFUNCTION("""COMPUTED_VALUE"""),0)</f>
        <v>0</v>
      </c>
      <c r="H63" s="37">
        <f ca="1">IFERROR(__xludf.DUMMYFUNCTION("""COMPUTED_VALUE"""),2)</f>
        <v>2</v>
      </c>
      <c r="I63" s="37">
        <f ca="1">IFERROR(__xludf.DUMMYFUNCTION("""COMPUTED_VALUE"""),1)</f>
        <v>1</v>
      </c>
      <c r="J63" s="37">
        <f ca="1">IFERROR(__xludf.DUMMYFUNCTION("""COMPUTED_VALUE"""),8)</f>
        <v>8</v>
      </c>
      <c r="K63" s="38">
        <f ca="1">IFERROR(__xludf.DUMMYFUNCTION("""COMPUTED_VALUE"""),4)</f>
        <v>4</v>
      </c>
      <c r="L63" s="37">
        <f ca="1">IFERROR(__xludf.DUMMYFUNCTION("""COMPUTED_VALUE"""),1)</f>
        <v>1</v>
      </c>
      <c r="M63" s="37">
        <f ca="1">IFERROR(__xludf.DUMMYFUNCTION("""COMPUTED_VALUE"""),0)</f>
        <v>0</v>
      </c>
      <c r="N63" s="39">
        <f ca="1">IFERROR(__xludf.DUMMYFUNCTION("""COMPUTED_VALUE"""),22.6)</f>
        <v>22.6</v>
      </c>
      <c r="O63" s="40">
        <f ca="1">IFERROR(__xludf.DUMMYFUNCTION("""COMPUTED_VALUE"""),229)</f>
        <v>229</v>
      </c>
      <c r="P63" s="37">
        <f ca="1">IFERROR(__xludf.DUMMYFUNCTION("""COMPUTED_VALUE"""),1)</f>
        <v>1</v>
      </c>
      <c r="Q63" s="37">
        <f ca="1">IFERROR(__xludf.DUMMYFUNCTION("""COMPUTED_VALUE"""),3)</f>
        <v>3</v>
      </c>
      <c r="R63" s="37"/>
      <c r="S63" s="37"/>
      <c r="T63" s="37"/>
      <c r="U63" s="37"/>
      <c r="V63" s="37"/>
    </row>
    <row r="64" spans="1:22" x14ac:dyDescent="0.35">
      <c r="A64" s="37" t="str">
        <f ca="1">IFERROR(__xludf.DUMMYFUNCTION("""COMPUTED_VALUE"""),"5125,10")</f>
        <v>5125,10</v>
      </c>
      <c r="B64" s="37" t="str">
        <f ca="1">IFERROR(__xludf.DUMMYFUNCTION("""COMPUTED_VALUE"""),"Shrubby spherulitestone with mud")</f>
        <v>Shrubby spherulitestone with mud</v>
      </c>
      <c r="C64" s="37">
        <f ca="1">IFERROR(__xludf.DUMMYFUNCTION("""COMPUTED_VALUE"""),7)</f>
        <v>7</v>
      </c>
      <c r="D64" s="38">
        <f ca="1">IFERROR(__xludf.DUMMYFUNCTION("""COMPUTED_VALUE"""),12)</f>
        <v>12</v>
      </c>
      <c r="E64" s="37">
        <f ca="1">IFERROR(__xludf.DUMMYFUNCTION("""COMPUTED_VALUE"""),67)</f>
        <v>67</v>
      </c>
      <c r="F64" s="37">
        <f ca="1">IFERROR(__xludf.DUMMYFUNCTION("""COMPUTED_VALUE"""),4)</f>
        <v>4</v>
      </c>
      <c r="G64" s="37">
        <f ca="1">IFERROR(__xludf.DUMMYFUNCTION("""COMPUTED_VALUE"""),2)</f>
        <v>2</v>
      </c>
      <c r="H64" s="37">
        <f ca="1">IFERROR(__xludf.DUMMYFUNCTION("""COMPUTED_VALUE"""),2)</f>
        <v>2</v>
      </c>
      <c r="I64" s="37">
        <f ca="1">IFERROR(__xludf.DUMMYFUNCTION("""COMPUTED_VALUE"""),1)</f>
        <v>1</v>
      </c>
      <c r="J64" s="37">
        <f ca="1">IFERROR(__xludf.DUMMYFUNCTION("""COMPUTED_VALUE"""),10)</f>
        <v>10</v>
      </c>
      <c r="K64" s="38">
        <f ca="1">IFERROR(__xludf.DUMMYFUNCTION("""COMPUTED_VALUE"""),5)</f>
        <v>5</v>
      </c>
      <c r="L64" s="37">
        <f ca="1">IFERROR(__xludf.DUMMYFUNCTION("""COMPUTED_VALUE"""),0)</f>
        <v>0</v>
      </c>
      <c r="M64" s="37">
        <f ca="1">IFERROR(__xludf.DUMMYFUNCTION("""COMPUTED_VALUE"""),1)</f>
        <v>1</v>
      </c>
      <c r="N64" s="39">
        <f ca="1">IFERROR(__xludf.DUMMYFUNCTION("""COMPUTED_VALUE"""),15.2)</f>
        <v>15.2</v>
      </c>
      <c r="O64" s="40">
        <f ca="1">IFERROR(__xludf.DUMMYFUNCTION("""COMPUTED_VALUE"""),424)</f>
        <v>424</v>
      </c>
      <c r="P64" s="37">
        <f ca="1">IFERROR(__xludf.DUMMYFUNCTION("""COMPUTED_VALUE"""),1)</f>
        <v>1</v>
      </c>
      <c r="Q64" s="37">
        <f ca="1">IFERROR(__xludf.DUMMYFUNCTION("""COMPUTED_VALUE"""),3)</f>
        <v>3</v>
      </c>
      <c r="R64" s="37"/>
      <c r="S64" s="37"/>
      <c r="T64" s="37"/>
      <c r="U64" s="37"/>
      <c r="V64" s="37"/>
    </row>
    <row r="65" spans="1:22" x14ac:dyDescent="0.35">
      <c r="A65" s="37" t="str">
        <f ca="1">IFERROR(__xludf.DUMMYFUNCTION("""COMPUTED_VALUE"""),"5125,60")</f>
        <v>5125,60</v>
      </c>
      <c r="B65" s="37" t="str">
        <f ca="1">IFERROR(__xludf.DUMMYFUNCTION("""COMPUTED_VALUE"""),"Shrubstone")</f>
        <v>Shrubstone</v>
      </c>
      <c r="C65" s="37">
        <f ca="1">IFERROR(__xludf.DUMMYFUNCTION("""COMPUTED_VALUE"""),1)</f>
        <v>1</v>
      </c>
      <c r="D65" s="38">
        <f ca="1">IFERROR(__xludf.DUMMYFUNCTION("""COMPUTED_VALUE"""),64)</f>
        <v>64</v>
      </c>
      <c r="E65" s="37">
        <f ca="1">IFERROR(__xludf.DUMMYFUNCTION("""COMPUTED_VALUE"""),15)</f>
        <v>15</v>
      </c>
      <c r="F65" s="37">
        <f ca="1">IFERROR(__xludf.DUMMYFUNCTION("""COMPUTED_VALUE"""),3)</f>
        <v>3</v>
      </c>
      <c r="G65" s="37">
        <f ca="1">IFERROR(__xludf.DUMMYFUNCTION("""COMPUTED_VALUE"""),2)</f>
        <v>2</v>
      </c>
      <c r="H65" s="37">
        <f ca="1">IFERROR(__xludf.DUMMYFUNCTION("""COMPUTED_VALUE"""),4)</f>
        <v>4</v>
      </c>
      <c r="I65" s="37">
        <f ca="1">IFERROR(__xludf.DUMMYFUNCTION("""COMPUTED_VALUE"""),1)</f>
        <v>1</v>
      </c>
      <c r="J65" s="37">
        <f ca="1">IFERROR(__xludf.DUMMYFUNCTION("""COMPUTED_VALUE"""),11)</f>
        <v>11</v>
      </c>
      <c r="K65" s="38">
        <f ca="1">IFERROR(__xludf.DUMMYFUNCTION("""COMPUTED_VALUE"""),5)</f>
        <v>5</v>
      </c>
      <c r="L65" s="37">
        <f ca="1">IFERROR(__xludf.DUMMYFUNCTION("""COMPUTED_VALUE"""),1)</f>
        <v>1</v>
      </c>
      <c r="M65" s="37">
        <f ca="1">IFERROR(__xludf.DUMMYFUNCTION("""COMPUTED_VALUE"""),0)</f>
        <v>0</v>
      </c>
      <c r="N65" s="39">
        <f ca="1">IFERROR(__xludf.DUMMYFUNCTION("""COMPUTED_VALUE"""),16.4)</f>
        <v>16.399999999999999</v>
      </c>
      <c r="O65" s="40">
        <f ca="1">IFERROR(__xludf.DUMMYFUNCTION("""COMPUTED_VALUE"""),231)</f>
        <v>231</v>
      </c>
      <c r="P65" s="37">
        <f ca="1">IFERROR(__xludf.DUMMYFUNCTION("""COMPUTED_VALUE"""),1)</f>
        <v>1</v>
      </c>
      <c r="Q65" s="37">
        <f ca="1">IFERROR(__xludf.DUMMYFUNCTION("""COMPUTED_VALUE"""),3)</f>
        <v>3</v>
      </c>
      <c r="R65" s="37"/>
      <c r="S65" s="37"/>
      <c r="T65" s="37"/>
      <c r="U65" s="37"/>
      <c r="V65" s="37"/>
    </row>
    <row r="66" spans="1:22" x14ac:dyDescent="0.35">
      <c r="A66" s="37" t="str">
        <f ca="1">IFERROR(__xludf.DUMMYFUNCTION("""COMPUTED_VALUE"""),"5125,85")</f>
        <v>5125,85</v>
      </c>
      <c r="B66" s="37" t="str">
        <f ca="1">IFERROR(__xludf.DUMMYFUNCTION("""COMPUTED_VALUE"""),"Intraclastic packstone")</f>
        <v>Intraclastic packstone</v>
      </c>
      <c r="C66" s="37">
        <f ca="1">IFERROR(__xludf.DUMMYFUNCTION("""COMPUTED_VALUE"""),9)</f>
        <v>9</v>
      </c>
      <c r="D66" s="38">
        <f ca="1">IFERROR(__xludf.DUMMYFUNCTION("""COMPUTED_VALUE"""),60)</f>
        <v>60</v>
      </c>
      <c r="E66" s="37">
        <f ca="1">IFERROR(__xludf.DUMMYFUNCTION("""COMPUTED_VALUE"""),20)</f>
        <v>20</v>
      </c>
      <c r="F66" s="37">
        <f ca="1">IFERROR(__xludf.DUMMYFUNCTION("""COMPUTED_VALUE"""),2)</f>
        <v>2</v>
      </c>
      <c r="G66" s="37">
        <f ca="1">IFERROR(__xludf.DUMMYFUNCTION("""COMPUTED_VALUE"""),1)</f>
        <v>1</v>
      </c>
      <c r="H66" s="37">
        <f ca="1">IFERROR(__xludf.DUMMYFUNCTION("""COMPUTED_VALUE"""),3)</f>
        <v>3</v>
      </c>
      <c r="I66" s="37">
        <f ca="1">IFERROR(__xludf.DUMMYFUNCTION("""COMPUTED_VALUE"""),0)</f>
        <v>0</v>
      </c>
      <c r="J66" s="37">
        <f ca="1">IFERROR(__xludf.DUMMYFUNCTION("""COMPUTED_VALUE"""),14)</f>
        <v>14</v>
      </c>
      <c r="K66" s="38">
        <f ca="1">IFERROR(__xludf.DUMMYFUNCTION("""COMPUTED_VALUE"""),3)</f>
        <v>3</v>
      </c>
      <c r="L66" s="37">
        <f ca="1">IFERROR(__xludf.DUMMYFUNCTION("""COMPUTED_VALUE"""),1)</f>
        <v>1</v>
      </c>
      <c r="M66" s="37">
        <f ca="1">IFERROR(__xludf.DUMMYFUNCTION("""COMPUTED_VALUE"""),0)</f>
        <v>0</v>
      </c>
      <c r="N66" s="39">
        <f ca="1">IFERROR(__xludf.DUMMYFUNCTION("""COMPUTED_VALUE"""),14.7)</f>
        <v>14.7</v>
      </c>
      <c r="O66" s="40">
        <f ca="1">IFERROR(__xludf.DUMMYFUNCTION("""COMPUTED_VALUE"""),13.8)</f>
        <v>13.8</v>
      </c>
      <c r="P66" s="37">
        <f ca="1">IFERROR(__xludf.DUMMYFUNCTION("""COMPUTED_VALUE"""),2)</f>
        <v>2</v>
      </c>
      <c r="Q66" s="37">
        <f ca="1">IFERROR(__xludf.DUMMYFUNCTION("""COMPUTED_VALUE"""),1)</f>
        <v>1</v>
      </c>
      <c r="R66" s="37"/>
      <c r="S66" s="37"/>
      <c r="T66" s="37"/>
      <c r="U66" s="37"/>
      <c r="V66" s="37"/>
    </row>
    <row r="67" spans="1:22" x14ac:dyDescent="0.35">
      <c r="A67" s="37" t="str">
        <f ca="1">IFERROR(__xludf.DUMMYFUNCTION("""COMPUTED_VALUE"""),"5126,60")</f>
        <v>5126,60</v>
      </c>
      <c r="B67" s="37" t="str">
        <f ca="1">IFERROR(__xludf.DUMMYFUNCTION("""COMPUTED_VALUE"""),"Mudstone spherulitic ")</f>
        <v xml:space="preserve">Mudstone spherulitic </v>
      </c>
      <c r="C67" s="37">
        <f ca="1">IFERROR(__xludf.DUMMYFUNCTION("""COMPUTED_VALUE"""),6)</f>
        <v>6</v>
      </c>
      <c r="D67" s="38">
        <f ca="1">IFERROR(__xludf.DUMMYFUNCTION("""COMPUTED_VALUE"""),12)</f>
        <v>12</v>
      </c>
      <c r="E67" s="37">
        <f ca="1">IFERROR(__xludf.DUMMYFUNCTION("""COMPUTED_VALUE"""),55)</f>
        <v>55</v>
      </c>
      <c r="F67" s="37">
        <f ca="1">IFERROR(__xludf.DUMMYFUNCTION("""COMPUTED_VALUE"""),8)</f>
        <v>8</v>
      </c>
      <c r="G67" s="37">
        <f ca="1">IFERROR(__xludf.DUMMYFUNCTION("""COMPUTED_VALUE"""),5)</f>
        <v>5</v>
      </c>
      <c r="H67" s="37">
        <f ca="1">IFERROR(__xludf.DUMMYFUNCTION("""COMPUTED_VALUE"""),2)</f>
        <v>2</v>
      </c>
      <c r="I67" s="37">
        <f ca="1">IFERROR(__xludf.DUMMYFUNCTION("""COMPUTED_VALUE"""),0)</f>
        <v>0</v>
      </c>
      <c r="J67" s="37">
        <f ca="1">IFERROR(__xludf.DUMMYFUNCTION("""COMPUTED_VALUE"""),16)</f>
        <v>16</v>
      </c>
      <c r="K67" s="38">
        <f ca="1">IFERROR(__xludf.DUMMYFUNCTION("""COMPUTED_VALUE"""),4)</f>
        <v>4</v>
      </c>
      <c r="L67" s="37">
        <f ca="1">IFERROR(__xludf.DUMMYFUNCTION("""COMPUTED_VALUE"""),1)</f>
        <v>1</v>
      </c>
      <c r="M67" s="37">
        <f ca="1">IFERROR(__xludf.DUMMYFUNCTION("""COMPUTED_VALUE"""),0)</f>
        <v>0</v>
      </c>
      <c r="N67" s="39">
        <f ca="1">IFERROR(__xludf.DUMMYFUNCTION("""COMPUTED_VALUE"""),20.2)</f>
        <v>20.2</v>
      </c>
      <c r="O67" s="40">
        <f ca="1">IFERROR(__xludf.DUMMYFUNCTION("""COMPUTED_VALUE"""),65.8)</f>
        <v>65.8</v>
      </c>
      <c r="P67" s="37">
        <f ca="1">IFERROR(__xludf.DUMMYFUNCTION("""COMPUTED_VALUE"""),1)</f>
        <v>1</v>
      </c>
      <c r="Q67" s="37">
        <f ca="1">IFERROR(__xludf.DUMMYFUNCTION("""COMPUTED_VALUE"""),2)</f>
        <v>2</v>
      </c>
      <c r="R67" s="37"/>
      <c r="S67" s="37"/>
      <c r="T67" s="37"/>
      <c r="U67" s="37"/>
      <c r="V67" s="37"/>
    </row>
    <row r="68" spans="1:22" x14ac:dyDescent="0.35">
      <c r="A68" s="37" t="str">
        <f ca="1">IFERROR(__xludf.DUMMYFUNCTION("""COMPUTED_VALUE"""),"5127,65")</f>
        <v>5127,65</v>
      </c>
      <c r="B68" s="37" t="str">
        <f ca="1">IFERROR(__xludf.DUMMYFUNCTION("""COMPUTED_VALUE"""),"Intraclastic packstone")</f>
        <v>Intraclastic packstone</v>
      </c>
      <c r="C68" s="37">
        <f ca="1">IFERROR(__xludf.DUMMYFUNCTION("""COMPUTED_VALUE"""),9)</f>
        <v>9</v>
      </c>
      <c r="D68" s="38">
        <f ca="1">IFERROR(__xludf.DUMMYFUNCTION("""COMPUTED_VALUE"""),32)</f>
        <v>32</v>
      </c>
      <c r="E68" s="37">
        <f ca="1">IFERROR(__xludf.DUMMYFUNCTION("""COMPUTED_VALUE"""),40)</f>
        <v>40</v>
      </c>
      <c r="F68" s="37">
        <f ca="1">IFERROR(__xludf.DUMMYFUNCTION("""COMPUTED_VALUE"""),6)</f>
        <v>6</v>
      </c>
      <c r="G68" s="37">
        <f ca="1">IFERROR(__xludf.DUMMYFUNCTION("""COMPUTED_VALUE"""),5)</f>
        <v>5</v>
      </c>
      <c r="H68" s="37">
        <f ca="1">IFERROR(__xludf.DUMMYFUNCTION("""COMPUTED_VALUE"""),3)</f>
        <v>3</v>
      </c>
      <c r="I68" s="37">
        <f ca="1">IFERROR(__xludf.DUMMYFUNCTION("""COMPUTED_VALUE"""),0)</f>
        <v>0</v>
      </c>
      <c r="J68" s="37">
        <f ca="1">IFERROR(__xludf.DUMMYFUNCTION("""COMPUTED_VALUE"""),12)</f>
        <v>12</v>
      </c>
      <c r="K68" s="38">
        <f ca="1">IFERROR(__xludf.DUMMYFUNCTION("""COMPUTED_VALUE"""),5)</f>
        <v>5</v>
      </c>
      <c r="L68" s="37">
        <f ca="1">IFERROR(__xludf.DUMMYFUNCTION("""COMPUTED_VALUE"""),0)</f>
        <v>0</v>
      </c>
      <c r="M68" s="37">
        <f ca="1">IFERROR(__xludf.DUMMYFUNCTION("""COMPUTED_VALUE"""),0)</f>
        <v>0</v>
      </c>
      <c r="N68" s="39">
        <f ca="1">IFERROR(__xludf.DUMMYFUNCTION("""COMPUTED_VALUE"""),17.2)</f>
        <v>17.2</v>
      </c>
      <c r="O68" s="40">
        <f ca="1">IFERROR(__xludf.DUMMYFUNCTION("""COMPUTED_VALUE"""),54.9)</f>
        <v>54.9</v>
      </c>
      <c r="P68" s="37">
        <f ca="1">IFERROR(__xludf.DUMMYFUNCTION("""COMPUTED_VALUE"""),2)</f>
        <v>2</v>
      </c>
      <c r="Q68" s="37">
        <f ca="1">IFERROR(__xludf.DUMMYFUNCTION("""COMPUTED_VALUE"""),2)</f>
        <v>2</v>
      </c>
      <c r="R68" s="37"/>
      <c r="S68" s="37"/>
      <c r="T68" s="37"/>
      <c r="U68" s="37"/>
      <c r="V68" s="37"/>
    </row>
    <row r="69" spans="1:22" x14ac:dyDescent="0.35">
      <c r="A69" s="37" t="str">
        <f ca="1">IFERROR(__xludf.DUMMYFUNCTION("""COMPUTED_VALUE"""),"5127,95")</f>
        <v>5127,95</v>
      </c>
      <c r="B69" s="37" t="str">
        <f ca="1">IFERROR(__xludf.DUMMYFUNCTION("""COMPUTED_VALUE"""),"Shrubstone")</f>
        <v>Shrubstone</v>
      </c>
      <c r="C69" s="37">
        <f ca="1">IFERROR(__xludf.DUMMYFUNCTION("""COMPUTED_VALUE"""),1)</f>
        <v>1</v>
      </c>
      <c r="D69" s="38">
        <f ca="1">IFERROR(__xludf.DUMMYFUNCTION("""COMPUTED_VALUE"""),80)</f>
        <v>80</v>
      </c>
      <c r="E69" s="37">
        <f ca="1">IFERROR(__xludf.DUMMYFUNCTION("""COMPUTED_VALUE"""),6)</f>
        <v>6</v>
      </c>
      <c r="F69" s="37">
        <f ca="1">IFERROR(__xludf.DUMMYFUNCTION("""COMPUTED_VALUE"""),2)</f>
        <v>2</v>
      </c>
      <c r="G69" s="37">
        <f ca="1">IFERROR(__xludf.DUMMYFUNCTION("""COMPUTED_VALUE"""),0)</f>
        <v>0</v>
      </c>
      <c r="H69" s="37">
        <f ca="1">IFERROR(__xludf.DUMMYFUNCTION("""COMPUTED_VALUE"""),0)</f>
        <v>0</v>
      </c>
      <c r="I69" s="37">
        <f ca="1">IFERROR(__xludf.DUMMYFUNCTION("""COMPUTED_VALUE"""),1)</f>
        <v>1</v>
      </c>
      <c r="J69" s="37">
        <f ca="1">IFERROR(__xludf.DUMMYFUNCTION("""COMPUTED_VALUE"""),7)</f>
        <v>7</v>
      </c>
      <c r="K69" s="38">
        <f ca="1">IFERROR(__xludf.DUMMYFUNCTION("""COMPUTED_VALUE"""),5)</f>
        <v>5</v>
      </c>
      <c r="L69" s="37">
        <f ca="1">IFERROR(__xludf.DUMMYFUNCTION("""COMPUTED_VALUE"""),1)</f>
        <v>1</v>
      </c>
      <c r="M69" s="37">
        <f ca="1">IFERROR(__xludf.DUMMYFUNCTION("""COMPUTED_VALUE"""),0)</f>
        <v>0</v>
      </c>
      <c r="N69" s="39">
        <f ca="1">IFERROR(__xludf.DUMMYFUNCTION("""COMPUTED_VALUE"""),11.8)</f>
        <v>11.8</v>
      </c>
      <c r="O69" s="40">
        <f ca="1">IFERROR(__xludf.DUMMYFUNCTION("""COMPUTED_VALUE"""),61)</f>
        <v>61</v>
      </c>
      <c r="P69" s="37">
        <f ca="1">IFERROR(__xludf.DUMMYFUNCTION("""COMPUTED_VALUE"""),1)</f>
        <v>1</v>
      </c>
      <c r="Q69" s="37">
        <f ca="1">IFERROR(__xludf.DUMMYFUNCTION("""COMPUTED_VALUE"""),2)</f>
        <v>2</v>
      </c>
      <c r="R69" s="37"/>
      <c r="S69" s="37"/>
      <c r="T69" s="37"/>
      <c r="U69" s="37"/>
      <c r="V69" s="37"/>
    </row>
    <row r="70" spans="1:22" x14ac:dyDescent="0.35">
      <c r="A70" s="37" t="str">
        <f ca="1">IFERROR(__xludf.DUMMYFUNCTION("""COMPUTED_VALUE"""),"5128,25")</f>
        <v>5128,25</v>
      </c>
      <c r="B70" s="37" t="str">
        <f ca="1">IFERROR(__xludf.DUMMYFUNCTION("""COMPUTED_VALUE"""),"Intraclastic rudstone")</f>
        <v>Intraclastic rudstone</v>
      </c>
      <c r="C70" s="37">
        <f ca="1">IFERROR(__xludf.DUMMYFUNCTION("""COMPUTED_VALUE"""),10)</f>
        <v>10</v>
      </c>
      <c r="D70" s="38">
        <f ca="1">IFERROR(__xludf.DUMMYFUNCTION("""COMPUTED_VALUE"""),60)</f>
        <v>60</v>
      </c>
      <c r="E70" s="37">
        <f ca="1">IFERROR(__xludf.DUMMYFUNCTION("""COMPUTED_VALUE"""),15)</f>
        <v>15</v>
      </c>
      <c r="F70" s="37">
        <f ca="1">IFERROR(__xludf.DUMMYFUNCTION("""COMPUTED_VALUE"""),9)</f>
        <v>9</v>
      </c>
      <c r="G70" s="37">
        <f ca="1">IFERROR(__xludf.DUMMYFUNCTION("""COMPUTED_VALUE"""),0)</f>
        <v>0</v>
      </c>
      <c r="H70" s="37">
        <f ca="1">IFERROR(__xludf.DUMMYFUNCTION("""COMPUTED_VALUE"""),2)</f>
        <v>2</v>
      </c>
      <c r="I70" s="37">
        <f ca="1">IFERROR(__xludf.DUMMYFUNCTION("""COMPUTED_VALUE"""),0)</f>
        <v>0</v>
      </c>
      <c r="J70" s="37">
        <f ca="1">IFERROR(__xludf.DUMMYFUNCTION("""COMPUTED_VALUE"""),12)</f>
        <v>12</v>
      </c>
      <c r="K70" s="38">
        <f ca="1">IFERROR(__xludf.DUMMYFUNCTION("""COMPUTED_VALUE"""),4)</f>
        <v>4</v>
      </c>
      <c r="L70" s="37">
        <f ca="1">IFERROR(__xludf.DUMMYFUNCTION("""COMPUTED_VALUE"""),1)</f>
        <v>1</v>
      </c>
      <c r="M70" s="37">
        <f ca="1">IFERROR(__xludf.DUMMYFUNCTION("""COMPUTED_VALUE"""),0)</f>
        <v>0</v>
      </c>
      <c r="N70" s="39">
        <f ca="1">IFERROR(__xludf.DUMMYFUNCTION("""COMPUTED_VALUE"""),17.4)</f>
        <v>17.399999999999999</v>
      </c>
      <c r="O70" s="40">
        <f ca="1">IFERROR(__xludf.DUMMYFUNCTION("""COMPUTED_VALUE"""),220)</f>
        <v>220</v>
      </c>
      <c r="P70" s="37">
        <f ca="1">IFERROR(__xludf.DUMMYFUNCTION("""COMPUTED_VALUE"""),2)</f>
        <v>2</v>
      </c>
      <c r="Q70" s="37">
        <f ca="1">IFERROR(__xludf.DUMMYFUNCTION("""COMPUTED_VALUE"""),3)</f>
        <v>3</v>
      </c>
      <c r="R70" s="37"/>
      <c r="S70" s="37"/>
      <c r="T70" s="37"/>
      <c r="U70" s="37"/>
      <c r="V70" s="37"/>
    </row>
    <row r="71" spans="1:22" x14ac:dyDescent="0.35">
      <c r="A71" s="37" t="str">
        <f ca="1">IFERROR(__xludf.DUMMYFUNCTION("""COMPUTED_VALUE"""),"5129,20")</f>
        <v>5129,20</v>
      </c>
      <c r="B71" s="37" t="str">
        <f ca="1">IFERROR(__xludf.DUMMYFUNCTION("""COMPUTED_VALUE"""),"Intraclastic rudstone")</f>
        <v>Intraclastic rudstone</v>
      </c>
      <c r="C71" s="37">
        <f ca="1">IFERROR(__xludf.DUMMYFUNCTION("""COMPUTED_VALUE"""),10)</f>
        <v>10</v>
      </c>
      <c r="D71" s="38">
        <f ca="1">IFERROR(__xludf.DUMMYFUNCTION("""COMPUTED_VALUE"""),66)</f>
        <v>66</v>
      </c>
      <c r="E71" s="37">
        <f ca="1">IFERROR(__xludf.DUMMYFUNCTION("""COMPUTED_VALUE"""),10)</f>
        <v>10</v>
      </c>
      <c r="F71" s="37">
        <f ca="1">IFERROR(__xludf.DUMMYFUNCTION("""COMPUTED_VALUE"""),5)</f>
        <v>5</v>
      </c>
      <c r="G71" s="37">
        <f ca="1">IFERROR(__xludf.DUMMYFUNCTION("""COMPUTED_VALUE"""),0)</f>
        <v>0</v>
      </c>
      <c r="H71" s="37">
        <f ca="1">IFERROR(__xludf.DUMMYFUNCTION("""COMPUTED_VALUE"""),3)</f>
        <v>3</v>
      </c>
      <c r="I71" s="37">
        <f ca="1">IFERROR(__xludf.DUMMYFUNCTION("""COMPUTED_VALUE"""),0)</f>
        <v>0</v>
      </c>
      <c r="J71" s="37">
        <f ca="1">IFERROR(__xludf.DUMMYFUNCTION("""COMPUTED_VALUE"""),16)</f>
        <v>16</v>
      </c>
      <c r="K71" s="38">
        <f ca="1">IFERROR(__xludf.DUMMYFUNCTION("""COMPUTED_VALUE"""),3)</f>
        <v>3</v>
      </c>
      <c r="L71" s="37">
        <f ca="1">IFERROR(__xludf.DUMMYFUNCTION("""COMPUTED_VALUE"""),1)</f>
        <v>1</v>
      </c>
      <c r="M71" s="37">
        <f ca="1">IFERROR(__xludf.DUMMYFUNCTION("""COMPUTED_VALUE"""),1)</f>
        <v>1</v>
      </c>
      <c r="N71" s="39">
        <f ca="1">IFERROR(__xludf.DUMMYFUNCTION("""COMPUTED_VALUE"""),20.4)</f>
        <v>20.399999999999999</v>
      </c>
      <c r="O71" s="40">
        <f ca="1">IFERROR(__xludf.DUMMYFUNCTION("""COMPUTED_VALUE"""),2790)</f>
        <v>2790</v>
      </c>
      <c r="P71" s="37">
        <f ca="1">IFERROR(__xludf.DUMMYFUNCTION("""COMPUTED_VALUE"""),2)</f>
        <v>2</v>
      </c>
      <c r="Q71" s="37">
        <f ca="1">IFERROR(__xludf.DUMMYFUNCTION("""COMPUTED_VALUE"""),5)</f>
        <v>5</v>
      </c>
      <c r="R71" s="37"/>
      <c r="S71" s="37"/>
      <c r="T71" s="37"/>
      <c r="U71" s="37"/>
      <c r="V71" s="37"/>
    </row>
    <row r="72" spans="1:22" x14ac:dyDescent="0.35">
      <c r="A72" s="37" t="str">
        <f ca="1">IFERROR(__xludf.DUMMYFUNCTION("""COMPUTED_VALUE"""),"5129,45")</f>
        <v>5129,45</v>
      </c>
      <c r="B72" s="37" t="str">
        <f ca="1">IFERROR(__xludf.DUMMYFUNCTION("""COMPUTED_VALUE"""),"Shrubstone")</f>
        <v>Shrubstone</v>
      </c>
      <c r="C72" s="37">
        <f ca="1">IFERROR(__xludf.DUMMYFUNCTION("""COMPUTED_VALUE"""),1)</f>
        <v>1</v>
      </c>
      <c r="D72" s="38">
        <f ca="1">IFERROR(__xludf.DUMMYFUNCTION("""COMPUTED_VALUE"""),83)</f>
        <v>83</v>
      </c>
      <c r="E72" s="37">
        <f ca="1">IFERROR(__xludf.DUMMYFUNCTION("""COMPUTED_VALUE"""),5)</f>
        <v>5</v>
      </c>
      <c r="F72" s="37">
        <f ca="1">IFERROR(__xludf.DUMMYFUNCTION("""COMPUTED_VALUE"""),0)</f>
        <v>0</v>
      </c>
      <c r="G72" s="37">
        <f ca="1">IFERROR(__xludf.DUMMYFUNCTION("""COMPUTED_VALUE"""),0)</f>
        <v>0</v>
      </c>
      <c r="H72" s="37">
        <f ca="1">IFERROR(__xludf.DUMMYFUNCTION("""COMPUTED_VALUE"""),0)</f>
        <v>0</v>
      </c>
      <c r="I72" s="37">
        <f ca="1">IFERROR(__xludf.DUMMYFUNCTION("""COMPUTED_VALUE"""),1)</f>
        <v>1</v>
      </c>
      <c r="J72" s="37">
        <f ca="1">IFERROR(__xludf.DUMMYFUNCTION("""COMPUTED_VALUE"""),8)</f>
        <v>8</v>
      </c>
      <c r="K72" s="38">
        <f ca="1">IFERROR(__xludf.DUMMYFUNCTION("""COMPUTED_VALUE"""),4)</f>
        <v>4</v>
      </c>
      <c r="L72" s="37">
        <f ca="1">IFERROR(__xludf.DUMMYFUNCTION("""COMPUTED_VALUE"""),1)</f>
        <v>1</v>
      </c>
      <c r="M72" s="37">
        <f ca="1">IFERROR(__xludf.DUMMYFUNCTION("""COMPUTED_VALUE"""),1)</f>
        <v>1</v>
      </c>
      <c r="N72" s="39">
        <f ca="1">IFERROR(__xludf.DUMMYFUNCTION("""COMPUTED_VALUE"""),9.4)</f>
        <v>9.4</v>
      </c>
      <c r="O72" s="40">
        <f ca="1">IFERROR(__xludf.DUMMYFUNCTION("""COMPUTED_VALUE"""),505)</f>
        <v>505</v>
      </c>
      <c r="P72" s="37">
        <f ca="1">IFERROR(__xludf.DUMMYFUNCTION("""COMPUTED_VALUE"""),1)</f>
        <v>1</v>
      </c>
      <c r="Q72" s="37">
        <f ca="1">IFERROR(__xludf.DUMMYFUNCTION("""COMPUTED_VALUE"""),4)</f>
        <v>4</v>
      </c>
      <c r="R72" s="37"/>
      <c r="S72" s="37"/>
      <c r="T72" s="37"/>
      <c r="U72" s="37"/>
      <c r="V72" s="37"/>
    </row>
    <row r="73" spans="1:22" x14ac:dyDescent="0.35">
      <c r="A73" s="37" t="str">
        <f ca="1">IFERROR(__xludf.DUMMYFUNCTION("""COMPUTED_VALUE"""),"5129,90")</f>
        <v>5129,90</v>
      </c>
      <c r="B73" s="37" t="str">
        <f ca="1">IFERROR(__xludf.DUMMYFUNCTION("""COMPUTED_VALUE"""),"Mudstone spherulitic ")</f>
        <v xml:space="preserve">Mudstone spherulitic </v>
      </c>
      <c r="C73" s="37">
        <f ca="1">IFERROR(__xludf.DUMMYFUNCTION("""COMPUTED_VALUE"""),6)</f>
        <v>6</v>
      </c>
      <c r="D73" s="38">
        <f ca="1">IFERROR(__xludf.DUMMYFUNCTION("""COMPUTED_VALUE"""),14)</f>
        <v>14</v>
      </c>
      <c r="E73" s="37">
        <f ca="1">IFERROR(__xludf.DUMMYFUNCTION("""COMPUTED_VALUE"""),60)</f>
        <v>60</v>
      </c>
      <c r="F73" s="37">
        <f ca="1">IFERROR(__xludf.DUMMYFUNCTION("""COMPUTED_VALUE"""),8)</f>
        <v>8</v>
      </c>
      <c r="G73" s="37">
        <f ca="1">IFERROR(__xludf.DUMMYFUNCTION("""COMPUTED_VALUE"""),3)</f>
        <v>3</v>
      </c>
      <c r="H73" s="37">
        <f ca="1">IFERROR(__xludf.DUMMYFUNCTION("""COMPUTED_VALUE"""),2)</f>
        <v>2</v>
      </c>
      <c r="I73" s="37">
        <f ca="1">IFERROR(__xludf.DUMMYFUNCTION("""COMPUTED_VALUE"""),0)</f>
        <v>0</v>
      </c>
      <c r="J73" s="37">
        <f ca="1">IFERROR(__xludf.DUMMYFUNCTION("""COMPUTED_VALUE"""),10)</f>
        <v>10</v>
      </c>
      <c r="K73" s="38">
        <f ca="1">IFERROR(__xludf.DUMMYFUNCTION("""COMPUTED_VALUE"""),5)</f>
        <v>5</v>
      </c>
      <c r="L73" s="37">
        <f ca="1">IFERROR(__xludf.DUMMYFUNCTION("""COMPUTED_VALUE"""),1)</f>
        <v>1</v>
      </c>
      <c r="M73" s="37">
        <f ca="1">IFERROR(__xludf.DUMMYFUNCTION("""COMPUTED_VALUE"""),1)</f>
        <v>1</v>
      </c>
      <c r="N73" s="39">
        <f ca="1">IFERROR(__xludf.DUMMYFUNCTION("""COMPUTED_VALUE"""),22.4)</f>
        <v>22.4</v>
      </c>
      <c r="O73" s="40">
        <f ca="1">IFERROR(__xludf.DUMMYFUNCTION("""COMPUTED_VALUE"""),416)</f>
        <v>416</v>
      </c>
      <c r="P73" s="37">
        <f ca="1">IFERROR(__xludf.DUMMYFUNCTION("""COMPUTED_VALUE"""),1)</f>
        <v>1</v>
      </c>
      <c r="Q73" s="37">
        <f ca="1">IFERROR(__xludf.DUMMYFUNCTION("""COMPUTED_VALUE"""),3)</f>
        <v>3</v>
      </c>
      <c r="R73" s="37"/>
      <c r="S73" s="37"/>
      <c r="T73" s="37"/>
      <c r="U73" s="37"/>
      <c r="V73" s="37"/>
    </row>
    <row r="74" spans="1:22" x14ac:dyDescent="0.35">
      <c r="A74" s="37" t="str">
        <f ca="1">IFERROR(__xludf.DUMMYFUNCTION("""COMPUTED_VALUE"""),"5130,95")</f>
        <v>5130,95</v>
      </c>
      <c r="B74" s="37" t="str">
        <f ca="1">IFERROR(__xludf.DUMMYFUNCTION("""COMPUTED_VALUE"""),"Intraclastic packstone")</f>
        <v>Intraclastic packstone</v>
      </c>
      <c r="C74" s="37">
        <f ca="1">IFERROR(__xludf.DUMMYFUNCTION("""COMPUTED_VALUE"""),9)</f>
        <v>9</v>
      </c>
      <c r="D74" s="38">
        <f ca="1">IFERROR(__xludf.DUMMYFUNCTION("""COMPUTED_VALUE"""),35)</f>
        <v>35</v>
      </c>
      <c r="E74" s="37">
        <f ca="1">IFERROR(__xludf.DUMMYFUNCTION("""COMPUTED_VALUE"""),35)</f>
        <v>35</v>
      </c>
      <c r="F74" s="37">
        <f ca="1">IFERROR(__xludf.DUMMYFUNCTION("""COMPUTED_VALUE"""),12)</f>
        <v>12</v>
      </c>
      <c r="G74" s="37">
        <f ca="1">IFERROR(__xludf.DUMMYFUNCTION("""COMPUTED_VALUE"""),2)</f>
        <v>2</v>
      </c>
      <c r="H74" s="37">
        <f ca="1">IFERROR(__xludf.DUMMYFUNCTION("""COMPUTED_VALUE"""),3)</f>
        <v>3</v>
      </c>
      <c r="I74" s="37">
        <f ca="1">IFERROR(__xludf.DUMMYFUNCTION("""COMPUTED_VALUE"""),0)</f>
        <v>0</v>
      </c>
      <c r="J74" s="37">
        <f ca="1">IFERROR(__xludf.DUMMYFUNCTION("""COMPUTED_VALUE"""),8)</f>
        <v>8</v>
      </c>
      <c r="K74" s="38">
        <f ca="1">IFERROR(__xludf.DUMMYFUNCTION("""COMPUTED_VALUE"""),8)</f>
        <v>8</v>
      </c>
      <c r="L74" s="37">
        <f ca="1">IFERROR(__xludf.DUMMYFUNCTION("""COMPUTED_VALUE"""),0)</f>
        <v>0</v>
      </c>
      <c r="M74" s="37">
        <f ca="1">IFERROR(__xludf.DUMMYFUNCTION("""COMPUTED_VALUE"""),0)</f>
        <v>0</v>
      </c>
      <c r="N74" s="39">
        <f ca="1">IFERROR(__xludf.DUMMYFUNCTION("""COMPUTED_VALUE"""),0.01)</f>
        <v>0.01</v>
      </c>
      <c r="O74" s="40">
        <f ca="1">IFERROR(__xludf.DUMMYFUNCTION("""COMPUTED_VALUE"""),0)</f>
        <v>0</v>
      </c>
      <c r="P74" s="37">
        <f ca="1">IFERROR(__xludf.DUMMYFUNCTION("""COMPUTED_VALUE"""),2)</f>
        <v>2</v>
      </c>
      <c r="Q74" s="37">
        <f ca="1">IFERROR(__xludf.DUMMYFUNCTION("""COMPUTED_VALUE"""),1)</f>
        <v>1</v>
      </c>
      <c r="R74" s="37"/>
      <c r="S74" s="37"/>
      <c r="T74" s="37"/>
      <c r="U74" s="37"/>
      <c r="V74" s="37"/>
    </row>
    <row r="75" spans="1:22" x14ac:dyDescent="0.35">
      <c r="A75" s="37" t="str">
        <f ca="1">IFERROR(__xludf.DUMMYFUNCTION("""COMPUTED_VALUE"""),"5131,20")</f>
        <v>5131,20</v>
      </c>
      <c r="B75" s="37" t="str">
        <f ca="1">IFERROR(__xludf.DUMMYFUNCTION("""COMPUTED_VALUE"""),"Intraclastic packstone")</f>
        <v>Intraclastic packstone</v>
      </c>
      <c r="C75" s="37">
        <f ca="1">IFERROR(__xludf.DUMMYFUNCTION("""COMPUTED_VALUE"""),9)</f>
        <v>9</v>
      </c>
      <c r="D75" s="38">
        <f ca="1">IFERROR(__xludf.DUMMYFUNCTION("""COMPUTED_VALUE"""),33)</f>
        <v>33</v>
      </c>
      <c r="E75" s="37">
        <f ca="1">IFERROR(__xludf.DUMMYFUNCTION("""COMPUTED_VALUE"""),30)</f>
        <v>30</v>
      </c>
      <c r="F75" s="37">
        <f ca="1">IFERROR(__xludf.DUMMYFUNCTION("""COMPUTED_VALUE"""),14)</f>
        <v>14</v>
      </c>
      <c r="G75" s="37">
        <f ca="1">IFERROR(__xludf.DUMMYFUNCTION("""COMPUTED_VALUE"""),5)</f>
        <v>5</v>
      </c>
      <c r="H75" s="37">
        <f ca="1">IFERROR(__xludf.DUMMYFUNCTION("""COMPUTED_VALUE"""),3)</f>
        <v>3</v>
      </c>
      <c r="I75" s="37">
        <f ca="1">IFERROR(__xludf.DUMMYFUNCTION("""COMPUTED_VALUE"""),0)</f>
        <v>0</v>
      </c>
      <c r="J75" s="37">
        <f ca="1">IFERROR(__xludf.DUMMYFUNCTION("""COMPUTED_VALUE"""),14)</f>
        <v>14</v>
      </c>
      <c r="K75" s="38">
        <f ca="1">IFERROR(__xludf.DUMMYFUNCTION("""COMPUTED_VALUE"""),4)</f>
        <v>4</v>
      </c>
      <c r="L75" s="37">
        <f ca="1">IFERROR(__xludf.DUMMYFUNCTION("""COMPUTED_VALUE"""),1)</f>
        <v>1</v>
      </c>
      <c r="M75" s="37">
        <f ca="1">IFERROR(__xludf.DUMMYFUNCTION("""COMPUTED_VALUE"""),0)</f>
        <v>0</v>
      </c>
      <c r="N75" s="39">
        <f ca="1">IFERROR(__xludf.DUMMYFUNCTION("""COMPUTED_VALUE"""),19)</f>
        <v>19</v>
      </c>
      <c r="O75" s="40">
        <f ca="1">IFERROR(__xludf.DUMMYFUNCTION("""COMPUTED_VALUE"""),133)</f>
        <v>133</v>
      </c>
      <c r="P75" s="37">
        <f ca="1">IFERROR(__xludf.DUMMYFUNCTION("""COMPUTED_VALUE"""),2)</f>
        <v>2</v>
      </c>
      <c r="Q75" s="37">
        <f ca="1">IFERROR(__xludf.DUMMYFUNCTION("""COMPUTED_VALUE"""),3)</f>
        <v>3</v>
      </c>
      <c r="R75" s="37"/>
      <c r="S75" s="37"/>
      <c r="T75" s="37"/>
      <c r="U75" s="37"/>
      <c r="V75" s="37"/>
    </row>
    <row r="76" spans="1:22" x14ac:dyDescent="0.35">
      <c r="A76" s="37" t="str">
        <f ca="1">IFERROR(__xludf.DUMMYFUNCTION("""COMPUTED_VALUE"""),"5131,55")</f>
        <v>5131,55</v>
      </c>
      <c r="B76" s="37" t="str">
        <f ca="1">IFERROR(__xludf.DUMMYFUNCTION("""COMPUTED_VALUE"""),"Intraclastic packstone")</f>
        <v>Intraclastic packstone</v>
      </c>
      <c r="C76" s="37">
        <f ca="1">IFERROR(__xludf.DUMMYFUNCTION("""COMPUTED_VALUE"""),9)</f>
        <v>9</v>
      </c>
      <c r="D76" s="38">
        <f ca="1">IFERROR(__xludf.DUMMYFUNCTION("""COMPUTED_VALUE"""),49)</f>
        <v>49</v>
      </c>
      <c r="E76" s="37">
        <f ca="1">IFERROR(__xludf.DUMMYFUNCTION("""COMPUTED_VALUE"""),26)</f>
        <v>26</v>
      </c>
      <c r="F76" s="37">
        <f ca="1">IFERROR(__xludf.DUMMYFUNCTION("""COMPUTED_VALUE"""),6)</f>
        <v>6</v>
      </c>
      <c r="G76" s="37">
        <f ca="1">IFERROR(__xludf.DUMMYFUNCTION("""COMPUTED_VALUE"""),2)</f>
        <v>2</v>
      </c>
      <c r="H76" s="37">
        <f ca="1">IFERROR(__xludf.DUMMYFUNCTION("""COMPUTED_VALUE"""),3)</f>
        <v>3</v>
      </c>
      <c r="I76" s="37">
        <f ca="1">IFERROR(__xludf.DUMMYFUNCTION("""COMPUTED_VALUE"""),0)</f>
        <v>0</v>
      </c>
      <c r="J76" s="37">
        <f ca="1">IFERROR(__xludf.DUMMYFUNCTION("""COMPUTED_VALUE"""),12)</f>
        <v>12</v>
      </c>
      <c r="K76" s="38">
        <f ca="1">IFERROR(__xludf.DUMMYFUNCTION("""COMPUTED_VALUE"""),5)</f>
        <v>5</v>
      </c>
      <c r="L76" s="37">
        <f ca="1">IFERROR(__xludf.DUMMYFUNCTION("""COMPUTED_VALUE"""),0)</f>
        <v>0</v>
      </c>
      <c r="M76" s="37">
        <f ca="1">IFERROR(__xludf.DUMMYFUNCTION("""COMPUTED_VALUE"""),0)</f>
        <v>0</v>
      </c>
      <c r="N76" s="39">
        <f ca="1">IFERROR(__xludf.DUMMYFUNCTION("""COMPUTED_VALUE"""),20.1)</f>
        <v>20.100000000000001</v>
      </c>
      <c r="O76" s="40">
        <f ca="1">IFERROR(__xludf.DUMMYFUNCTION("""COMPUTED_VALUE"""),202)</f>
        <v>202</v>
      </c>
      <c r="P76" s="37">
        <f ca="1">IFERROR(__xludf.DUMMYFUNCTION("""COMPUTED_VALUE"""),2)</f>
        <v>2</v>
      </c>
      <c r="Q76" s="37">
        <f ca="1">IFERROR(__xludf.DUMMYFUNCTION("""COMPUTED_VALUE"""),3)</f>
        <v>3</v>
      </c>
      <c r="R76" s="37"/>
      <c r="S76" s="37"/>
      <c r="T76" s="37"/>
      <c r="U76" s="37"/>
      <c r="V76" s="37"/>
    </row>
    <row r="77" spans="1:22" x14ac:dyDescent="0.35">
      <c r="A77" s="37" t="str">
        <f ca="1">IFERROR(__xludf.DUMMYFUNCTION("""COMPUTED_VALUE"""),"5131,95")</f>
        <v>5131,95</v>
      </c>
      <c r="B77" s="37" t="str">
        <f ca="1">IFERROR(__xludf.DUMMYFUNCTION("""COMPUTED_VALUE"""),"Intraclastic packstone")</f>
        <v>Intraclastic packstone</v>
      </c>
      <c r="C77" s="37">
        <f ca="1">IFERROR(__xludf.DUMMYFUNCTION("""COMPUTED_VALUE"""),9)</f>
        <v>9</v>
      </c>
      <c r="D77" s="38">
        <f ca="1">IFERROR(__xludf.DUMMYFUNCTION("""COMPUTED_VALUE"""),43)</f>
        <v>43</v>
      </c>
      <c r="E77" s="37">
        <f ca="1">IFERROR(__xludf.DUMMYFUNCTION("""COMPUTED_VALUE"""),33)</f>
        <v>33</v>
      </c>
      <c r="F77" s="37">
        <f ca="1">IFERROR(__xludf.DUMMYFUNCTION("""COMPUTED_VALUE"""),5)</f>
        <v>5</v>
      </c>
      <c r="G77" s="37">
        <f ca="1">IFERROR(__xludf.DUMMYFUNCTION("""COMPUTED_VALUE"""),2)</f>
        <v>2</v>
      </c>
      <c r="H77" s="37">
        <f ca="1">IFERROR(__xludf.DUMMYFUNCTION("""COMPUTED_VALUE"""),3)</f>
        <v>3</v>
      </c>
      <c r="I77" s="37">
        <f ca="1">IFERROR(__xludf.DUMMYFUNCTION("""COMPUTED_VALUE"""),0)</f>
        <v>0</v>
      </c>
      <c r="J77" s="37">
        <f ca="1">IFERROR(__xludf.DUMMYFUNCTION("""COMPUTED_VALUE"""),14)</f>
        <v>14</v>
      </c>
      <c r="K77" s="38">
        <f ca="1">IFERROR(__xludf.DUMMYFUNCTION("""COMPUTED_VALUE"""),3)</f>
        <v>3</v>
      </c>
      <c r="L77" s="37">
        <f ca="1">IFERROR(__xludf.DUMMYFUNCTION("""COMPUTED_VALUE"""),0)</f>
        <v>0</v>
      </c>
      <c r="M77" s="37">
        <f ca="1">IFERROR(__xludf.DUMMYFUNCTION("""COMPUTED_VALUE"""),1)</f>
        <v>1</v>
      </c>
      <c r="N77" s="39">
        <f ca="1">IFERROR(__xludf.DUMMYFUNCTION("""COMPUTED_VALUE"""),23.3)</f>
        <v>23.3</v>
      </c>
      <c r="O77" s="40">
        <f ca="1">IFERROR(__xludf.DUMMYFUNCTION("""COMPUTED_VALUE"""),2240)</f>
        <v>2240</v>
      </c>
      <c r="P77" s="37">
        <f ca="1">IFERROR(__xludf.DUMMYFUNCTION("""COMPUTED_VALUE"""),2)</f>
        <v>2</v>
      </c>
      <c r="Q77" s="37">
        <f ca="1">IFERROR(__xludf.DUMMYFUNCTION("""COMPUTED_VALUE"""),5)</f>
        <v>5</v>
      </c>
      <c r="R77" s="37"/>
      <c r="S77" s="37"/>
      <c r="T77" s="37"/>
      <c r="U77" s="37"/>
      <c r="V77" s="37"/>
    </row>
    <row r="78" spans="1:22" x14ac:dyDescent="0.35">
      <c r="A78" s="37" t="str">
        <f ca="1">IFERROR(__xludf.DUMMYFUNCTION("""COMPUTED_VALUE"""),"5132,25")</f>
        <v>5132,25</v>
      </c>
      <c r="B78" s="37" t="str">
        <f ca="1">IFERROR(__xludf.DUMMYFUNCTION("""COMPUTED_VALUE"""),"Intraclastic packstone")</f>
        <v>Intraclastic packstone</v>
      </c>
      <c r="C78" s="37">
        <f ca="1">IFERROR(__xludf.DUMMYFUNCTION("""COMPUTED_VALUE"""),9)</f>
        <v>9</v>
      </c>
      <c r="D78" s="38">
        <f ca="1">IFERROR(__xludf.DUMMYFUNCTION("""COMPUTED_VALUE"""),61)</f>
        <v>61</v>
      </c>
      <c r="E78" s="37">
        <f ca="1">IFERROR(__xludf.DUMMYFUNCTION("""COMPUTED_VALUE"""),12)</f>
        <v>12</v>
      </c>
      <c r="F78" s="37">
        <f ca="1">IFERROR(__xludf.DUMMYFUNCTION("""COMPUTED_VALUE"""),2)</f>
        <v>2</v>
      </c>
      <c r="G78" s="37">
        <f ca="1">IFERROR(__xludf.DUMMYFUNCTION("""COMPUTED_VALUE"""),0)</f>
        <v>0</v>
      </c>
      <c r="H78" s="37">
        <f ca="1">IFERROR(__xludf.DUMMYFUNCTION("""COMPUTED_VALUE"""),3)</f>
        <v>3</v>
      </c>
      <c r="I78" s="37">
        <f ca="1">IFERROR(__xludf.DUMMYFUNCTION("""COMPUTED_VALUE"""),0)</f>
        <v>0</v>
      </c>
      <c r="J78" s="37">
        <f ca="1">IFERROR(__xludf.DUMMYFUNCTION("""COMPUTED_VALUE"""),16)</f>
        <v>16</v>
      </c>
      <c r="K78" s="38">
        <f ca="1">IFERROR(__xludf.DUMMYFUNCTION("""COMPUTED_VALUE"""),9)</f>
        <v>9</v>
      </c>
      <c r="L78" s="37">
        <f ca="1">IFERROR(__xludf.DUMMYFUNCTION("""COMPUTED_VALUE"""),0)</f>
        <v>0</v>
      </c>
      <c r="M78" s="37">
        <f ca="1">IFERROR(__xludf.DUMMYFUNCTION("""COMPUTED_VALUE"""),0)</f>
        <v>0</v>
      </c>
      <c r="N78" s="39">
        <f ca="1">IFERROR(__xludf.DUMMYFUNCTION("""COMPUTED_VALUE"""),20.9)</f>
        <v>20.9</v>
      </c>
      <c r="O78" s="40">
        <f ca="1">IFERROR(__xludf.DUMMYFUNCTION("""COMPUTED_VALUE"""),96.8)</f>
        <v>96.8</v>
      </c>
      <c r="P78" s="37">
        <f ca="1">IFERROR(__xludf.DUMMYFUNCTION("""COMPUTED_VALUE"""),2)</f>
        <v>2</v>
      </c>
      <c r="Q78" s="37">
        <f ca="1">IFERROR(__xludf.DUMMYFUNCTION("""COMPUTED_VALUE"""),2)</f>
        <v>2</v>
      </c>
      <c r="R78" s="37"/>
      <c r="S78" s="37"/>
      <c r="T78" s="37"/>
      <c r="U78" s="37"/>
      <c r="V78" s="37"/>
    </row>
    <row r="79" spans="1:22" x14ac:dyDescent="0.35">
      <c r="A79" s="37" t="str">
        <f ca="1">IFERROR(__xludf.DUMMYFUNCTION("""COMPUTED_VALUE"""),"5132,80")</f>
        <v>5132,80</v>
      </c>
      <c r="B79" s="37" t="str">
        <f ca="1">IFERROR(__xludf.DUMMYFUNCTION("""COMPUTED_VALUE"""),"Intraclastic packstone")</f>
        <v>Intraclastic packstone</v>
      </c>
      <c r="C79" s="37">
        <f ca="1">IFERROR(__xludf.DUMMYFUNCTION("""COMPUTED_VALUE"""),9)</f>
        <v>9</v>
      </c>
      <c r="D79" s="38">
        <f ca="1">IFERROR(__xludf.DUMMYFUNCTION("""COMPUTED_VALUE"""),38)</f>
        <v>38</v>
      </c>
      <c r="E79" s="37">
        <f ca="1">IFERROR(__xludf.DUMMYFUNCTION("""COMPUTED_VALUE"""),44)</f>
        <v>44</v>
      </c>
      <c r="F79" s="37">
        <f ca="1">IFERROR(__xludf.DUMMYFUNCTION("""COMPUTED_VALUE"""),5)</f>
        <v>5</v>
      </c>
      <c r="G79" s="37">
        <f ca="1">IFERROR(__xludf.DUMMYFUNCTION("""COMPUTED_VALUE"""),0)</f>
        <v>0</v>
      </c>
      <c r="H79" s="37">
        <f ca="1">IFERROR(__xludf.DUMMYFUNCTION("""COMPUTED_VALUE"""),3)</f>
        <v>3</v>
      </c>
      <c r="I79" s="37">
        <f ca="1">IFERROR(__xludf.DUMMYFUNCTION("""COMPUTED_VALUE"""),0)</f>
        <v>0</v>
      </c>
      <c r="J79" s="37">
        <f ca="1">IFERROR(__xludf.DUMMYFUNCTION("""COMPUTED_VALUE"""),10)</f>
        <v>10</v>
      </c>
      <c r="K79" s="38">
        <f ca="1">IFERROR(__xludf.DUMMYFUNCTION("""COMPUTED_VALUE"""),3)</f>
        <v>3</v>
      </c>
      <c r="L79" s="37">
        <f ca="1">IFERROR(__xludf.DUMMYFUNCTION("""COMPUTED_VALUE"""),0)</f>
        <v>0</v>
      </c>
      <c r="M79" s="37">
        <f ca="1">IFERROR(__xludf.DUMMYFUNCTION("""COMPUTED_VALUE"""),0)</f>
        <v>0</v>
      </c>
      <c r="N79" s="39">
        <f ca="1">IFERROR(__xludf.DUMMYFUNCTION("""COMPUTED_VALUE"""),20)</f>
        <v>20</v>
      </c>
      <c r="O79" s="40">
        <f ca="1">IFERROR(__xludf.DUMMYFUNCTION("""COMPUTED_VALUE"""),64.3)</f>
        <v>64.3</v>
      </c>
      <c r="P79" s="37">
        <f ca="1">IFERROR(__xludf.DUMMYFUNCTION("""COMPUTED_VALUE"""),2)</f>
        <v>2</v>
      </c>
      <c r="Q79" s="37">
        <f ca="1">IFERROR(__xludf.DUMMYFUNCTION("""COMPUTED_VALUE"""),2)</f>
        <v>2</v>
      </c>
      <c r="R79" s="37"/>
      <c r="S79" s="37"/>
      <c r="T79" s="37"/>
      <c r="U79" s="37"/>
      <c r="V79" s="37"/>
    </row>
    <row r="80" spans="1:22" x14ac:dyDescent="0.35">
      <c r="A80" s="37" t="str">
        <f ca="1">IFERROR(__xludf.DUMMYFUNCTION("""COMPUTED_VALUE"""),"5133,10")</f>
        <v>5133,10</v>
      </c>
      <c r="B80" s="37" t="str">
        <f ca="1">IFERROR(__xludf.DUMMYFUNCTION("""COMPUTED_VALUE"""),"Intraclastic packstone")</f>
        <v>Intraclastic packstone</v>
      </c>
      <c r="C80" s="37">
        <f ca="1">IFERROR(__xludf.DUMMYFUNCTION("""COMPUTED_VALUE"""),9)</f>
        <v>9</v>
      </c>
      <c r="D80" s="38">
        <f ca="1">IFERROR(__xludf.DUMMYFUNCTION("""COMPUTED_VALUE"""),28)</f>
        <v>28</v>
      </c>
      <c r="E80" s="37">
        <f ca="1">IFERROR(__xludf.DUMMYFUNCTION("""COMPUTED_VALUE"""),30)</f>
        <v>30</v>
      </c>
      <c r="F80" s="37">
        <f ca="1">IFERROR(__xludf.DUMMYFUNCTION("""COMPUTED_VALUE"""),16)</f>
        <v>16</v>
      </c>
      <c r="G80" s="37">
        <f ca="1">IFERROR(__xludf.DUMMYFUNCTION("""COMPUTED_VALUE"""),14)</f>
        <v>14</v>
      </c>
      <c r="H80" s="37">
        <f ca="1">IFERROR(__xludf.DUMMYFUNCTION("""COMPUTED_VALUE"""),3)</f>
        <v>3</v>
      </c>
      <c r="I80" s="37">
        <f ca="1">IFERROR(__xludf.DUMMYFUNCTION("""COMPUTED_VALUE"""),0)</f>
        <v>0</v>
      </c>
      <c r="J80" s="37">
        <f ca="1">IFERROR(__xludf.DUMMYFUNCTION("""COMPUTED_VALUE"""),8)</f>
        <v>8</v>
      </c>
      <c r="K80" s="38">
        <f ca="1">IFERROR(__xludf.DUMMYFUNCTION("""COMPUTED_VALUE"""),4)</f>
        <v>4</v>
      </c>
      <c r="L80" s="37">
        <f ca="1">IFERROR(__xludf.DUMMYFUNCTION("""COMPUTED_VALUE"""),0)</f>
        <v>0</v>
      </c>
      <c r="M80" s="37">
        <f ca="1">IFERROR(__xludf.DUMMYFUNCTION("""COMPUTED_VALUE"""),0)</f>
        <v>0</v>
      </c>
      <c r="N80" s="39">
        <f ca="1">IFERROR(__xludf.DUMMYFUNCTION("""COMPUTED_VALUE"""),17.8)</f>
        <v>17.8</v>
      </c>
      <c r="O80" s="40">
        <f ca="1">IFERROR(__xludf.DUMMYFUNCTION("""COMPUTED_VALUE"""),22.4)</f>
        <v>22.4</v>
      </c>
      <c r="P80" s="37">
        <f ca="1">IFERROR(__xludf.DUMMYFUNCTION("""COMPUTED_VALUE"""),2)</f>
        <v>2</v>
      </c>
      <c r="Q80" s="37">
        <f ca="1">IFERROR(__xludf.DUMMYFUNCTION("""COMPUTED_VALUE"""),1)</f>
        <v>1</v>
      </c>
      <c r="R80" s="37"/>
      <c r="S80" s="37"/>
      <c r="T80" s="37"/>
      <c r="U80" s="37"/>
      <c r="V80" s="37"/>
    </row>
    <row r="81" spans="1:22" x14ac:dyDescent="0.35">
      <c r="A81" s="37" t="str">
        <f ca="1">IFERROR(__xludf.DUMMYFUNCTION("""COMPUTED_VALUE"""),"5133,45")</f>
        <v>5133,45</v>
      </c>
      <c r="B81" s="37" t="str">
        <f ca="1">IFERROR(__xludf.DUMMYFUNCTION("""COMPUTED_VALUE"""),"Intraclastic packstone")</f>
        <v>Intraclastic packstone</v>
      </c>
      <c r="C81" s="37">
        <f ca="1">IFERROR(__xludf.DUMMYFUNCTION("""COMPUTED_VALUE"""),9)</f>
        <v>9</v>
      </c>
      <c r="D81" s="38">
        <f ca="1">IFERROR(__xludf.DUMMYFUNCTION("""COMPUTED_VALUE"""),34)</f>
        <v>34</v>
      </c>
      <c r="E81" s="37">
        <f ca="1">IFERROR(__xludf.DUMMYFUNCTION("""COMPUTED_VALUE"""),35)</f>
        <v>35</v>
      </c>
      <c r="F81" s="37">
        <f ca="1">IFERROR(__xludf.DUMMYFUNCTION("""COMPUTED_VALUE"""),20)</f>
        <v>20</v>
      </c>
      <c r="G81" s="37">
        <f ca="1">IFERROR(__xludf.DUMMYFUNCTION("""COMPUTED_VALUE"""),0)</f>
        <v>0</v>
      </c>
      <c r="H81" s="37">
        <f ca="1">IFERROR(__xludf.DUMMYFUNCTION("""COMPUTED_VALUE"""),3)</f>
        <v>3</v>
      </c>
      <c r="I81" s="37">
        <f ca="1">IFERROR(__xludf.DUMMYFUNCTION("""COMPUTED_VALUE"""),0)</f>
        <v>0</v>
      </c>
      <c r="J81" s="37">
        <f ca="1">IFERROR(__xludf.DUMMYFUNCTION("""COMPUTED_VALUE"""),8)</f>
        <v>8</v>
      </c>
      <c r="K81" s="38">
        <f ca="1">IFERROR(__xludf.DUMMYFUNCTION("""COMPUTED_VALUE"""),3)</f>
        <v>3</v>
      </c>
      <c r="L81" s="37">
        <f ca="1">IFERROR(__xludf.DUMMYFUNCTION("""COMPUTED_VALUE"""),0)</f>
        <v>0</v>
      </c>
      <c r="M81" s="37">
        <f ca="1">IFERROR(__xludf.DUMMYFUNCTION("""COMPUTED_VALUE"""),0)</f>
        <v>0</v>
      </c>
      <c r="N81" s="39">
        <f ca="1">IFERROR(__xludf.DUMMYFUNCTION("""COMPUTED_VALUE"""),17.1)</f>
        <v>17.100000000000001</v>
      </c>
      <c r="O81" s="40">
        <f ca="1">IFERROR(__xludf.DUMMYFUNCTION("""COMPUTED_VALUE"""),13.4)</f>
        <v>13.4</v>
      </c>
      <c r="P81" s="37">
        <f ca="1">IFERROR(__xludf.DUMMYFUNCTION("""COMPUTED_VALUE"""),2)</f>
        <v>2</v>
      </c>
      <c r="Q81" s="37">
        <f ca="1">IFERROR(__xludf.DUMMYFUNCTION("""COMPUTED_VALUE"""),1)</f>
        <v>1</v>
      </c>
      <c r="R81" s="37"/>
      <c r="S81" s="37"/>
      <c r="T81" s="37"/>
      <c r="U81" s="37"/>
      <c r="V81" s="37"/>
    </row>
    <row r="82" spans="1:22" x14ac:dyDescent="0.35">
      <c r="A82" s="37" t="str">
        <f ca="1">IFERROR(__xludf.DUMMYFUNCTION("""COMPUTED_VALUE"""),"5133,75")</f>
        <v>5133,75</v>
      </c>
      <c r="B82" s="37" t="str">
        <f ca="1">IFERROR(__xludf.DUMMYFUNCTION("""COMPUTED_VALUE"""),"Intraclastic packstone")</f>
        <v>Intraclastic packstone</v>
      </c>
      <c r="C82" s="37">
        <f ca="1">IFERROR(__xludf.DUMMYFUNCTION("""COMPUTED_VALUE"""),9)</f>
        <v>9</v>
      </c>
      <c r="D82" s="38">
        <f ca="1">IFERROR(__xludf.DUMMYFUNCTION("""COMPUTED_VALUE"""),40)</f>
        <v>40</v>
      </c>
      <c r="E82" s="37">
        <f ca="1">IFERROR(__xludf.DUMMYFUNCTION("""COMPUTED_VALUE"""),14)</f>
        <v>14</v>
      </c>
      <c r="F82" s="37">
        <f ca="1">IFERROR(__xludf.DUMMYFUNCTION("""COMPUTED_VALUE"""),40)</f>
        <v>40</v>
      </c>
      <c r="G82" s="37">
        <f ca="1">IFERROR(__xludf.DUMMYFUNCTION("""COMPUTED_VALUE"""),0)</f>
        <v>0</v>
      </c>
      <c r="H82" s="37">
        <f ca="1">IFERROR(__xludf.DUMMYFUNCTION("""COMPUTED_VALUE"""),3)</f>
        <v>3</v>
      </c>
      <c r="I82" s="37">
        <f ca="1">IFERROR(__xludf.DUMMYFUNCTION("""COMPUTED_VALUE"""),0)</f>
        <v>0</v>
      </c>
      <c r="J82" s="37">
        <f ca="1">IFERROR(__xludf.DUMMYFUNCTION("""COMPUTED_VALUE"""),6)</f>
        <v>6</v>
      </c>
      <c r="K82" s="38">
        <f ca="1">IFERROR(__xludf.DUMMYFUNCTION("""COMPUTED_VALUE"""),0)</f>
        <v>0</v>
      </c>
      <c r="L82" s="37">
        <f ca="1">IFERROR(__xludf.DUMMYFUNCTION("""COMPUTED_VALUE"""),0)</f>
        <v>0</v>
      </c>
      <c r="M82" s="37">
        <f ca="1">IFERROR(__xludf.DUMMYFUNCTION("""COMPUTED_VALUE"""),0)</f>
        <v>0</v>
      </c>
      <c r="N82" s="39">
        <f ca="1">IFERROR(__xludf.DUMMYFUNCTION("""COMPUTED_VALUE"""),0.01)</f>
        <v>0.01</v>
      </c>
      <c r="O82" s="40">
        <f ca="1">IFERROR(__xludf.DUMMYFUNCTION("""COMPUTED_VALUE"""),0)</f>
        <v>0</v>
      </c>
      <c r="P82" s="37">
        <f ca="1">IFERROR(__xludf.DUMMYFUNCTION("""COMPUTED_VALUE"""),2)</f>
        <v>2</v>
      </c>
      <c r="Q82" s="37">
        <f ca="1">IFERROR(__xludf.DUMMYFUNCTION("""COMPUTED_VALUE"""),1)</f>
        <v>1</v>
      </c>
      <c r="R82" s="37"/>
      <c r="S82" s="37"/>
      <c r="T82" s="37"/>
      <c r="U82" s="37"/>
      <c r="V82" s="37"/>
    </row>
    <row r="83" spans="1:22" x14ac:dyDescent="0.35">
      <c r="A83" s="37" t="str">
        <f ca="1">IFERROR(__xludf.DUMMYFUNCTION("""COMPUTED_VALUE"""),"5134,95")</f>
        <v>5134,95</v>
      </c>
      <c r="B83" s="37" t="str">
        <f ca="1">IFERROR(__xludf.DUMMYFUNCTION("""COMPUTED_VALUE"""),"Intraclastic packstone")</f>
        <v>Intraclastic packstone</v>
      </c>
      <c r="C83" s="37">
        <f ca="1">IFERROR(__xludf.DUMMYFUNCTION("""COMPUTED_VALUE"""),9)</f>
        <v>9</v>
      </c>
      <c r="D83" s="38">
        <f ca="1">IFERROR(__xludf.DUMMYFUNCTION("""COMPUTED_VALUE"""),48)</f>
        <v>48</v>
      </c>
      <c r="E83" s="37">
        <f ca="1">IFERROR(__xludf.DUMMYFUNCTION("""COMPUTED_VALUE"""),20)</f>
        <v>20</v>
      </c>
      <c r="F83" s="37">
        <f ca="1">IFERROR(__xludf.DUMMYFUNCTION("""COMPUTED_VALUE"""),10)</f>
        <v>10</v>
      </c>
      <c r="G83" s="37">
        <f ca="1">IFERROR(__xludf.DUMMYFUNCTION("""COMPUTED_VALUE"""),8)</f>
        <v>8</v>
      </c>
      <c r="H83" s="37">
        <f ca="1">IFERROR(__xludf.DUMMYFUNCTION("""COMPUTED_VALUE"""),3)</f>
        <v>3</v>
      </c>
      <c r="I83" s="37">
        <f ca="1">IFERROR(__xludf.DUMMYFUNCTION("""COMPUTED_VALUE"""),0)</f>
        <v>0</v>
      </c>
      <c r="J83" s="37">
        <f ca="1">IFERROR(__xludf.DUMMYFUNCTION("""COMPUTED_VALUE"""),10)</f>
        <v>10</v>
      </c>
      <c r="K83" s="38">
        <f ca="1">IFERROR(__xludf.DUMMYFUNCTION("""COMPUTED_VALUE"""),4)</f>
        <v>4</v>
      </c>
      <c r="L83" s="37">
        <f ca="1">IFERROR(__xludf.DUMMYFUNCTION("""COMPUTED_VALUE"""),0)</f>
        <v>0</v>
      </c>
      <c r="M83" s="37">
        <f ca="1">IFERROR(__xludf.DUMMYFUNCTION("""COMPUTED_VALUE"""),0)</f>
        <v>0</v>
      </c>
      <c r="N83" s="39">
        <f ca="1">IFERROR(__xludf.DUMMYFUNCTION("""COMPUTED_VALUE"""),8.7)</f>
        <v>8.6999999999999993</v>
      </c>
      <c r="O83" s="40">
        <f ca="1">IFERROR(__xludf.DUMMYFUNCTION("""COMPUTED_VALUE"""),7.48)</f>
        <v>7.48</v>
      </c>
      <c r="P83" s="37">
        <f ca="1">IFERROR(__xludf.DUMMYFUNCTION("""COMPUTED_VALUE"""),2)</f>
        <v>2</v>
      </c>
      <c r="Q83" s="37">
        <f ca="1">IFERROR(__xludf.DUMMYFUNCTION("""COMPUTED_VALUE"""),1)</f>
        <v>1</v>
      </c>
      <c r="R83" s="37"/>
      <c r="S83" s="37"/>
      <c r="T83" s="37"/>
      <c r="U83" s="37"/>
      <c r="V83" s="37"/>
    </row>
    <row r="84" spans="1:22" x14ac:dyDescent="0.35">
      <c r="A84" s="37" t="str">
        <f ca="1">IFERROR(__xludf.DUMMYFUNCTION("""COMPUTED_VALUE"""),"5135,85")</f>
        <v>5135,85</v>
      </c>
      <c r="B84" s="37" t="str">
        <f ca="1">IFERROR(__xludf.DUMMYFUNCTION("""COMPUTED_VALUE"""),"Spherulitestone")</f>
        <v>Spherulitestone</v>
      </c>
      <c r="C84" s="37">
        <f ca="1">IFERROR(__xludf.DUMMYFUNCTION("""COMPUTED_VALUE"""),2)</f>
        <v>2</v>
      </c>
      <c r="D84" s="38">
        <f ca="1">IFERROR(__xludf.DUMMYFUNCTION("""COMPUTED_VALUE"""),37)</f>
        <v>37</v>
      </c>
      <c r="E84" s="37">
        <f ca="1">IFERROR(__xludf.DUMMYFUNCTION("""COMPUTED_VALUE"""),35)</f>
        <v>35</v>
      </c>
      <c r="F84" s="37">
        <f ca="1">IFERROR(__xludf.DUMMYFUNCTION("""COMPUTED_VALUE"""),5)</f>
        <v>5</v>
      </c>
      <c r="G84" s="37">
        <f ca="1">IFERROR(__xludf.DUMMYFUNCTION("""COMPUTED_VALUE"""),8)</f>
        <v>8</v>
      </c>
      <c r="H84" s="37">
        <f ca="1">IFERROR(__xludf.DUMMYFUNCTION("""COMPUTED_VALUE"""),3)</f>
        <v>3</v>
      </c>
      <c r="I84" s="37">
        <f ca="1">IFERROR(__xludf.DUMMYFUNCTION("""COMPUTED_VALUE"""),0)</f>
        <v>0</v>
      </c>
      <c r="J84" s="37">
        <f ca="1">IFERROR(__xludf.DUMMYFUNCTION("""COMPUTED_VALUE"""),12)</f>
        <v>12</v>
      </c>
      <c r="K84" s="38">
        <f ca="1">IFERROR(__xludf.DUMMYFUNCTION("""COMPUTED_VALUE"""),3)</f>
        <v>3</v>
      </c>
      <c r="L84" s="37">
        <f ca="1">IFERROR(__xludf.DUMMYFUNCTION("""COMPUTED_VALUE"""),0)</f>
        <v>0</v>
      </c>
      <c r="M84" s="37">
        <f ca="1">IFERROR(__xludf.DUMMYFUNCTION("""COMPUTED_VALUE"""),0)</f>
        <v>0</v>
      </c>
      <c r="N84" s="39">
        <f ca="1">IFERROR(__xludf.DUMMYFUNCTION("""COMPUTED_VALUE"""),16.8)</f>
        <v>16.8</v>
      </c>
      <c r="O84" s="40">
        <f ca="1">IFERROR(__xludf.DUMMYFUNCTION("""COMPUTED_VALUE"""),67.9)</f>
        <v>67.900000000000006</v>
      </c>
      <c r="P84" s="37">
        <f ca="1">IFERROR(__xludf.DUMMYFUNCTION("""COMPUTED_VALUE"""),1)</f>
        <v>1</v>
      </c>
      <c r="Q84" s="37">
        <f ca="1">IFERROR(__xludf.DUMMYFUNCTION("""COMPUTED_VALUE"""),2)</f>
        <v>2</v>
      </c>
      <c r="R84" s="37"/>
      <c r="S84" s="37"/>
      <c r="T84" s="37"/>
      <c r="U84" s="37"/>
      <c r="V84" s="37"/>
    </row>
    <row r="85" spans="1:22" x14ac:dyDescent="0.35">
      <c r="A85" s="37" t="str">
        <f ca="1">IFERROR(__xludf.DUMMYFUNCTION("""COMPUTED_VALUE"""),"5136,65")</f>
        <v>5136,65</v>
      </c>
      <c r="B85" s="37" t="str">
        <f ca="1">IFERROR(__xludf.DUMMYFUNCTION("""COMPUTED_VALUE"""),"Shrubstone")</f>
        <v>Shrubstone</v>
      </c>
      <c r="C85" s="37">
        <f ca="1">IFERROR(__xludf.DUMMYFUNCTION("""COMPUTED_VALUE"""),1)</f>
        <v>1</v>
      </c>
      <c r="D85" s="38">
        <f ca="1">IFERROR(__xludf.DUMMYFUNCTION("""COMPUTED_VALUE"""),90)</f>
        <v>90</v>
      </c>
      <c r="E85" s="37">
        <f ca="1">IFERROR(__xludf.DUMMYFUNCTION("""COMPUTED_VALUE"""),2)</f>
        <v>2</v>
      </c>
      <c r="F85" s="37">
        <f ca="1">IFERROR(__xludf.DUMMYFUNCTION("""COMPUTED_VALUE"""),0)</f>
        <v>0</v>
      </c>
      <c r="G85" s="37">
        <f ca="1">IFERROR(__xludf.DUMMYFUNCTION("""COMPUTED_VALUE"""),0)</f>
        <v>0</v>
      </c>
      <c r="H85" s="37">
        <f ca="1">IFERROR(__xludf.DUMMYFUNCTION("""COMPUTED_VALUE"""),0)</f>
        <v>0</v>
      </c>
      <c r="I85" s="37">
        <f ca="1">IFERROR(__xludf.DUMMYFUNCTION("""COMPUTED_VALUE"""),1)</f>
        <v>1</v>
      </c>
      <c r="J85" s="37">
        <f ca="1">IFERROR(__xludf.DUMMYFUNCTION("""COMPUTED_VALUE"""),6)</f>
        <v>6</v>
      </c>
      <c r="K85" s="38">
        <f ca="1">IFERROR(__xludf.DUMMYFUNCTION("""COMPUTED_VALUE"""),2)</f>
        <v>2</v>
      </c>
      <c r="L85" s="37">
        <f ca="1">IFERROR(__xludf.DUMMYFUNCTION("""COMPUTED_VALUE"""),1)</f>
        <v>1</v>
      </c>
      <c r="M85" s="37">
        <f ca="1">IFERROR(__xludf.DUMMYFUNCTION("""COMPUTED_VALUE"""),1)</f>
        <v>1</v>
      </c>
      <c r="N85" s="39">
        <f ca="1">IFERROR(__xludf.DUMMYFUNCTION("""COMPUTED_VALUE"""),12.6)</f>
        <v>12.6</v>
      </c>
      <c r="O85" s="40">
        <f ca="1">IFERROR(__xludf.DUMMYFUNCTION("""COMPUTED_VALUE"""),311)</f>
        <v>311</v>
      </c>
      <c r="P85" s="37">
        <f ca="1">IFERROR(__xludf.DUMMYFUNCTION("""COMPUTED_VALUE"""),1)</f>
        <v>1</v>
      </c>
      <c r="Q85" s="37">
        <f ca="1">IFERROR(__xludf.DUMMYFUNCTION("""COMPUTED_VALUE"""),3)</f>
        <v>3</v>
      </c>
      <c r="R85" s="37"/>
      <c r="S85" s="37"/>
      <c r="T85" s="37"/>
      <c r="U85" s="37"/>
      <c r="V85" s="37"/>
    </row>
    <row r="86" spans="1:22" x14ac:dyDescent="0.35">
      <c r="A86" s="37" t="str">
        <f ca="1">IFERROR(__xludf.DUMMYFUNCTION("""COMPUTED_VALUE"""),"5137,00")</f>
        <v>5137,00</v>
      </c>
      <c r="B86" s="37" t="str">
        <f ca="1">IFERROR(__xludf.DUMMYFUNCTION("""COMPUTED_VALUE"""),"Spherulitestone")</f>
        <v>Spherulitestone</v>
      </c>
      <c r="C86" s="37">
        <f ca="1">IFERROR(__xludf.DUMMYFUNCTION("""COMPUTED_VALUE"""),2)</f>
        <v>2</v>
      </c>
      <c r="D86" s="38">
        <f ca="1">IFERROR(__xludf.DUMMYFUNCTION("""COMPUTED_VALUE"""),39)</f>
        <v>39</v>
      </c>
      <c r="E86" s="37">
        <f ca="1">IFERROR(__xludf.DUMMYFUNCTION("""COMPUTED_VALUE"""),43)</f>
        <v>43</v>
      </c>
      <c r="F86" s="37">
        <f ca="1">IFERROR(__xludf.DUMMYFUNCTION("""COMPUTED_VALUE"""),0)</f>
        <v>0</v>
      </c>
      <c r="G86" s="37">
        <f ca="1">IFERROR(__xludf.DUMMYFUNCTION("""COMPUTED_VALUE"""),5)</f>
        <v>5</v>
      </c>
      <c r="H86" s="37">
        <f ca="1">IFERROR(__xludf.DUMMYFUNCTION("""COMPUTED_VALUE"""),3)</f>
        <v>3</v>
      </c>
      <c r="I86" s="37">
        <f ca="1">IFERROR(__xludf.DUMMYFUNCTION("""COMPUTED_VALUE"""),0)</f>
        <v>0</v>
      </c>
      <c r="J86" s="37">
        <f ca="1">IFERROR(__xludf.DUMMYFUNCTION("""COMPUTED_VALUE"""),10)</f>
        <v>10</v>
      </c>
      <c r="K86" s="38">
        <f ca="1">IFERROR(__xludf.DUMMYFUNCTION("""COMPUTED_VALUE"""),3)</f>
        <v>3</v>
      </c>
      <c r="L86" s="37">
        <f ca="1">IFERROR(__xludf.DUMMYFUNCTION("""COMPUTED_VALUE"""),1)</f>
        <v>1</v>
      </c>
      <c r="M86" s="37">
        <f ca="1">IFERROR(__xludf.DUMMYFUNCTION("""COMPUTED_VALUE"""),1)</f>
        <v>1</v>
      </c>
      <c r="N86" s="39">
        <f ca="1">IFERROR(__xludf.DUMMYFUNCTION("""COMPUTED_VALUE"""),23)</f>
        <v>23</v>
      </c>
      <c r="O86" s="40">
        <f ca="1">IFERROR(__xludf.DUMMYFUNCTION("""COMPUTED_VALUE"""),320)</f>
        <v>320</v>
      </c>
      <c r="P86" s="37">
        <f ca="1">IFERROR(__xludf.DUMMYFUNCTION("""COMPUTED_VALUE"""),1)</f>
        <v>1</v>
      </c>
      <c r="Q86" s="37">
        <f ca="1">IFERROR(__xludf.DUMMYFUNCTION("""COMPUTED_VALUE"""),3)</f>
        <v>3</v>
      </c>
      <c r="R86" s="37"/>
      <c r="S86" s="37"/>
      <c r="T86" s="37"/>
      <c r="U86" s="37"/>
      <c r="V86" s="37"/>
    </row>
    <row r="87" spans="1:22" x14ac:dyDescent="0.35">
      <c r="A87" s="37" t="str">
        <f ca="1">IFERROR(__xludf.DUMMYFUNCTION("""COMPUTED_VALUE"""),"5137,85")</f>
        <v>5137,85</v>
      </c>
      <c r="B87" s="37" t="str">
        <f ca="1">IFERROR(__xludf.DUMMYFUNCTION("""COMPUTED_VALUE"""),"Spherulitestone")</f>
        <v>Spherulitestone</v>
      </c>
      <c r="C87" s="37">
        <f ca="1">IFERROR(__xludf.DUMMYFUNCTION("""COMPUTED_VALUE"""),2)</f>
        <v>2</v>
      </c>
      <c r="D87" s="38">
        <f ca="1">IFERROR(__xludf.DUMMYFUNCTION("""COMPUTED_VALUE"""),30)</f>
        <v>30</v>
      </c>
      <c r="E87" s="37">
        <f ca="1">IFERROR(__xludf.DUMMYFUNCTION("""COMPUTED_VALUE"""),40)</f>
        <v>40</v>
      </c>
      <c r="F87" s="37">
        <f ca="1">IFERROR(__xludf.DUMMYFUNCTION("""COMPUTED_VALUE"""),10)</f>
        <v>10</v>
      </c>
      <c r="G87" s="37">
        <f ca="1">IFERROR(__xludf.DUMMYFUNCTION("""COMPUTED_VALUE"""),0)</f>
        <v>0</v>
      </c>
      <c r="H87" s="37">
        <f ca="1">IFERROR(__xludf.DUMMYFUNCTION("""COMPUTED_VALUE"""),4)</f>
        <v>4</v>
      </c>
      <c r="I87" s="37">
        <f ca="1">IFERROR(__xludf.DUMMYFUNCTION("""COMPUTED_VALUE"""),0)</f>
        <v>0</v>
      </c>
      <c r="J87" s="37">
        <f ca="1">IFERROR(__xludf.DUMMYFUNCTION("""COMPUTED_VALUE"""),14)</f>
        <v>14</v>
      </c>
      <c r="K87" s="38">
        <f ca="1">IFERROR(__xludf.DUMMYFUNCTION("""COMPUTED_VALUE"""),6)</f>
        <v>6</v>
      </c>
      <c r="L87" s="37">
        <f ca="1">IFERROR(__xludf.DUMMYFUNCTION("""COMPUTED_VALUE"""),1)</f>
        <v>1</v>
      </c>
      <c r="M87" s="37">
        <f ca="1">IFERROR(__xludf.DUMMYFUNCTION("""COMPUTED_VALUE"""),1)</f>
        <v>1</v>
      </c>
      <c r="N87" s="39">
        <f ca="1">IFERROR(__xludf.DUMMYFUNCTION("""COMPUTED_VALUE"""),26.6)</f>
        <v>26.6</v>
      </c>
      <c r="O87" s="40">
        <f ca="1">IFERROR(__xludf.DUMMYFUNCTION("""COMPUTED_VALUE"""),449)</f>
        <v>449</v>
      </c>
      <c r="P87" s="37">
        <f ca="1">IFERROR(__xludf.DUMMYFUNCTION("""COMPUTED_VALUE"""),1)</f>
        <v>1</v>
      </c>
      <c r="Q87" s="37">
        <f ca="1">IFERROR(__xludf.DUMMYFUNCTION("""COMPUTED_VALUE"""),3)</f>
        <v>3</v>
      </c>
      <c r="R87" s="37"/>
      <c r="S87" s="37"/>
      <c r="T87" s="37"/>
      <c r="U87" s="37"/>
      <c r="V87" s="37"/>
    </row>
    <row r="88" spans="1:22" x14ac:dyDescent="0.35">
      <c r="A88" s="37" t="str">
        <f ca="1">IFERROR(__xludf.DUMMYFUNCTION("""COMPUTED_VALUE"""),"5138,70")</f>
        <v>5138,70</v>
      </c>
      <c r="B88" s="37" t="str">
        <f ca="1">IFERROR(__xludf.DUMMYFUNCTION("""COMPUTED_VALUE"""),"Spherulitestone")</f>
        <v>Spherulitestone</v>
      </c>
      <c r="C88" s="37">
        <f ca="1">IFERROR(__xludf.DUMMYFUNCTION("""COMPUTED_VALUE"""),2)</f>
        <v>2</v>
      </c>
      <c r="D88" s="38">
        <f ca="1">IFERROR(__xludf.DUMMYFUNCTION("""COMPUTED_VALUE"""),32)</f>
        <v>32</v>
      </c>
      <c r="E88" s="37">
        <f ca="1">IFERROR(__xludf.DUMMYFUNCTION("""COMPUTED_VALUE"""),0)</f>
        <v>0</v>
      </c>
      <c r="F88" s="37">
        <f ca="1">IFERROR(__xludf.DUMMYFUNCTION("""COMPUTED_VALUE"""),0)</f>
        <v>0</v>
      </c>
      <c r="G88" s="37">
        <f ca="1">IFERROR(__xludf.DUMMYFUNCTION("""COMPUTED_VALUE"""),66)</f>
        <v>66</v>
      </c>
      <c r="H88" s="37">
        <f ca="1">IFERROR(__xludf.DUMMYFUNCTION("""COMPUTED_VALUE"""),3)</f>
        <v>3</v>
      </c>
      <c r="I88" s="37">
        <f ca="1">IFERROR(__xludf.DUMMYFUNCTION("""COMPUTED_VALUE"""),0)</f>
        <v>0</v>
      </c>
      <c r="J88" s="37">
        <f ca="1">IFERROR(__xludf.DUMMYFUNCTION("""COMPUTED_VALUE"""),2)</f>
        <v>2</v>
      </c>
      <c r="K88" s="38">
        <f ca="1">IFERROR(__xludf.DUMMYFUNCTION("""COMPUTED_VALUE"""),0)</f>
        <v>0</v>
      </c>
      <c r="L88" s="37">
        <f ca="1">IFERROR(__xludf.DUMMYFUNCTION("""COMPUTED_VALUE"""),0)</f>
        <v>0</v>
      </c>
      <c r="M88" s="37">
        <f ca="1">IFERROR(__xludf.DUMMYFUNCTION("""COMPUTED_VALUE"""),0)</f>
        <v>0</v>
      </c>
      <c r="N88" s="39">
        <f ca="1">IFERROR(__xludf.DUMMYFUNCTION("""COMPUTED_VALUE"""),7.1)</f>
        <v>7.1</v>
      </c>
      <c r="O88" s="40">
        <f ca="1">IFERROR(__xludf.DUMMYFUNCTION("""COMPUTED_VALUE"""),1.56)</f>
        <v>1.56</v>
      </c>
      <c r="P88" s="37">
        <f ca="1">IFERROR(__xludf.DUMMYFUNCTION("""COMPUTED_VALUE"""),1)</f>
        <v>1</v>
      </c>
      <c r="Q88" s="37">
        <f ca="1">IFERROR(__xludf.DUMMYFUNCTION("""COMPUTED_VALUE"""),1)</f>
        <v>1</v>
      </c>
      <c r="R88" s="37"/>
      <c r="S88" s="37"/>
      <c r="T88" s="37"/>
      <c r="U88" s="37"/>
      <c r="V88" s="37"/>
    </row>
    <row r="89" spans="1:22" x14ac:dyDescent="0.35">
      <c r="A89" s="37" t="str">
        <f ca="1">IFERROR(__xludf.DUMMYFUNCTION("""COMPUTED_VALUE"""),"5156,00")</f>
        <v>5156,00</v>
      </c>
      <c r="B89" s="37" t="str">
        <f ca="1">IFERROR(__xludf.DUMMYFUNCTION("""COMPUTED_VALUE"""),"Intraclastic packstone")</f>
        <v>Intraclastic packstone</v>
      </c>
      <c r="C89" s="37">
        <f ca="1">IFERROR(__xludf.DUMMYFUNCTION("""COMPUTED_VALUE"""),9)</f>
        <v>9</v>
      </c>
      <c r="D89" s="38">
        <f ca="1">IFERROR(__xludf.DUMMYFUNCTION("""COMPUTED_VALUE"""),33)</f>
        <v>33</v>
      </c>
      <c r="E89" s="37">
        <f ca="1">IFERROR(__xludf.DUMMYFUNCTION("""COMPUTED_VALUE"""),31)</f>
        <v>31</v>
      </c>
      <c r="F89" s="37">
        <f ca="1">IFERROR(__xludf.DUMMYFUNCTION("""COMPUTED_VALUE"""),18)</f>
        <v>18</v>
      </c>
      <c r="G89" s="37">
        <f ca="1">IFERROR(__xludf.DUMMYFUNCTION("""COMPUTED_VALUE"""),5)</f>
        <v>5</v>
      </c>
      <c r="H89" s="37">
        <f ca="1">IFERROR(__xludf.DUMMYFUNCTION("""COMPUTED_VALUE"""),3)</f>
        <v>3</v>
      </c>
      <c r="I89" s="37">
        <f ca="1">IFERROR(__xludf.DUMMYFUNCTION("""COMPUTED_VALUE"""),0)</f>
        <v>0</v>
      </c>
      <c r="J89" s="37">
        <f ca="1">IFERROR(__xludf.DUMMYFUNCTION("""COMPUTED_VALUE"""),9)</f>
        <v>9</v>
      </c>
      <c r="K89" s="38">
        <f ca="1">IFERROR(__xludf.DUMMYFUNCTION("""COMPUTED_VALUE"""),4)</f>
        <v>4</v>
      </c>
      <c r="L89" s="37">
        <f ca="1">IFERROR(__xludf.DUMMYFUNCTION("""COMPUTED_VALUE"""),1)</f>
        <v>1</v>
      </c>
      <c r="M89" s="37">
        <f ca="1">IFERROR(__xludf.DUMMYFUNCTION("""COMPUTED_VALUE"""),0)</f>
        <v>0</v>
      </c>
      <c r="N89" s="39">
        <f ca="1">IFERROR(__xludf.DUMMYFUNCTION("""COMPUTED_VALUE"""),18.91)</f>
        <v>18.91</v>
      </c>
      <c r="O89" s="40">
        <f ca="1">IFERROR(__xludf.DUMMYFUNCTION("""COMPUTED_VALUE"""),36.04)</f>
        <v>36.04</v>
      </c>
      <c r="P89" s="37">
        <f ca="1">IFERROR(__xludf.DUMMYFUNCTION("""COMPUTED_VALUE"""),2)</f>
        <v>2</v>
      </c>
      <c r="Q89" s="37">
        <f ca="1">IFERROR(__xludf.DUMMYFUNCTION("""COMPUTED_VALUE"""),1)</f>
        <v>1</v>
      </c>
      <c r="R89" s="37"/>
      <c r="S89" s="37"/>
      <c r="T89" s="37"/>
      <c r="U89" s="37"/>
      <c r="V89" s="37"/>
    </row>
    <row r="90" spans="1:22" x14ac:dyDescent="0.35">
      <c r="A90" s="37" t="str">
        <f ca="1">IFERROR(__xludf.DUMMYFUNCTION("""COMPUTED_VALUE"""),"5160,50")</f>
        <v>5160,50</v>
      </c>
      <c r="B90" s="37" t="str">
        <f ca="1">IFERROR(__xludf.DUMMYFUNCTION("""COMPUTED_VALUE"""),"Intraclastic packstone")</f>
        <v>Intraclastic packstone</v>
      </c>
      <c r="C90" s="37">
        <f ca="1">IFERROR(__xludf.DUMMYFUNCTION("""COMPUTED_VALUE"""),9)</f>
        <v>9</v>
      </c>
      <c r="D90" s="38">
        <f ca="1">IFERROR(__xludf.DUMMYFUNCTION("""COMPUTED_VALUE"""),53)</f>
        <v>53</v>
      </c>
      <c r="E90" s="37">
        <f ca="1">IFERROR(__xludf.DUMMYFUNCTION("""COMPUTED_VALUE"""),15)</f>
        <v>15</v>
      </c>
      <c r="F90" s="37">
        <f ca="1">IFERROR(__xludf.DUMMYFUNCTION("""COMPUTED_VALUE"""),8)</f>
        <v>8</v>
      </c>
      <c r="G90" s="37">
        <f ca="1">IFERROR(__xludf.DUMMYFUNCTION("""COMPUTED_VALUE"""),8)</f>
        <v>8</v>
      </c>
      <c r="H90" s="37">
        <f ca="1">IFERROR(__xludf.DUMMYFUNCTION("""COMPUTED_VALUE"""),3)</f>
        <v>3</v>
      </c>
      <c r="I90" s="37">
        <f ca="1">IFERROR(__xludf.DUMMYFUNCTION("""COMPUTED_VALUE"""),0)</f>
        <v>0</v>
      </c>
      <c r="J90" s="37">
        <f ca="1">IFERROR(__xludf.DUMMYFUNCTION("""COMPUTED_VALUE"""),12)</f>
        <v>12</v>
      </c>
      <c r="K90" s="38">
        <f ca="1">IFERROR(__xludf.DUMMYFUNCTION("""COMPUTED_VALUE"""),4)</f>
        <v>4</v>
      </c>
      <c r="L90" s="37">
        <f ca="1">IFERROR(__xludf.DUMMYFUNCTION("""COMPUTED_VALUE"""),1)</f>
        <v>1</v>
      </c>
      <c r="M90" s="37">
        <f ca="1">IFERROR(__xludf.DUMMYFUNCTION("""COMPUTED_VALUE"""),0)</f>
        <v>0</v>
      </c>
      <c r="N90" s="39">
        <f ca="1">IFERROR(__xludf.DUMMYFUNCTION("""COMPUTED_VALUE"""),23.29)</f>
        <v>23.29</v>
      </c>
      <c r="O90" s="40">
        <f ca="1">IFERROR(__xludf.DUMMYFUNCTION("""COMPUTED_VALUE"""),367.8)</f>
        <v>367.8</v>
      </c>
      <c r="P90" s="37">
        <f ca="1">IFERROR(__xludf.DUMMYFUNCTION("""COMPUTED_VALUE"""),2)</f>
        <v>2</v>
      </c>
      <c r="Q90" s="37">
        <f ca="1">IFERROR(__xludf.DUMMYFUNCTION("""COMPUTED_VALUE"""),3)</f>
        <v>3</v>
      </c>
      <c r="R90" s="37"/>
      <c r="S90" s="37"/>
      <c r="T90" s="37"/>
      <c r="U90" s="37"/>
      <c r="V90" s="37"/>
    </row>
    <row r="91" spans="1:22" x14ac:dyDescent="0.35">
      <c r="A91" s="37" t="str">
        <f ca="1">IFERROR(__xludf.DUMMYFUNCTION("""COMPUTED_VALUE"""),"5237,50")</f>
        <v>5237,50</v>
      </c>
      <c r="B91" s="37" t="str">
        <f ca="1">IFERROR(__xludf.DUMMYFUNCTION("""COMPUTED_VALUE"""),"Spherulitestone")</f>
        <v>Spherulitestone</v>
      </c>
      <c r="C91" s="37">
        <f ca="1">IFERROR(__xludf.DUMMYFUNCTION("""COMPUTED_VALUE"""),2)</f>
        <v>2</v>
      </c>
      <c r="D91" s="38">
        <f ca="1">IFERROR(__xludf.DUMMYFUNCTION("""COMPUTED_VALUE"""),47)</f>
        <v>47</v>
      </c>
      <c r="E91" s="37">
        <f ca="1">IFERROR(__xludf.DUMMYFUNCTION("""COMPUTED_VALUE"""),25)</f>
        <v>25</v>
      </c>
      <c r="F91" s="37">
        <f ca="1">IFERROR(__xludf.DUMMYFUNCTION("""COMPUTED_VALUE"""),8)</f>
        <v>8</v>
      </c>
      <c r="G91" s="37">
        <f ca="1">IFERROR(__xludf.DUMMYFUNCTION("""COMPUTED_VALUE"""),12)</f>
        <v>12</v>
      </c>
      <c r="H91" s="37">
        <f ca="1">IFERROR(__xludf.DUMMYFUNCTION("""COMPUTED_VALUE"""),3)</f>
        <v>3</v>
      </c>
      <c r="I91" s="37">
        <f ca="1">IFERROR(__xludf.DUMMYFUNCTION("""COMPUTED_VALUE"""),0)</f>
        <v>0</v>
      </c>
      <c r="J91" s="37">
        <f ca="1">IFERROR(__xludf.DUMMYFUNCTION("""COMPUTED_VALUE"""),6)</f>
        <v>6</v>
      </c>
      <c r="K91" s="38">
        <f ca="1">IFERROR(__xludf.DUMMYFUNCTION("""COMPUTED_VALUE"""),2)</f>
        <v>2</v>
      </c>
      <c r="L91" s="37">
        <f ca="1">IFERROR(__xludf.DUMMYFUNCTION("""COMPUTED_VALUE"""),0)</f>
        <v>0</v>
      </c>
      <c r="M91" s="37">
        <f ca="1">IFERROR(__xludf.DUMMYFUNCTION("""COMPUTED_VALUE"""),0)</f>
        <v>0</v>
      </c>
      <c r="N91" s="39">
        <f ca="1">IFERROR(__xludf.DUMMYFUNCTION("""COMPUTED_VALUE"""),5.4)</f>
        <v>5.4</v>
      </c>
      <c r="O91" s="40">
        <f ca="1">IFERROR(__xludf.DUMMYFUNCTION("""COMPUTED_VALUE"""),0.002)</f>
        <v>2E-3</v>
      </c>
      <c r="P91" s="37">
        <f ca="1">IFERROR(__xludf.DUMMYFUNCTION("""COMPUTED_VALUE"""),1)</f>
        <v>1</v>
      </c>
      <c r="Q91" s="37">
        <f ca="1">IFERROR(__xludf.DUMMYFUNCTION("""COMPUTED_VALUE"""),1)</f>
        <v>1</v>
      </c>
      <c r="R91" s="37"/>
      <c r="S91" s="37"/>
      <c r="T91" s="37"/>
      <c r="U91" s="37"/>
      <c r="V91" s="37"/>
    </row>
    <row r="92" spans="1:22" x14ac:dyDescent="0.35">
      <c r="A92" s="37" t="str">
        <f ca="1">IFERROR(__xludf.DUMMYFUNCTION("""COMPUTED_VALUE"""),"5283,50")</f>
        <v>5283,50</v>
      </c>
      <c r="B92" s="37" t="str">
        <f ca="1">IFERROR(__xludf.DUMMYFUNCTION("""COMPUTED_VALUE"""),"Mudstone")</f>
        <v>Mudstone</v>
      </c>
      <c r="C92" s="37">
        <f ca="1">IFERROR(__xludf.DUMMYFUNCTION("""COMPUTED_VALUE"""),3)</f>
        <v>3</v>
      </c>
      <c r="D92" s="38">
        <f ca="1">IFERROR(__xludf.DUMMYFUNCTION("""COMPUTED_VALUE"""),0)</f>
        <v>0</v>
      </c>
      <c r="E92" s="37">
        <f ca="1">IFERROR(__xludf.DUMMYFUNCTION("""COMPUTED_VALUE"""),2)</f>
        <v>2</v>
      </c>
      <c r="F92" s="37">
        <f ca="1">IFERROR(__xludf.DUMMYFUNCTION("""COMPUTED_VALUE"""),90)</f>
        <v>90</v>
      </c>
      <c r="G92" s="37">
        <f ca="1">IFERROR(__xludf.DUMMYFUNCTION("""COMPUTED_VALUE"""),5)</f>
        <v>5</v>
      </c>
      <c r="H92" s="37">
        <f ca="1">IFERROR(__xludf.DUMMYFUNCTION("""COMPUTED_VALUE"""),0)</f>
        <v>0</v>
      </c>
      <c r="I92" s="37">
        <f ca="1">IFERROR(__xludf.DUMMYFUNCTION("""COMPUTED_VALUE"""),1)</f>
        <v>1</v>
      </c>
      <c r="J92" s="37">
        <f ca="1">IFERROR(__xludf.DUMMYFUNCTION("""COMPUTED_VALUE"""),2)</f>
        <v>2</v>
      </c>
      <c r="K92" s="38">
        <f ca="1">IFERROR(__xludf.DUMMYFUNCTION("""COMPUTED_VALUE"""),1)</f>
        <v>1</v>
      </c>
      <c r="L92" s="37">
        <f ca="1">IFERROR(__xludf.DUMMYFUNCTION("""COMPUTED_VALUE"""),0)</f>
        <v>0</v>
      </c>
      <c r="M92" s="37">
        <f ca="1">IFERROR(__xludf.DUMMYFUNCTION("""COMPUTED_VALUE"""),0)</f>
        <v>0</v>
      </c>
      <c r="N92" s="39">
        <f ca="1">IFERROR(__xludf.DUMMYFUNCTION("""COMPUTED_VALUE"""),4.1)</f>
        <v>4.0999999999999996</v>
      </c>
      <c r="O92" s="40">
        <f ca="1">IFERROR(__xludf.DUMMYFUNCTION("""COMPUTED_VALUE"""),0.04)</f>
        <v>0.04</v>
      </c>
      <c r="P92" s="37">
        <f ca="1">IFERROR(__xludf.DUMMYFUNCTION("""COMPUTED_VALUE"""),1)</f>
        <v>1</v>
      </c>
      <c r="Q92" s="37">
        <f ca="1">IFERROR(__xludf.DUMMYFUNCTION("""COMPUTED_VALUE"""),1)</f>
        <v>1</v>
      </c>
      <c r="R92" s="37"/>
      <c r="S92" s="37"/>
      <c r="T92" s="37"/>
      <c r="U92" s="37"/>
      <c r="V92" s="37"/>
    </row>
    <row r="93" spans="1:22" x14ac:dyDescent="0.35">
      <c r="A93" s="37" t="str">
        <f ca="1">IFERROR(__xludf.DUMMYFUNCTION("""COMPUTED_VALUE"""),"5266,00")</f>
        <v>5266,00</v>
      </c>
      <c r="B93" s="37" t="str">
        <f ca="1">IFERROR(__xludf.DUMMYFUNCTION("""COMPUTED_VALUE"""),"Breccias")</f>
        <v>Breccias</v>
      </c>
      <c r="C93" s="37">
        <f ca="1">IFERROR(__xludf.DUMMYFUNCTION("""COMPUTED_VALUE"""),11)</f>
        <v>11</v>
      </c>
      <c r="D93" s="38">
        <f ca="1">IFERROR(__xludf.DUMMYFUNCTION("""COMPUTED_VALUE"""),0)</f>
        <v>0</v>
      </c>
      <c r="E93" s="37">
        <f ca="1">IFERROR(__xludf.DUMMYFUNCTION("""COMPUTED_VALUE"""),5)</f>
        <v>5</v>
      </c>
      <c r="F93" s="37">
        <f ca="1">IFERROR(__xludf.DUMMYFUNCTION("""COMPUTED_VALUE"""),85)</f>
        <v>85</v>
      </c>
      <c r="G93" s="37">
        <f ca="1">IFERROR(__xludf.DUMMYFUNCTION("""COMPUTED_VALUE"""),5)</f>
        <v>5</v>
      </c>
      <c r="H93" s="37">
        <f ca="1">IFERROR(__xludf.DUMMYFUNCTION("""COMPUTED_VALUE"""),3)</f>
        <v>3</v>
      </c>
      <c r="I93" s="37">
        <f ca="1">IFERROR(__xludf.DUMMYFUNCTION("""COMPUTED_VALUE"""),0)</f>
        <v>0</v>
      </c>
      <c r="J93" s="37">
        <f ca="1">IFERROR(__xludf.DUMMYFUNCTION("""COMPUTED_VALUE"""),4)</f>
        <v>4</v>
      </c>
      <c r="K93" s="38">
        <f ca="1">IFERROR(__xludf.DUMMYFUNCTION("""COMPUTED_VALUE"""),1)</f>
        <v>1</v>
      </c>
      <c r="L93" s="37">
        <f ca="1">IFERROR(__xludf.DUMMYFUNCTION("""COMPUTED_VALUE"""),1)</f>
        <v>1</v>
      </c>
      <c r="M93" s="37">
        <f ca="1">IFERROR(__xludf.DUMMYFUNCTION("""COMPUTED_VALUE"""),0)</f>
        <v>0</v>
      </c>
      <c r="N93" s="39">
        <f ca="1">IFERROR(__xludf.DUMMYFUNCTION("""COMPUTED_VALUE"""),14.29)</f>
        <v>14.29</v>
      </c>
      <c r="O93" s="40">
        <f ca="1">IFERROR(__xludf.DUMMYFUNCTION("""COMPUTED_VALUE"""),0.117)</f>
        <v>0.11700000000000001</v>
      </c>
      <c r="P93" s="37">
        <f ca="1">IFERROR(__xludf.DUMMYFUNCTION("""COMPUTED_VALUE"""),1)</f>
        <v>1</v>
      </c>
      <c r="Q93" s="37">
        <f ca="1">IFERROR(__xludf.DUMMYFUNCTION("""COMPUTED_VALUE"""),1)</f>
        <v>1</v>
      </c>
      <c r="R93" s="37"/>
      <c r="S93" s="37"/>
      <c r="T93" s="37"/>
      <c r="U93" s="37"/>
      <c r="V93" s="37"/>
    </row>
    <row r="94" spans="1:22" x14ac:dyDescent="0.35">
      <c r="A94" s="37" t="str">
        <f ca="1">IFERROR(__xludf.DUMMYFUNCTION("""COMPUTED_VALUE"""),"5352,00")</f>
        <v>5352,00</v>
      </c>
      <c r="B94" s="37" t="str">
        <f ca="1">IFERROR(__xludf.DUMMYFUNCTION("""COMPUTED_VALUE"""),"Mudstone")</f>
        <v>Mudstone</v>
      </c>
      <c r="C94" s="37">
        <f ca="1">IFERROR(__xludf.DUMMYFUNCTION("""COMPUTED_VALUE"""),3)</f>
        <v>3</v>
      </c>
      <c r="D94" s="38">
        <f ca="1">IFERROR(__xludf.DUMMYFUNCTION("""COMPUTED_VALUE"""),0)</f>
        <v>0</v>
      </c>
      <c r="E94" s="37">
        <f ca="1">IFERROR(__xludf.DUMMYFUNCTION("""COMPUTED_VALUE"""),1)</f>
        <v>1</v>
      </c>
      <c r="F94" s="37">
        <f ca="1">IFERROR(__xludf.DUMMYFUNCTION("""COMPUTED_VALUE"""),97)</f>
        <v>97</v>
      </c>
      <c r="G94" s="37">
        <f ca="1">IFERROR(__xludf.DUMMYFUNCTION("""COMPUTED_VALUE"""),2)</f>
        <v>2</v>
      </c>
      <c r="H94" s="37">
        <f ca="1">IFERROR(__xludf.DUMMYFUNCTION("""COMPUTED_VALUE"""),3)</f>
        <v>3</v>
      </c>
      <c r="I94" s="37">
        <f ca="1">IFERROR(__xludf.DUMMYFUNCTION("""COMPUTED_VALUE"""),0)</f>
        <v>0</v>
      </c>
      <c r="J94" s="37">
        <f ca="1">IFERROR(__xludf.DUMMYFUNCTION("""COMPUTED_VALUE"""),0)</f>
        <v>0</v>
      </c>
      <c r="K94" s="38">
        <f ca="1">IFERROR(__xludf.DUMMYFUNCTION("""COMPUTED_VALUE"""),0)</f>
        <v>0</v>
      </c>
      <c r="L94" s="37">
        <f ca="1">IFERROR(__xludf.DUMMYFUNCTION("""COMPUTED_VALUE"""),0)</f>
        <v>0</v>
      </c>
      <c r="M94" s="37">
        <f ca="1">IFERROR(__xludf.DUMMYFUNCTION("""COMPUTED_VALUE"""),0)</f>
        <v>0</v>
      </c>
      <c r="N94" s="39">
        <f ca="1">IFERROR(__xludf.DUMMYFUNCTION("""COMPUTED_VALUE"""),13.26)</f>
        <v>13.26</v>
      </c>
      <c r="O94" s="40">
        <f ca="1">IFERROR(__xludf.DUMMYFUNCTION("""COMPUTED_VALUE"""),0.013)</f>
        <v>1.2999999999999999E-2</v>
      </c>
      <c r="P94" s="37">
        <f ca="1">IFERROR(__xludf.DUMMYFUNCTION("""COMPUTED_VALUE"""),1)</f>
        <v>1</v>
      </c>
      <c r="Q94" s="37">
        <f ca="1">IFERROR(__xludf.DUMMYFUNCTION("""COMPUTED_VALUE"""),1)</f>
        <v>1</v>
      </c>
      <c r="R94" s="37"/>
      <c r="S94" s="37"/>
      <c r="T94" s="37"/>
      <c r="U94" s="37"/>
      <c r="V94" s="3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83"/>
  <sheetViews>
    <sheetView tabSelected="1" workbookViewId="0">
      <selection activeCell="S20" sqref="S20"/>
    </sheetView>
  </sheetViews>
  <sheetFormatPr defaultColWidth="14.453125" defaultRowHeight="15" customHeight="1" x14ac:dyDescent="0.35"/>
  <sheetData>
    <row r="1" spans="1:22" x14ac:dyDescent="0.35">
      <c r="A1" s="37" t="str">
        <f ca="1">IFERROR(__xludf.DUMMYFUNCTION("""COMPUTED_VALUE"""),"Depth (m)")</f>
        <v>Depth (m)</v>
      </c>
      <c r="B1" s="37" t="str">
        <f ca="1">IFERROR(__xludf.DUMMYFUNCTION("""COMPUTED_VALUE"""),"Lithology")</f>
        <v>Lithology</v>
      </c>
      <c r="C1" s="37" t="str">
        <f ca="1">IFERROR(__xludf.DUMMYFUNCTION("""COMPUTED_VALUE"""),"Class")</f>
        <v>Class</v>
      </c>
      <c r="D1" s="37" t="str">
        <f ca="1">IFERROR(__xludf.DUMMYFUNCTION("""COMPUTED_VALUE"""),"Other particles of the framework (spherulites, oolites, fascicular calcites, bioclasts...) (%)")</f>
        <v>Other particles of the framework (spherulites, oolites, fascicular calcites, bioclasts...) (%)</v>
      </c>
      <c r="E1" s="37" t="str">
        <f ca="1">IFERROR(__xludf.DUMMYFUNCTION("""COMPUTED_VALUE"""),"Cement (intercrystalline calcite and dolomite)  (%) ")</f>
        <v xml:space="preserve">Cement (intercrystalline calcite and dolomite)  (%) </v>
      </c>
      <c r="F1" s="37" t="str">
        <f ca="1">IFERROR(__xludf.DUMMYFUNCTION("""COMPUTED_VALUE"""),"Argila (%) ")</f>
        <v xml:space="preserve">Argila (%) </v>
      </c>
      <c r="G1" s="37" t="str">
        <f ca="1">IFERROR(__xludf.DUMMYFUNCTION("""COMPUTED_VALUE"""),"SiO2 (%) ")</f>
        <v xml:space="preserve">SiO2 (%) </v>
      </c>
      <c r="H1" s="37" t="str">
        <f ca="1">IFERROR(__xludf.DUMMYFUNCTION("""COMPUTED_VALUE"""),"Type contact between crystals")</f>
        <v>Type contact between crystals</v>
      </c>
      <c r="I1" s="37" t="str">
        <f ca="1">IFERROR(__xludf.DUMMYFUNCTION("""COMPUTED_VALUE"""),"Amalgamated framework ")</f>
        <v xml:space="preserve">Amalgamated framework </v>
      </c>
      <c r="J1" s="37" t="str">
        <f ca="1">IFERROR(__xludf.DUMMYFUNCTION("""COMPUTED_VALUE"""),"Pore intercrystalline (%)")</f>
        <v>Pore intercrystalline (%)</v>
      </c>
      <c r="K1" s="37" t="str">
        <f ca="1">IFERROR(__xludf.DUMMYFUNCTION("""COMPUTED_VALUE"""),"Poro intracristalino")</f>
        <v>Poro intracristalino</v>
      </c>
      <c r="L1" s="37" t="str">
        <f ca="1">IFERROR(__xludf.DUMMYFUNCTION("""COMPUTED_VALUE"""),"Occurrence of vug")</f>
        <v>Occurrence of vug</v>
      </c>
      <c r="M1" s="37" t="str">
        <f ca="1">IFERROR(__xludf.DUMMYFUNCTION("""COMPUTED_VALUE"""),"Pore Connections (throats)")</f>
        <v>Pore Connections (throats)</v>
      </c>
      <c r="N1" s="37" t="str">
        <f ca="1">IFERROR(__xludf.DUMMYFUNCTION("""COMPUTED_VALUE"""),"Laboratory porosity (%)")</f>
        <v>Laboratory porosity (%)</v>
      </c>
      <c r="O1" s="37" t="str">
        <f ca="1">IFERROR(__xludf.DUMMYFUNCTION("""COMPUTED_VALUE"""),"Laboratory permeability (mD)")</f>
        <v>Laboratory permeability (mD)</v>
      </c>
      <c r="P1" s="37" t="str">
        <f ca="1">IFERROR(__xludf.DUMMYFUNCTION("""COMPUTED_VALUE"""),"Facies")</f>
        <v>Facies</v>
      </c>
      <c r="Q1" s="37" t="str">
        <f ca="1">IFERROR(__xludf.DUMMYFUNCTION("""COMPUTED_VALUE"""),"Petrofacies")</f>
        <v>Petrofacies</v>
      </c>
      <c r="R1" s="37"/>
      <c r="S1" s="37"/>
      <c r="T1" s="37"/>
      <c r="U1" s="37"/>
      <c r="V1" s="37"/>
    </row>
    <row r="2" spans="1:22" x14ac:dyDescent="0.35">
      <c r="A2" s="37" t="str">
        <f ca="1">IFERROR(__xludf.DUMMYFUNCTION("""COMPUTED_VALUE"""),"5123")</f>
        <v>5123</v>
      </c>
      <c r="B2" s="37" t="str">
        <f ca="1">IFERROR(__xludf.DUMMYFUNCTION("""COMPUTED_VALUE"""),"Intraclastic packstone")</f>
        <v>Intraclastic packstone</v>
      </c>
      <c r="C2" s="37">
        <f ca="1">IFERROR(__xludf.DUMMYFUNCTION("""COMPUTED_VALUE"""),9)</f>
        <v>9</v>
      </c>
      <c r="D2" s="37">
        <f ca="1">IFERROR(__xludf.DUMMYFUNCTION("""COMPUTED_VALUE"""),71)</f>
        <v>71</v>
      </c>
      <c r="E2" s="37">
        <f ca="1">IFERROR(__xludf.DUMMYFUNCTION("""COMPUTED_VALUE"""),10)</f>
        <v>10</v>
      </c>
      <c r="F2" s="37">
        <f ca="1">IFERROR(__xludf.DUMMYFUNCTION("""COMPUTED_VALUE"""),3)</f>
        <v>3</v>
      </c>
      <c r="G2" s="37">
        <f ca="1">IFERROR(__xludf.DUMMYFUNCTION("""COMPUTED_VALUE"""),2)</f>
        <v>2</v>
      </c>
      <c r="H2" s="37">
        <f ca="1">IFERROR(__xludf.DUMMYFUNCTION("""COMPUTED_VALUE"""),4)</f>
        <v>4</v>
      </c>
      <c r="I2" s="37">
        <f ca="1">IFERROR(__xludf.DUMMYFUNCTION("""COMPUTED_VALUE"""),0)</f>
        <v>0</v>
      </c>
      <c r="J2" s="37">
        <f ca="1">IFERROR(__xludf.DUMMYFUNCTION("""COMPUTED_VALUE"""),12)</f>
        <v>12</v>
      </c>
      <c r="K2" s="37">
        <f ca="1">IFERROR(__xludf.DUMMYFUNCTION("""COMPUTED_VALUE"""),2)</f>
        <v>2</v>
      </c>
      <c r="L2" s="37">
        <f ca="1">IFERROR(__xludf.DUMMYFUNCTION("""COMPUTED_VALUE"""),0)</f>
        <v>0</v>
      </c>
      <c r="M2" s="37">
        <f ca="1">IFERROR(__xludf.DUMMYFUNCTION("""COMPUTED_VALUE"""),1)</f>
        <v>1</v>
      </c>
      <c r="N2" s="39">
        <f ca="1">IFERROR(__xludf.DUMMYFUNCTION("""COMPUTED_VALUE"""),15.1)</f>
        <v>15.1</v>
      </c>
      <c r="O2" s="40">
        <f ca="1">IFERROR(__xludf.DUMMYFUNCTION("""COMPUTED_VALUE"""),125)</f>
        <v>125</v>
      </c>
      <c r="P2" s="37">
        <f ca="1">IFERROR(__xludf.DUMMYFUNCTION("""COMPUTED_VALUE"""),2)</f>
        <v>2</v>
      </c>
      <c r="Q2" s="37">
        <f ca="1">IFERROR(__xludf.DUMMYFUNCTION("""COMPUTED_VALUE"""),3)</f>
        <v>3</v>
      </c>
      <c r="R2" s="37"/>
      <c r="S2" s="37"/>
      <c r="T2" s="37"/>
      <c r="U2" s="37"/>
      <c r="V2" s="37"/>
    </row>
    <row r="3" spans="1:22" x14ac:dyDescent="0.35">
      <c r="A3" s="37" t="str">
        <f ca="1">IFERROR(__xludf.DUMMYFUNCTION("""COMPUTED_VALUE"""),"5129")</f>
        <v>5129</v>
      </c>
      <c r="B3" s="37" t="str">
        <f ca="1">IFERROR(__xludf.DUMMYFUNCTION("""COMPUTED_VALUE"""),"Mudstone")</f>
        <v>Mudstone</v>
      </c>
      <c r="C3" s="37">
        <f ca="1">IFERROR(__xludf.DUMMYFUNCTION("""COMPUTED_VALUE"""),3)</f>
        <v>3</v>
      </c>
      <c r="D3" s="37">
        <f ca="1">IFERROR(__xludf.DUMMYFUNCTION("""COMPUTED_VALUE"""),0)</f>
        <v>0</v>
      </c>
      <c r="E3" s="37">
        <f ca="1">IFERROR(__xludf.DUMMYFUNCTION("""COMPUTED_VALUE"""),45)</f>
        <v>45</v>
      </c>
      <c r="F3" s="37">
        <f ca="1">IFERROR(__xludf.DUMMYFUNCTION("""COMPUTED_VALUE"""),25)</f>
        <v>25</v>
      </c>
      <c r="G3" s="37">
        <f ca="1">IFERROR(__xludf.DUMMYFUNCTION("""COMPUTED_VALUE"""),10)</f>
        <v>10</v>
      </c>
      <c r="H3" s="37">
        <f ca="1">IFERROR(__xludf.DUMMYFUNCTION("""COMPUTED_VALUE"""),0)</f>
        <v>0</v>
      </c>
      <c r="I3" s="37">
        <f ca="1">IFERROR(__xludf.DUMMYFUNCTION("""COMPUTED_VALUE"""),1)</f>
        <v>1</v>
      </c>
      <c r="J3" s="37">
        <f ca="1">IFERROR(__xludf.DUMMYFUNCTION("""COMPUTED_VALUE"""),15)</f>
        <v>15</v>
      </c>
      <c r="K3" s="37">
        <f ca="1">IFERROR(__xludf.DUMMYFUNCTION("""COMPUTED_VALUE"""),5)</f>
        <v>5</v>
      </c>
      <c r="L3" s="37">
        <f ca="1">IFERROR(__xludf.DUMMYFUNCTION("""COMPUTED_VALUE"""),0)</f>
        <v>0</v>
      </c>
      <c r="M3" s="37">
        <f ca="1">IFERROR(__xludf.DUMMYFUNCTION("""COMPUTED_VALUE"""),1)</f>
        <v>1</v>
      </c>
      <c r="N3" s="39">
        <f ca="1">IFERROR(__xludf.DUMMYFUNCTION("""COMPUTED_VALUE"""),11.5)</f>
        <v>11.5</v>
      </c>
      <c r="O3" s="40">
        <f ca="1">IFERROR(__xludf.DUMMYFUNCTION("""COMPUTED_VALUE"""),115)</f>
        <v>115</v>
      </c>
      <c r="P3" s="37">
        <f ca="1">IFERROR(__xludf.DUMMYFUNCTION("""COMPUTED_VALUE"""),1)</f>
        <v>1</v>
      </c>
      <c r="Q3" s="37">
        <f ca="1">IFERROR(__xludf.DUMMYFUNCTION("""COMPUTED_VALUE"""),3)</f>
        <v>3</v>
      </c>
      <c r="R3" s="37"/>
      <c r="S3" s="37"/>
      <c r="T3" s="37"/>
      <c r="U3" s="37"/>
      <c r="V3" s="37"/>
    </row>
    <row r="4" spans="1:22" x14ac:dyDescent="0.35">
      <c r="A4" s="37" t="str">
        <f ca="1">IFERROR(__xludf.DUMMYFUNCTION("""COMPUTED_VALUE"""),"5130")</f>
        <v>5130</v>
      </c>
      <c r="B4" s="37" t="str">
        <f ca="1">IFERROR(__xludf.DUMMYFUNCTION("""COMPUTED_VALUE"""),"Mudstone")</f>
        <v>Mudstone</v>
      </c>
      <c r="C4" s="37">
        <f ca="1">IFERROR(__xludf.DUMMYFUNCTION("""COMPUTED_VALUE"""),3)</f>
        <v>3</v>
      </c>
      <c r="D4" s="37">
        <f ca="1">IFERROR(__xludf.DUMMYFUNCTION("""COMPUTED_VALUE"""),0)</f>
        <v>0</v>
      </c>
      <c r="E4" s="37">
        <f ca="1">IFERROR(__xludf.DUMMYFUNCTION("""COMPUTED_VALUE"""),60)</f>
        <v>60</v>
      </c>
      <c r="F4" s="37">
        <f ca="1">IFERROR(__xludf.DUMMYFUNCTION("""COMPUTED_VALUE"""),20)</f>
        <v>20</v>
      </c>
      <c r="G4" s="37">
        <f ca="1">IFERROR(__xludf.DUMMYFUNCTION("""COMPUTED_VALUE"""),8)</f>
        <v>8</v>
      </c>
      <c r="H4" s="37">
        <f ca="1">IFERROR(__xludf.DUMMYFUNCTION("""COMPUTED_VALUE"""),0)</f>
        <v>0</v>
      </c>
      <c r="I4" s="37">
        <f ca="1">IFERROR(__xludf.DUMMYFUNCTION("""COMPUTED_VALUE"""),1)</f>
        <v>1</v>
      </c>
      <c r="J4" s="37">
        <f ca="1">IFERROR(__xludf.DUMMYFUNCTION("""COMPUTED_VALUE"""),10)</f>
        <v>10</v>
      </c>
      <c r="K4" s="37">
        <f ca="1">IFERROR(__xludf.DUMMYFUNCTION("""COMPUTED_VALUE"""),2)</f>
        <v>2</v>
      </c>
      <c r="L4" s="37">
        <f ca="1">IFERROR(__xludf.DUMMYFUNCTION("""COMPUTED_VALUE"""),0)</f>
        <v>0</v>
      </c>
      <c r="M4" s="37">
        <f ca="1">IFERROR(__xludf.DUMMYFUNCTION("""COMPUTED_VALUE"""),0)</f>
        <v>0</v>
      </c>
      <c r="N4" s="39">
        <f ca="1">IFERROR(__xludf.DUMMYFUNCTION("""COMPUTED_VALUE"""),8.1)</f>
        <v>8.1</v>
      </c>
      <c r="O4" s="40">
        <f ca="1">IFERROR(__xludf.DUMMYFUNCTION("""COMPUTED_VALUE"""),41.3)</f>
        <v>41.3</v>
      </c>
      <c r="P4" s="37">
        <f ca="1">IFERROR(__xludf.DUMMYFUNCTION("""COMPUTED_VALUE"""),1)</f>
        <v>1</v>
      </c>
      <c r="Q4" s="37">
        <f ca="1">IFERROR(__xludf.DUMMYFUNCTION("""COMPUTED_VALUE"""),1)</f>
        <v>1</v>
      </c>
      <c r="R4" s="37"/>
      <c r="S4" s="37"/>
      <c r="T4" s="37"/>
      <c r="U4" s="37"/>
      <c r="V4" s="37"/>
    </row>
    <row r="5" spans="1:22" x14ac:dyDescent="0.35">
      <c r="A5" s="37" t="str">
        <f ca="1">IFERROR(__xludf.DUMMYFUNCTION("""COMPUTED_VALUE"""),"5135")</f>
        <v>5135</v>
      </c>
      <c r="B5" s="37" t="str">
        <f ca="1">IFERROR(__xludf.DUMMYFUNCTION("""COMPUTED_VALUE"""),"Mudstone")</f>
        <v>Mudstone</v>
      </c>
      <c r="C5" s="37">
        <f ca="1">IFERROR(__xludf.DUMMYFUNCTION("""COMPUTED_VALUE"""),3)</f>
        <v>3</v>
      </c>
      <c r="D5" s="37">
        <f ca="1">IFERROR(__xludf.DUMMYFUNCTION("""COMPUTED_VALUE"""),0)</f>
        <v>0</v>
      </c>
      <c r="E5" s="37">
        <f ca="1">IFERROR(__xludf.DUMMYFUNCTION("""COMPUTED_VALUE"""),60)</f>
        <v>60</v>
      </c>
      <c r="F5" s="37">
        <f ca="1">IFERROR(__xludf.DUMMYFUNCTION("""COMPUTED_VALUE"""),30)</f>
        <v>30</v>
      </c>
      <c r="G5" s="37">
        <f ca="1">IFERROR(__xludf.DUMMYFUNCTION("""COMPUTED_VALUE"""),2)</f>
        <v>2</v>
      </c>
      <c r="H5" s="37">
        <f ca="1">IFERROR(__xludf.DUMMYFUNCTION("""COMPUTED_VALUE"""),0)</f>
        <v>0</v>
      </c>
      <c r="I5" s="37">
        <f ca="1">IFERROR(__xludf.DUMMYFUNCTION("""COMPUTED_VALUE"""),1)</f>
        <v>1</v>
      </c>
      <c r="J5" s="37">
        <f ca="1">IFERROR(__xludf.DUMMYFUNCTION("""COMPUTED_VALUE"""),6)</f>
        <v>6</v>
      </c>
      <c r="K5" s="37">
        <f ca="1">IFERROR(__xludf.DUMMYFUNCTION("""COMPUTED_VALUE"""),2)</f>
        <v>2</v>
      </c>
      <c r="L5" s="37">
        <f ca="1">IFERROR(__xludf.DUMMYFUNCTION("""COMPUTED_VALUE"""),0)</f>
        <v>0</v>
      </c>
      <c r="M5" s="37">
        <f ca="1">IFERROR(__xludf.DUMMYFUNCTION("""COMPUTED_VALUE"""),0)</f>
        <v>0</v>
      </c>
      <c r="N5" s="39">
        <f ca="1">IFERROR(__xludf.DUMMYFUNCTION("""COMPUTED_VALUE"""),4.9)</f>
        <v>4.9000000000000004</v>
      </c>
      <c r="O5" s="40">
        <f ca="1">IFERROR(__xludf.DUMMYFUNCTION("""COMPUTED_VALUE"""),0.3)</f>
        <v>0.3</v>
      </c>
      <c r="P5" s="37">
        <f ca="1">IFERROR(__xludf.DUMMYFUNCTION("""COMPUTED_VALUE"""),1)</f>
        <v>1</v>
      </c>
      <c r="Q5" s="37">
        <f ca="1">IFERROR(__xludf.DUMMYFUNCTION("""COMPUTED_VALUE"""),1)</f>
        <v>1</v>
      </c>
      <c r="R5" s="37"/>
      <c r="S5" s="37"/>
      <c r="T5" s="37"/>
      <c r="U5" s="37"/>
      <c r="V5" s="37"/>
    </row>
    <row r="6" spans="1:22" x14ac:dyDescent="0.35">
      <c r="A6" s="37" t="str">
        <f ca="1">IFERROR(__xludf.DUMMYFUNCTION("""COMPUTED_VALUE"""),"5178")</f>
        <v>5178</v>
      </c>
      <c r="B6" s="37" t="str">
        <f ca="1">IFERROR(__xludf.DUMMYFUNCTION("""COMPUTED_VALUE"""),"Intraclastic rudstone")</f>
        <v>Intraclastic rudstone</v>
      </c>
      <c r="C6" s="37">
        <f ca="1">IFERROR(__xludf.DUMMYFUNCTION("""COMPUTED_VALUE"""),10)</f>
        <v>10</v>
      </c>
      <c r="D6" s="37">
        <f ca="1">IFERROR(__xludf.DUMMYFUNCTION("""COMPUTED_VALUE"""),47)</f>
        <v>47</v>
      </c>
      <c r="E6" s="37">
        <f ca="1">IFERROR(__xludf.DUMMYFUNCTION("""COMPUTED_VALUE"""),40)</f>
        <v>40</v>
      </c>
      <c r="F6" s="37">
        <f ca="1">IFERROR(__xludf.DUMMYFUNCTION("""COMPUTED_VALUE"""),5)</f>
        <v>5</v>
      </c>
      <c r="G6" s="37">
        <f ca="1">IFERROR(__xludf.DUMMYFUNCTION("""COMPUTED_VALUE"""),0)</f>
        <v>0</v>
      </c>
      <c r="H6" s="37">
        <f ca="1">IFERROR(__xludf.DUMMYFUNCTION("""COMPUTED_VALUE"""),4)</f>
        <v>4</v>
      </c>
      <c r="I6" s="37">
        <f ca="1">IFERROR(__xludf.DUMMYFUNCTION("""COMPUTED_VALUE"""),1)</f>
        <v>1</v>
      </c>
      <c r="J6" s="37">
        <f ca="1">IFERROR(__xludf.DUMMYFUNCTION("""COMPUTED_VALUE"""),8)</f>
        <v>8</v>
      </c>
      <c r="K6" s="37">
        <f ca="1">IFERROR(__xludf.DUMMYFUNCTION("""COMPUTED_VALUE"""),0)</f>
        <v>0</v>
      </c>
      <c r="L6" s="37">
        <f ca="1">IFERROR(__xludf.DUMMYFUNCTION("""COMPUTED_VALUE"""),0)</f>
        <v>0</v>
      </c>
      <c r="M6" s="37">
        <f ca="1">IFERROR(__xludf.DUMMYFUNCTION("""COMPUTED_VALUE"""),0)</f>
        <v>0</v>
      </c>
      <c r="N6" s="39">
        <f ca="1">IFERROR(__xludf.DUMMYFUNCTION("""COMPUTED_VALUE"""),6.8)</f>
        <v>6.8</v>
      </c>
      <c r="O6" s="40">
        <f ca="1">IFERROR(__xludf.DUMMYFUNCTION("""COMPUTED_VALUE"""),1.79)</f>
        <v>1.79</v>
      </c>
      <c r="P6" s="37">
        <f ca="1">IFERROR(__xludf.DUMMYFUNCTION("""COMPUTED_VALUE"""),2)</f>
        <v>2</v>
      </c>
      <c r="Q6" s="37">
        <f ca="1">IFERROR(__xludf.DUMMYFUNCTION("""COMPUTED_VALUE"""),1)</f>
        <v>1</v>
      </c>
      <c r="R6" s="37"/>
      <c r="S6" s="37"/>
      <c r="T6" s="37"/>
      <c r="U6" s="37"/>
      <c r="V6" s="37"/>
    </row>
    <row r="7" spans="1:22" x14ac:dyDescent="0.35">
      <c r="A7" s="37" t="str">
        <f ca="1">IFERROR(__xludf.DUMMYFUNCTION("""COMPUTED_VALUE"""),"5180")</f>
        <v>5180</v>
      </c>
      <c r="B7" s="37" t="str">
        <f ca="1">IFERROR(__xludf.DUMMYFUNCTION("""COMPUTED_VALUE"""),"Intraclastic rudstone")</f>
        <v>Intraclastic rudstone</v>
      </c>
      <c r="C7" s="37">
        <f ca="1">IFERROR(__xludf.DUMMYFUNCTION("""COMPUTED_VALUE"""),10)</f>
        <v>10</v>
      </c>
      <c r="D7" s="37">
        <f ca="1">IFERROR(__xludf.DUMMYFUNCTION("""COMPUTED_VALUE"""),55)</f>
        <v>55</v>
      </c>
      <c r="E7" s="37">
        <f ca="1">IFERROR(__xludf.DUMMYFUNCTION("""COMPUTED_VALUE"""),20)</f>
        <v>20</v>
      </c>
      <c r="F7" s="37">
        <f ca="1">IFERROR(__xludf.DUMMYFUNCTION("""COMPUTED_VALUE"""),6)</f>
        <v>6</v>
      </c>
      <c r="G7" s="37">
        <f ca="1">IFERROR(__xludf.DUMMYFUNCTION("""COMPUTED_VALUE"""),5)</f>
        <v>5</v>
      </c>
      <c r="H7" s="37">
        <f ca="1">IFERROR(__xludf.DUMMYFUNCTION("""COMPUTED_VALUE"""),0)</f>
        <v>0</v>
      </c>
      <c r="I7" s="37">
        <f ca="1">IFERROR(__xludf.DUMMYFUNCTION("""COMPUTED_VALUE"""),1)</f>
        <v>1</v>
      </c>
      <c r="J7" s="37">
        <f ca="1">IFERROR(__xludf.DUMMYFUNCTION("""COMPUTED_VALUE"""),12)</f>
        <v>12</v>
      </c>
      <c r="K7" s="37">
        <f ca="1">IFERROR(__xludf.DUMMYFUNCTION("""COMPUTED_VALUE"""),2)</f>
        <v>2</v>
      </c>
      <c r="L7" s="37">
        <f ca="1">IFERROR(__xludf.DUMMYFUNCTION("""COMPUTED_VALUE"""),0)</f>
        <v>0</v>
      </c>
      <c r="M7" s="37">
        <f ca="1">IFERROR(__xludf.DUMMYFUNCTION("""COMPUTED_VALUE"""),0)</f>
        <v>0</v>
      </c>
      <c r="N7" s="39">
        <f ca="1">IFERROR(__xludf.DUMMYFUNCTION("""COMPUTED_VALUE"""),9.2)</f>
        <v>9.1999999999999993</v>
      </c>
      <c r="O7" s="40">
        <f ca="1">IFERROR(__xludf.DUMMYFUNCTION("""COMPUTED_VALUE"""),3.6)</f>
        <v>3.6</v>
      </c>
      <c r="P7" s="37">
        <f ca="1">IFERROR(__xludf.DUMMYFUNCTION("""COMPUTED_VALUE"""),2)</f>
        <v>2</v>
      </c>
      <c r="Q7" s="37">
        <f ca="1">IFERROR(__xludf.DUMMYFUNCTION("""COMPUTED_VALUE"""),1)</f>
        <v>1</v>
      </c>
      <c r="R7" s="37"/>
      <c r="S7" s="37"/>
      <c r="T7" s="37"/>
      <c r="U7" s="37"/>
      <c r="V7" s="37"/>
    </row>
    <row r="8" spans="1:22" x14ac:dyDescent="0.35">
      <c r="A8" s="37" t="str">
        <f ca="1">IFERROR(__xludf.DUMMYFUNCTION("""COMPUTED_VALUE"""),"5183")</f>
        <v>5183</v>
      </c>
      <c r="B8" s="37" t="str">
        <f ca="1">IFERROR(__xludf.DUMMYFUNCTION("""COMPUTED_VALUE"""),"Shrubstone")</f>
        <v>Shrubstone</v>
      </c>
      <c r="C8" s="37">
        <f ca="1">IFERROR(__xludf.DUMMYFUNCTION("""COMPUTED_VALUE"""),1)</f>
        <v>1</v>
      </c>
      <c r="D8" s="37">
        <f ca="1">IFERROR(__xludf.DUMMYFUNCTION("""COMPUTED_VALUE"""),81)</f>
        <v>81</v>
      </c>
      <c r="E8" s="37">
        <f ca="1">IFERROR(__xludf.DUMMYFUNCTION("""COMPUTED_VALUE"""),5)</f>
        <v>5</v>
      </c>
      <c r="F8" s="37">
        <f ca="1">IFERROR(__xludf.DUMMYFUNCTION("""COMPUTED_VALUE"""),0)</f>
        <v>0</v>
      </c>
      <c r="G8" s="37">
        <f ca="1">IFERROR(__xludf.DUMMYFUNCTION("""COMPUTED_VALUE"""),2)</f>
        <v>2</v>
      </c>
      <c r="H8" s="37">
        <f ca="1">IFERROR(__xludf.DUMMYFUNCTION("""COMPUTED_VALUE"""),0)</f>
        <v>0</v>
      </c>
      <c r="I8" s="37">
        <f ca="1">IFERROR(__xludf.DUMMYFUNCTION("""COMPUTED_VALUE"""),1)</f>
        <v>1</v>
      </c>
      <c r="J8" s="37">
        <f ca="1">IFERROR(__xludf.DUMMYFUNCTION("""COMPUTED_VALUE"""),8)</f>
        <v>8</v>
      </c>
      <c r="K8" s="37">
        <f ca="1">IFERROR(__xludf.DUMMYFUNCTION("""COMPUTED_VALUE"""),4)</f>
        <v>4</v>
      </c>
      <c r="L8" s="37">
        <f ca="1">IFERROR(__xludf.DUMMYFUNCTION("""COMPUTED_VALUE"""),0)</f>
        <v>0</v>
      </c>
      <c r="M8" s="37">
        <f ca="1">IFERROR(__xludf.DUMMYFUNCTION("""COMPUTED_VALUE"""),0)</f>
        <v>0</v>
      </c>
      <c r="N8" s="39">
        <f ca="1">IFERROR(__xludf.DUMMYFUNCTION("""COMPUTED_VALUE"""),13.5)</f>
        <v>13.5</v>
      </c>
      <c r="O8" s="40">
        <f ca="1">IFERROR(__xludf.DUMMYFUNCTION("""COMPUTED_VALUE"""),45.7)</f>
        <v>45.7</v>
      </c>
      <c r="P8" s="37">
        <f ca="1">IFERROR(__xludf.DUMMYFUNCTION("""COMPUTED_VALUE"""),1)</f>
        <v>1</v>
      </c>
      <c r="Q8" s="37">
        <f ca="1">IFERROR(__xludf.DUMMYFUNCTION("""COMPUTED_VALUE"""),1)</f>
        <v>1</v>
      </c>
      <c r="R8" s="37"/>
      <c r="S8" s="37"/>
      <c r="T8" s="37"/>
      <c r="U8" s="37"/>
      <c r="V8" s="37"/>
    </row>
    <row r="9" spans="1:22" x14ac:dyDescent="0.35">
      <c r="A9" s="37" t="str">
        <f ca="1">IFERROR(__xludf.DUMMYFUNCTION("""COMPUTED_VALUE"""),"5185")</f>
        <v>5185</v>
      </c>
      <c r="B9" s="37" t="str">
        <f ca="1">IFERROR(__xludf.DUMMYFUNCTION("""COMPUTED_VALUE"""),"Shrubstone")</f>
        <v>Shrubstone</v>
      </c>
      <c r="C9" s="37">
        <f ca="1">IFERROR(__xludf.DUMMYFUNCTION("""COMPUTED_VALUE"""),1)</f>
        <v>1</v>
      </c>
      <c r="D9" s="37">
        <f ca="1">IFERROR(__xludf.DUMMYFUNCTION("""COMPUTED_VALUE"""),79)</f>
        <v>79</v>
      </c>
      <c r="E9" s="37">
        <f ca="1">IFERROR(__xludf.DUMMYFUNCTION("""COMPUTED_VALUE"""),0)</f>
        <v>0</v>
      </c>
      <c r="F9" s="37">
        <f ca="1">IFERROR(__xludf.DUMMYFUNCTION("""COMPUTED_VALUE"""),0)</f>
        <v>0</v>
      </c>
      <c r="G9" s="37">
        <f ca="1">IFERROR(__xludf.DUMMYFUNCTION("""COMPUTED_VALUE"""),5)</f>
        <v>5</v>
      </c>
      <c r="H9" s="37">
        <f ca="1">IFERROR(__xludf.DUMMYFUNCTION("""COMPUTED_VALUE"""),0)</f>
        <v>0</v>
      </c>
      <c r="I9" s="37">
        <f ca="1">IFERROR(__xludf.DUMMYFUNCTION("""COMPUTED_VALUE"""),1)</f>
        <v>1</v>
      </c>
      <c r="J9" s="37">
        <f ca="1">IFERROR(__xludf.DUMMYFUNCTION("""COMPUTED_VALUE"""),13)</f>
        <v>13</v>
      </c>
      <c r="K9" s="37">
        <f ca="1">IFERROR(__xludf.DUMMYFUNCTION("""COMPUTED_VALUE"""),3)</f>
        <v>3</v>
      </c>
      <c r="L9" s="37">
        <f ca="1">IFERROR(__xludf.DUMMYFUNCTION("""COMPUTED_VALUE"""),0)</f>
        <v>0</v>
      </c>
      <c r="M9" s="37">
        <f ca="1">IFERROR(__xludf.DUMMYFUNCTION("""COMPUTED_VALUE"""),0)</f>
        <v>0</v>
      </c>
      <c r="N9" s="39">
        <f ca="1">IFERROR(__xludf.DUMMYFUNCTION("""COMPUTED_VALUE"""),12.8)</f>
        <v>12.8</v>
      </c>
      <c r="O9" s="40">
        <f ca="1">IFERROR(__xludf.DUMMYFUNCTION("""COMPUTED_VALUE"""),66.1)</f>
        <v>66.099999999999994</v>
      </c>
      <c r="P9" s="37">
        <f ca="1">IFERROR(__xludf.DUMMYFUNCTION("""COMPUTED_VALUE"""),1)</f>
        <v>1</v>
      </c>
      <c r="Q9" s="37">
        <f ca="1">IFERROR(__xludf.DUMMYFUNCTION("""COMPUTED_VALUE"""),2)</f>
        <v>2</v>
      </c>
      <c r="R9" s="37"/>
      <c r="S9" s="37"/>
      <c r="T9" s="37"/>
      <c r="U9" s="37"/>
      <c r="V9" s="37"/>
    </row>
    <row r="10" spans="1:22" x14ac:dyDescent="0.35">
      <c r="A10" s="37" t="str">
        <f ca="1">IFERROR(__xludf.DUMMYFUNCTION("""COMPUTED_VALUE"""),"5195")</f>
        <v>5195</v>
      </c>
      <c r="B10" s="37" t="str">
        <f ca="1">IFERROR(__xludf.DUMMYFUNCTION("""COMPUTED_VALUE"""),"Intraclastic packstone")</f>
        <v>Intraclastic packstone</v>
      </c>
      <c r="C10" s="37">
        <f ca="1">IFERROR(__xludf.DUMMYFUNCTION("""COMPUTED_VALUE"""),9)</f>
        <v>9</v>
      </c>
      <c r="D10" s="37">
        <f ca="1">IFERROR(__xludf.DUMMYFUNCTION("""COMPUTED_VALUE"""),72)</f>
        <v>72</v>
      </c>
      <c r="E10" s="37">
        <f ca="1">IFERROR(__xludf.DUMMYFUNCTION("""COMPUTED_VALUE"""),10)</f>
        <v>10</v>
      </c>
      <c r="F10" s="37">
        <f ca="1">IFERROR(__xludf.DUMMYFUNCTION("""COMPUTED_VALUE"""),2)</f>
        <v>2</v>
      </c>
      <c r="G10" s="37">
        <f ca="1">IFERROR(__xludf.DUMMYFUNCTION("""COMPUTED_VALUE"""),8)</f>
        <v>8</v>
      </c>
      <c r="H10" s="37">
        <f ca="1">IFERROR(__xludf.DUMMYFUNCTION("""COMPUTED_VALUE"""),1)</f>
        <v>1</v>
      </c>
      <c r="I10" s="37">
        <f ca="1">IFERROR(__xludf.DUMMYFUNCTION("""COMPUTED_VALUE"""),1)</f>
        <v>1</v>
      </c>
      <c r="J10" s="37">
        <f ca="1">IFERROR(__xludf.DUMMYFUNCTION("""COMPUTED_VALUE"""),3)</f>
        <v>3</v>
      </c>
      <c r="K10" s="37">
        <f ca="1">IFERROR(__xludf.DUMMYFUNCTION("""COMPUTED_VALUE"""),5)</f>
        <v>5</v>
      </c>
      <c r="L10" s="37">
        <f ca="1">IFERROR(__xludf.DUMMYFUNCTION("""COMPUTED_VALUE"""),0)</f>
        <v>0</v>
      </c>
      <c r="M10" s="37">
        <f ca="1">IFERROR(__xludf.DUMMYFUNCTION("""COMPUTED_VALUE"""),0)</f>
        <v>0</v>
      </c>
      <c r="N10" s="39">
        <f ca="1">IFERROR(__xludf.DUMMYFUNCTION("""COMPUTED_VALUE"""),12.2)</f>
        <v>12.2</v>
      </c>
      <c r="O10" s="40">
        <f ca="1">IFERROR(__xludf.DUMMYFUNCTION("""COMPUTED_VALUE"""),11.2)</f>
        <v>11.2</v>
      </c>
      <c r="P10" s="37">
        <f ca="1">IFERROR(__xludf.DUMMYFUNCTION("""COMPUTED_VALUE"""),2)</f>
        <v>2</v>
      </c>
      <c r="Q10" s="37">
        <f ca="1">IFERROR(__xludf.DUMMYFUNCTION("""COMPUTED_VALUE"""),1)</f>
        <v>1</v>
      </c>
      <c r="R10" s="37"/>
      <c r="S10" s="37"/>
      <c r="T10" s="37"/>
      <c r="U10" s="37"/>
      <c r="V10" s="37"/>
    </row>
    <row r="11" spans="1:22" x14ac:dyDescent="0.35">
      <c r="A11" s="37" t="str">
        <f ca="1">IFERROR(__xludf.DUMMYFUNCTION("""COMPUTED_VALUE"""),"5197")</f>
        <v>5197</v>
      </c>
      <c r="B11" s="37" t="str">
        <f ca="1">IFERROR(__xludf.DUMMYFUNCTION("""COMPUTED_VALUE"""),"Spherulitestone")</f>
        <v>Spherulitestone</v>
      </c>
      <c r="C11" s="37">
        <f ca="1">IFERROR(__xludf.DUMMYFUNCTION("""COMPUTED_VALUE"""),2)</f>
        <v>2</v>
      </c>
      <c r="D11" s="37">
        <f ca="1">IFERROR(__xludf.DUMMYFUNCTION("""COMPUTED_VALUE"""),31)</f>
        <v>31</v>
      </c>
      <c r="E11" s="37">
        <f ca="1">IFERROR(__xludf.DUMMYFUNCTION("""COMPUTED_VALUE"""),40)</f>
        <v>40</v>
      </c>
      <c r="F11" s="37">
        <f ca="1">IFERROR(__xludf.DUMMYFUNCTION("""COMPUTED_VALUE"""),8)</f>
        <v>8</v>
      </c>
      <c r="G11" s="37">
        <f ca="1">IFERROR(__xludf.DUMMYFUNCTION("""COMPUTED_VALUE"""),3)</f>
        <v>3</v>
      </c>
      <c r="H11" s="37">
        <f ca="1">IFERROR(__xludf.DUMMYFUNCTION("""COMPUTED_VALUE"""),5)</f>
        <v>5</v>
      </c>
      <c r="I11" s="37">
        <f ca="1">IFERROR(__xludf.DUMMYFUNCTION("""COMPUTED_VALUE"""),0)</f>
        <v>0</v>
      </c>
      <c r="J11" s="37">
        <f ca="1">IFERROR(__xludf.DUMMYFUNCTION("""COMPUTED_VALUE"""),16)</f>
        <v>16</v>
      </c>
      <c r="K11" s="37">
        <f ca="1">IFERROR(__xludf.DUMMYFUNCTION("""COMPUTED_VALUE"""),2)</f>
        <v>2</v>
      </c>
      <c r="L11" s="37">
        <f ca="1">IFERROR(__xludf.DUMMYFUNCTION("""COMPUTED_VALUE"""),1)</f>
        <v>1</v>
      </c>
      <c r="M11" s="37">
        <f ca="1">IFERROR(__xludf.DUMMYFUNCTION("""COMPUTED_VALUE"""),1)</f>
        <v>1</v>
      </c>
      <c r="N11" s="39">
        <f ca="1">IFERROR(__xludf.DUMMYFUNCTION("""COMPUTED_VALUE"""),14.5)</f>
        <v>14.5</v>
      </c>
      <c r="O11" s="40">
        <f ca="1">IFERROR(__xludf.DUMMYFUNCTION("""COMPUTED_VALUE"""),182)</f>
        <v>182</v>
      </c>
      <c r="P11" s="37">
        <f ca="1">IFERROR(__xludf.DUMMYFUNCTION("""COMPUTED_VALUE"""),1)</f>
        <v>1</v>
      </c>
      <c r="Q11" s="37">
        <f ca="1">IFERROR(__xludf.DUMMYFUNCTION("""COMPUTED_VALUE"""),3)</f>
        <v>3</v>
      </c>
      <c r="R11" s="37"/>
      <c r="S11" s="37"/>
      <c r="T11" s="37"/>
      <c r="U11" s="37"/>
      <c r="V11" s="37"/>
    </row>
    <row r="12" spans="1:22" x14ac:dyDescent="0.35">
      <c r="A12" s="37" t="str">
        <f ca="1">IFERROR(__xludf.DUMMYFUNCTION("""COMPUTED_VALUE"""),"5205")</f>
        <v>5205</v>
      </c>
      <c r="B12" s="37" t="str">
        <f ca="1">IFERROR(__xludf.DUMMYFUNCTION("""COMPUTED_VALUE"""),"Intraclastic packstone")</f>
        <v>Intraclastic packstone</v>
      </c>
      <c r="C12" s="37">
        <f ca="1">IFERROR(__xludf.DUMMYFUNCTION("""COMPUTED_VALUE"""),9)</f>
        <v>9</v>
      </c>
      <c r="D12" s="37">
        <f ca="1">IFERROR(__xludf.DUMMYFUNCTION("""COMPUTED_VALUE"""),54)</f>
        <v>54</v>
      </c>
      <c r="E12" s="37">
        <f ca="1">IFERROR(__xludf.DUMMYFUNCTION("""COMPUTED_VALUE"""),20)</f>
        <v>20</v>
      </c>
      <c r="F12" s="37">
        <f ca="1">IFERROR(__xludf.DUMMYFUNCTION("""COMPUTED_VALUE"""),12)</f>
        <v>12</v>
      </c>
      <c r="G12" s="37">
        <f ca="1">IFERROR(__xludf.DUMMYFUNCTION("""COMPUTED_VALUE"""),0)</f>
        <v>0</v>
      </c>
      <c r="H12" s="37">
        <f ca="1">IFERROR(__xludf.DUMMYFUNCTION("""COMPUTED_VALUE"""),3)</f>
        <v>3</v>
      </c>
      <c r="I12" s="37">
        <f ca="1">IFERROR(__xludf.DUMMYFUNCTION("""COMPUTED_VALUE"""),0)</f>
        <v>0</v>
      </c>
      <c r="J12" s="37">
        <f ca="1">IFERROR(__xludf.DUMMYFUNCTION("""COMPUTED_VALUE"""),12)</f>
        <v>12</v>
      </c>
      <c r="K12" s="37">
        <f ca="1">IFERROR(__xludf.DUMMYFUNCTION("""COMPUTED_VALUE"""),2)</f>
        <v>2</v>
      </c>
      <c r="L12" s="37">
        <f ca="1">IFERROR(__xludf.DUMMYFUNCTION("""COMPUTED_VALUE"""),1)</f>
        <v>1</v>
      </c>
      <c r="M12" s="37">
        <f ca="1">IFERROR(__xludf.DUMMYFUNCTION("""COMPUTED_VALUE"""),0)</f>
        <v>0</v>
      </c>
      <c r="N12" s="39">
        <f ca="1">IFERROR(__xludf.DUMMYFUNCTION("""COMPUTED_VALUE"""),9.6)</f>
        <v>9.6</v>
      </c>
      <c r="O12" s="40">
        <f ca="1">IFERROR(__xludf.DUMMYFUNCTION("""COMPUTED_VALUE"""),6.22)</f>
        <v>6.22</v>
      </c>
      <c r="P12" s="37">
        <f ca="1">IFERROR(__xludf.DUMMYFUNCTION("""COMPUTED_VALUE"""),2)</f>
        <v>2</v>
      </c>
      <c r="Q12" s="37">
        <f ca="1">IFERROR(__xludf.DUMMYFUNCTION("""COMPUTED_VALUE"""),1)</f>
        <v>1</v>
      </c>
      <c r="R12" s="37"/>
      <c r="S12" s="37"/>
      <c r="T12" s="37"/>
      <c r="U12" s="37"/>
      <c r="V12" s="37"/>
    </row>
    <row r="13" spans="1:22" x14ac:dyDescent="0.35">
      <c r="A13" s="37" t="str">
        <f ca="1">IFERROR(__xludf.DUMMYFUNCTION("""COMPUTED_VALUE"""),"5207")</f>
        <v>5207</v>
      </c>
      <c r="B13" s="37" t="str">
        <f ca="1">IFERROR(__xludf.DUMMYFUNCTION("""COMPUTED_VALUE"""),"Shrubstone")</f>
        <v>Shrubstone</v>
      </c>
      <c r="C13" s="37">
        <f ca="1">IFERROR(__xludf.DUMMYFUNCTION("""COMPUTED_VALUE"""),1)</f>
        <v>1</v>
      </c>
      <c r="D13" s="37">
        <f ca="1">IFERROR(__xludf.DUMMYFUNCTION("""COMPUTED_VALUE"""),75)</f>
        <v>75</v>
      </c>
      <c r="E13" s="37">
        <f ca="1">IFERROR(__xludf.DUMMYFUNCTION("""COMPUTED_VALUE"""),10)</f>
        <v>10</v>
      </c>
      <c r="F13" s="37">
        <f ca="1">IFERROR(__xludf.DUMMYFUNCTION("""COMPUTED_VALUE"""),2)</f>
        <v>2</v>
      </c>
      <c r="G13" s="37">
        <f ca="1">IFERROR(__xludf.DUMMYFUNCTION("""COMPUTED_VALUE"""),0)</f>
        <v>0</v>
      </c>
      <c r="H13" s="37">
        <f ca="1">IFERROR(__xludf.DUMMYFUNCTION("""COMPUTED_VALUE"""),0)</f>
        <v>0</v>
      </c>
      <c r="I13" s="37">
        <f ca="1">IFERROR(__xludf.DUMMYFUNCTION("""COMPUTED_VALUE"""),1)</f>
        <v>1</v>
      </c>
      <c r="J13" s="37">
        <f ca="1">IFERROR(__xludf.DUMMYFUNCTION("""COMPUTED_VALUE"""),12)</f>
        <v>12</v>
      </c>
      <c r="K13" s="37">
        <f ca="1">IFERROR(__xludf.DUMMYFUNCTION("""COMPUTED_VALUE"""),1)</f>
        <v>1</v>
      </c>
      <c r="L13" s="37">
        <f ca="1">IFERROR(__xludf.DUMMYFUNCTION("""COMPUTED_VALUE"""),0)</f>
        <v>0</v>
      </c>
      <c r="M13" s="37">
        <f ca="1">IFERROR(__xludf.DUMMYFUNCTION("""COMPUTED_VALUE"""),0)</f>
        <v>0</v>
      </c>
      <c r="N13" s="39">
        <f ca="1">IFERROR(__xludf.DUMMYFUNCTION("""COMPUTED_VALUE"""),5.8)</f>
        <v>5.8</v>
      </c>
      <c r="O13" s="40">
        <f ca="1">IFERROR(__xludf.DUMMYFUNCTION("""COMPUTED_VALUE"""),0.165)</f>
        <v>0.16500000000000001</v>
      </c>
      <c r="P13" s="37">
        <f ca="1">IFERROR(__xludf.DUMMYFUNCTION("""COMPUTED_VALUE"""),1)</f>
        <v>1</v>
      </c>
      <c r="Q13" s="37">
        <f ca="1">IFERROR(__xludf.DUMMYFUNCTION("""COMPUTED_VALUE"""),1)</f>
        <v>1</v>
      </c>
      <c r="R13" s="37"/>
      <c r="S13" s="37"/>
      <c r="T13" s="37"/>
      <c r="U13" s="37"/>
      <c r="V13" s="37"/>
    </row>
    <row r="14" spans="1:22" x14ac:dyDescent="0.35">
      <c r="A14" s="37" t="str">
        <f ca="1">IFERROR(__xludf.DUMMYFUNCTION("""COMPUTED_VALUE"""),"5209")</f>
        <v>5209</v>
      </c>
      <c r="B14" s="37" t="str">
        <f ca="1">IFERROR(__xludf.DUMMYFUNCTION("""COMPUTED_VALUE"""),"Intraclastic packstone")</f>
        <v>Intraclastic packstone</v>
      </c>
      <c r="C14" s="37">
        <f ca="1">IFERROR(__xludf.DUMMYFUNCTION("""COMPUTED_VALUE"""),9)</f>
        <v>9</v>
      </c>
      <c r="D14" s="37">
        <f ca="1">IFERROR(__xludf.DUMMYFUNCTION("""COMPUTED_VALUE"""),74)</f>
        <v>74</v>
      </c>
      <c r="E14" s="37">
        <f ca="1">IFERROR(__xludf.DUMMYFUNCTION("""COMPUTED_VALUE"""),2)</f>
        <v>2</v>
      </c>
      <c r="F14" s="37">
        <f ca="1">IFERROR(__xludf.DUMMYFUNCTION("""COMPUTED_VALUE"""),5)</f>
        <v>5</v>
      </c>
      <c r="G14" s="37">
        <f ca="1">IFERROR(__xludf.DUMMYFUNCTION("""COMPUTED_VALUE"""),5)</f>
        <v>5</v>
      </c>
      <c r="H14" s="37">
        <f ca="1">IFERROR(__xludf.DUMMYFUNCTION("""COMPUTED_VALUE"""),0)</f>
        <v>0</v>
      </c>
      <c r="I14" s="37">
        <f ca="1">IFERROR(__xludf.DUMMYFUNCTION("""COMPUTED_VALUE"""),1)</f>
        <v>1</v>
      </c>
      <c r="J14" s="37">
        <f ca="1">IFERROR(__xludf.DUMMYFUNCTION("""COMPUTED_VALUE"""),10)</f>
        <v>10</v>
      </c>
      <c r="K14" s="37">
        <f ca="1">IFERROR(__xludf.DUMMYFUNCTION("""COMPUTED_VALUE"""),4)</f>
        <v>4</v>
      </c>
      <c r="L14" s="37">
        <f ca="1">IFERROR(__xludf.DUMMYFUNCTION("""COMPUTED_VALUE"""),0)</f>
        <v>0</v>
      </c>
      <c r="M14" s="37">
        <f ca="1">IFERROR(__xludf.DUMMYFUNCTION("""COMPUTED_VALUE"""),0)</f>
        <v>0</v>
      </c>
      <c r="N14" s="39">
        <f ca="1">IFERROR(__xludf.DUMMYFUNCTION("""COMPUTED_VALUE"""),12.9)</f>
        <v>12.9</v>
      </c>
      <c r="O14" s="40">
        <f ca="1">IFERROR(__xludf.DUMMYFUNCTION("""COMPUTED_VALUE"""),9.5)</f>
        <v>9.5</v>
      </c>
      <c r="P14" s="37">
        <f ca="1">IFERROR(__xludf.DUMMYFUNCTION("""COMPUTED_VALUE"""),2)</f>
        <v>2</v>
      </c>
      <c r="Q14" s="37">
        <f ca="1">IFERROR(__xludf.DUMMYFUNCTION("""COMPUTED_VALUE"""),1)</f>
        <v>1</v>
      </c>
      <c r="R14" s="37"/>
      <c r="S14" s="37"/>
      <c r="T14" s="37"/>
      <c r="U14" s="37"/>
      <c r="V14" s="37"/>
    </row>
    <row r="15" spans="1:22" x14ac:dyDescent="0.35">
      <c r="A15" s="37" t="str">
        <f ca="1">IFERROR(__xludf.DUMMYFUNCTION("""COMPUTED_VALUE"""),"5216")</f>
        <v>5216</v>
      </c>
      <c r="B15" s="37" t="str">
        <f ca="1">IFERROR(__xludf.DUMMYFUNCTION("""COMPUTED_VALUE"""),"Shrubstone")</f>
        <v>Shrubstone</v>
      </c>
      <c r="C15" s="37">
        <f ca="1">IFERROR(__xludf.DUMMYFUNCTION("""COMPUTED_VALUE"""),1)</f>
        <v>1</v>
      </c>
      <c r="D15" s="37">
        <f ca="1">IFERROR(__xludf.DUMMYFUNCTION("""COMPUTED_VALUE"""),67)</f>
        <v>67</v>
      </c>
      <c r="E15" s="37">
        <f ca="1">IFERROR(__xludf.DUMMYFUNCTION("""COMPUTED_VALUE"""),14)</f>
        <v>14</v>
      </c>
      <c r="F15" s="37">
        <f ca="1">IFERROR(__xludf.DUMMYFUNCTION("""COMPUTED_VALUE"""),1)</f>
        <v>1</v>
      </c>
      <c r="G15" s="37">
        <f ca="1">IFERROR(__xludf.DUMMYFUNCTION("""COMPUTED_VALUE"""),2)</f>
        <v>2</v>
      </c>
      <c r="H15" s="37">
        <f ca="1">IFERROR(__xludf.DUMMYFUNCTION("""COMPUTED_VALUE"""),4)</f>
        <v>4</v>
      </c>
      <c r="I15" s="37">
        <f ca="1">IFERROR(__xludf.DUMMYFUNCTION("""COMPUTED_VALUE"""),1)</f>
        <v>1</v>
      </c>
      <c r="J15" s="37">
        <f ca="1">IFERROR(__xludf.DUMMYFUNCTION("""COMPUTED_VALUE"""),15)</f>
        <v>15</v>
      </c>
      <c r="K15" s="37">
        <f ca="1">IFERROR(__xludf.DUMMYFUNCTION("""COMPUTED_VALUE"""),1)</f>
        <v>1</v>
      </c>
      <c r="L15" s="37">
        <f ca="1">IFERROR(__xludf.DUMMYFUNCTION("""COMPUTED_VALUE"""),0)</f>
        <v>0</v>
      </c>
      <c r="M15" s="37">
        <f ca="1">IFERROR(__xludf.DUMMYFUNCTION("""COMPUTED_VALUE"""),0)</f>
        <v>0</v>
      </c>
      <c r="N15" s="39">
        <f ca="1">IFERROR(__xludf.DUMMYFUNCTION("""COMPUTED_VALUE"""),14.5)</f>
        <v>14.5</v>
      </c>
      <c r="O15" s="40">
        <f ca="1">IFERROR(__xludf.DUMMYFUNCTION("""COMPUTED_VALUE"""),96.9)</f>
        <v>96.9</v>
      </c>
      <c r="P15" s="37">
        <f ca="1">IFERROR(__xludf.DUMMYFUNCTION("""COMPUTED_VALUE"""),1)</f>
        <v>1</v>
      </c>
      <c r="Q15" s="37">
        <f ca="1">IFERROR(__xludf.DUMMYFUNCTION("""COMPUTED_VALUE"""),2)</f>
        <v>2</v>
      </c>
      <c r="R15" s="37"/>
      <c r="S15" s="37"/>
      <c r="T15" s="37"/>
      <c r="U15" s="37"/>
      <c r="V15" s="37"/>
    </row>
    <row r="16" spans="1:22" x14ac:dyDescent="0.35">
      <c r="A16" s="37" t="str">
        <f ca="1">IFERROR(__xludf.DUMMYFUNCTION("""COMPUTED_VALUE"""),"5225")</f>
        <v>5225</v>
      </c>
      <c r="B16" s="37" t="str">
        <f ca="1">IFERROR(__xludf.DUMMYFUNCTION("""COMPUTED_VALUE"""),"Intraclastic packstone")</f>
        <v>Intraclastic packstone</v>
      </c>
      <c r="C16" s="37">
        <f ca="1">IFERROR(__xludf.DUMMYFUNCTION("""COMPUTED_VALUE"""),9)</f>
        <v>9</v>
      </c>
      <c r="D16" s="37">
        <f ca="1">IFERROR(__xludf.DUMMYFUNCTION("""COMPUTED_VALUE"""),68)</f>
        <v>68</v>
      </c>
      <c r="E16" s="37">
        <f ca="1">IFERROR(__xludf.DUMMYFUNCTION("""COMPUTED_VALUE"""),26)</f>
        <v>26</v>
      </c>
      <c r="F16" s="37">
        <f ca="1">IFERROR(__xludf.DUMMYFUNCTION("""COMPUTED_VALUE"""),1)</f>
        <v>1</v>
      </c>
      <c r="G16" s="37">
        <f ca="1">IFERROR(__xludf.DUMMYFUNCTION("""COMPUTED_VALUE"""),4)</f>
        <v>4</v>
      </c>
      <c r="H16" s="37">
        <f ca="1">IFERROR(__xludf.DUMMYFUNCTION("""COMPUTED_VALUE"""),3)</f>
        <v>3</v>
      </c>
      <c r="I16" s="37">
        <f ca="1">IFERROR(__xludf.DUMMYFUNCTION("""COMPUTED_VALUE"""),0)</f>
        <v>0</v>
      </c>
      <c r="J16" s="37">
        <f ca="1">IFERROR(__xludf.DUMMYFUNCTION("""COMPUTED_VALUE"""),1)</f>
        <v>1</v>
      </c>
      <c r="K16" s="37">
        <f ca="1">IFERROR(__xludf.DUMMYFUNCTION("""COMPUTED_VALUE"""),0)</f>
        <v>0</v>
      </c>
      <c r="L16" s="37">
        <f ca="1">IFERROR(__xludf.DUMMYFUNCTION("""COMPUTED_VALUE"""),0)</f>
        <v>0</v>
      </c>
      <c r="M16" s="37">
        <f ca="1">IFERROR(__xludf.DUMMYFUNCTION("""COMPUTED_VALUE"""),0)</f>
        <v>0</v>
      </c>
      <c r="N16" s="39">
        <f ca="1">IFERROR(__xludf.DUMMYFUNCTION("""COMPUTED_VALUE"""),5.9)</f>
        <v>5.9</v>
      </c>
      <c r="O16" s="40">
        <f ca="1">IFERROR(__xludf.DUMMYFUNCTION("""COMPUTED_VALUE"""),0.025)</f>
        <v>2.5000000000000001E-2</v>
      </c>
      <c r="P16" s="37">
        <f ca="1">IFERROR(__xludf.DUMMYFUNCTION("""COMPUTED_VALUE"""),2)</f>
        <v>2</v>
      </c>
      <c r="Q16" s="37">
        <f ca="1">IFERROR(__xludf.DUMMYFUNCTION("""COMPUTED_VALUE"""),1)</f>
        <v>1</v>
      </c>
      <c r="R16" s="37"/>
      <c r="S16" s="37"/>
      <c r="T16" s="37"/>
      <c r="U16" s="37"/>
      <c r="V16" s="37"/>
    </row>
    <row r="17" spans="1:22" x14ac:dyDescent="0.35">
      <c r="A17" s="37" t="str">
        <f ca="1">IFERROR(__xludf.DUMMYFUNCTION("""COMPUTED_VALUE"""),"5240")</f>
        <v>5240</v>
      </c>
      <c r="B17" s="37" t="str">
        <f ca="1">IFERROR(__xludf.DUMMYFUNCTION("""COMPUTED_VALUE"""),"Intraclastic packstone")</f>
        <v>Intraclastic packstone</v>
      </c>
      <c r="C17" s="37">
        <f ca="1">IFERROR(__xludf.DUMMYFUNCTION("""COMPUTED_VALUE"""),9)</f>
        <v>9</v>
      </c>
      <c r="D17" s="37">
        <f ca="1">IFERROR(__xludf.DUMMYFUNCTION("""COMPUTED_VALUE"""),53)</f>
        <v>53</v>
      </c>
      <c r="E17" s="37">
        <f ca="1">IFERROR(__xludf.DUMMYFUNCTION("""COMPUTED_VALUE"""),8)</f>
        <v>8</v>
      </c>
      <c r="F17" s="37">
        <f ca="1">IFERROR(__xludf.DUMMYFUNCTION("""COMPUTED_VALUE"""),35)</f>
        <v>35</v>
      </c>
      <c r="G17" s="37">
        <f ca="1">IFERROR(__xludf.DUMMYFUNCTION("""COMPUTED_VALUE"""),2)</f>
        <v>2</v>
      </c>
      <c r="H17" s="37">
        <f ca="1">IFERROR(__xludf.DUMMYFUNCTION("""COMPUTED_VALUE"""),3)</f>
        <v>3</v>
      </c>
      <c r="I17" s="37">
        <f ca="1">IFERROR(__xludf.DUMMYFUNCTION("""COMPUTED_VALUE"""),0)</f>
        <v>0</v>
      </c>
      <c r="J17" s="37">
        <f ca="1">IFERROR(__xludf.DUMMYFUNCTION("""COMPUTED_VALUE"""),1)</f>
        <v>1</v>
      </c>
      <c r="K17" s="37">
        <f ca="1">IFERROR(__xludf.DUMMYFUNCTION("""COMPUTED_VALUE"""),1)</f>
        <v>1</v>
      </c>
      <c r="L17" s="37">
        <f ca="1">IFERROR(__xludf.DUMMYFUNCTION("""COMPUTED_VALUE"""),0)</f>
        <v>0</v>
      </c>
      <c r="M17" s="37">
        <f ca="1">IFERROR(__xludf.DUMMYFUNCTION("""COMPUTED_VALUE"""),0)</f>
        <v>0</v>
      </c>
      <c r="N17" s="39">
        <f ca="1">IFERROR(__xludf.DUMMYFUNCTION("""COMPUTED_VALUE"""),10)</f>
        <v>10</v>
      </c>
      <c r="O17" s="40">
        <f ca="1">IFERROR(__xludf.DUMMYFUNCTION("""COMPUTED_VALUE"""),0.002)</f>
        <v>2E-3</v>
      </c>
      <c r="P17" s="37">
        <f ca="1">IFERROR(__xludf.DUMMYFUNCTION("""COMPUTED_VALUE"""),2)</f>
        <v>2</v>
      </c>
      <c r="Q17" s="37">
        <f ca="1">IFERROR(__xludf.DUMMYFUNCTION("""COMPUTED_VALUE"""),1)</f>
        <v>1</v>
      </c>
      <c r="R17" s="37"/>
      <c r="S17" s="37"/>
      <c r="T17" s="37"/>
      <c r="U17" s="37"/>
      <c r="V17" s="37"/>
    </row>
    <row r="18" spans="1:22" x14ac:dyDescent="0.35">
      <c r="A18" s="37" t="str">
        <f ca="1">IFERROR(__xludf.DUMMYFUNCTION("""COMPUTED_VALUE"""),"5260")</f>
        <v>5260</v>
      </c>
      <c r="B18" s="37" t="str">
        <f ca="1">IFERROR(__xludf.DUMMYFUNCTION("""COMPUTED_VALUE"""),"Intraclastic packstone")</f>
        <v>Intraclastic packstone</v>
      </c>
      <c r="C18" s="37">
        <f ca="1">IFERROR(__xludf.DUMMYFUNCTION("""COMPUTED_VALUE"""),9)</f>
        <v>9</v>
      </c>
      <c r="D18" s="37">
        <f ca="1">IFERROR(__xludf.DUMMYFUNCTION("""COMPUTED_VALUE"""),60)</f>
        <v>60</v>
      </c>
      <c r="E18" s="37">
        <f ca="1">IFERROR(__xludf.DUMMYFUNCTION("""COMPUTED_VALUE"""),14)</f>
        <v>14</v>
      </c>
      <c r="F18" s="37">
        <f ca="1">IFERROR(__xludf.DUMMYFUNCTION("""COMPUTED_VALUE"""),20)</f>
        <v>20</v>
      </c>
      <c r="G18" s="37">
        <f ca="1">IFERROR(__xludf.DUMMYFUNCTION("""COMPUTED_VALUE"""),6)</f>
        <v>6</v>
      </c>
      <c r="H18" s="37">
        <f ca="1">IFERROR(__xludf.DUMMYFUNCTION("""COMPUTED_VALUE"""),3)</f>
        <v>3</v>
      </c>
      <c r="I18" s="37">
        <f ca="1">IFERROR(__xludf.DUMMYFUNCTION("""COMPUTED_VALUE"""),0)</f>
        <v>0</v>
      </c>
      <c r="J18" s="37">
        <f ca="1">IFERROR(__xludf.DUMMYFUNCTION("""COMPUTED_VALUE"""),0)</f>
        <v>0</v>
      </c>
      <c r="K18" s="37">
        <f ca="1">IFERROR(__xludf.DUMMYFUNCTION("""COMPUTED_VALUE"""),0)</f>
        <v>0</v>
      </c>
      <c r="L18" s="37">
        <f ca="1">IFERROR(__xludf.DUMMYFUNCTION("""COMPUTED_VALUE"""),0)</f>
        <v>0</v>
      </c>
      <c r="M18" s="37">
        <f ca="1">IFERROR(__xludf.DUMMYFUNCTION("""COMPUTED_VALUE"""),0)</f>
        <v>0</v>
      </c>
      <c r="N18" s="39">
        <f ca="1">IFERROR(__xludf.DUMMYFUNCTION("""COMPUTED_VALUE"""),7.4)</f>
        <v>7.4</v>
      </c>
      <c r="O18" s="40">
        <f ca="1">IFERROR(__xludf.DUMMYFUNCTION("""COMPUTED_VALUE"""),0.001)</f>
        <v>1E-3</v>
      </c>
      <c r="P18" s="37">
        <f ca="1">IFERROR(__xludf.DUMMYFUNCTION("""COMPUTED_VALUE"""),2)</f>
        <v>2</v>
      </c>
      <c r="Q18" s="37">
        <f ca="1">IFERROR(__xludf.DUMMYFUNCTION("""COMPUTED_VALUE"""),1)</f>
        <v>1</v>
      </c>
      <c r="R18" s="37"/>
      <c r="S18" s="37"/>
      <c r="T18" s="37"/>
      <c r="U18" s="37"/>
      <c r="V18" s="37"/>
    </row>
    <row r="19" spans="1:22" x14ac:dyDescent="0.35">
      <c r="A19" s="37" t="str">
        <f ca="1">IFERROR(__xludf.DUMMYFUNCTION("""COMPUTED_VALUE"""),"5265")</f>
        <v>5265</v>
      </c>
      <c r="B19" s="37" t="str">
        <f ca="1">IFERROR(__xludf.DUMMYFUNCTION("""COMPUTED_VALUE"""),"Intraclastic packstone")</f>
        <v>Intraclastic packstone</v>
      </c>
      <c r="C19" s="37">
        <f ca="1">IFERROR(__xludf.DUMMYFUNCTION("""COMPUTED_VALUE"""),9)</f>
        <v>9</v>
      </c>
      <c r="D19" s="37">
        <f ca="1">IFERROR(__xludf.DUMMYFUNCTION("""COMPUTED_VALUE"""),55)</f>
        <v>55</v>
      </c>
      <c r="E19" s="37">
        <f ca="1">IFERROR(__xludf.DUMMYFUNCTION("""COMPUTED_VALUE"""),16)</f>
        <v>16</v>
      </c>
      <c r="F19" s="37">
        <f ca="1">IFERROR(__xludf.DUMMYFUNCTION("""COMPUTED_VALUE"""),20)</f>
        <v>20</v>
      </c>
      <c r="G19" s="37">
        <f ca="1">IFERROR(__xludf.DUMMYFUNCTION("""COMPUTED_VALUE"""),8)</f>
        <v>8</v>
      </c>
      <c r="H19" s="37">
        <f ca="1">IFERROR(__xludf.DUMMYFUNCTION("""COMPUTED_VALUE"""),3)</f>
        <v>3</v>
      </c>
      <c r="I19" s="37">
        <f ca="1">IFERROR(__xludf.DUMMYFUNCTION("""COMPUTED_VALUE"""),0)</f>
        <v>0</v>
      </c>
      <c r="J19" s="37">
        <f ca="1">IFERROR(__xludf.DUMMYFUNCTION("""COMPUTED_VALUE"""),1)</f>
        <v>1</v>
      </c>
      <c r="K19" s="37">
        <f ca="1">IFERROR(__xludf.DUMMYFUNCTION("""COMPUTED_VALUE"""),0)</f>
        <v>0</v>
      </c>
      <c r="L19" s="37">
        <f ca="1">IFERROR(__xludf.DUMMYFUNCTION("""COMPUTED_VALUE"""),0)</f>
        <v>0</v>
      </c>
      <c r="M19" s="37">
        <f ca="1">IFERROR(__xludf.DUMMYFUNCTION("""COMPUTED_VALUE"""),0)</f>
        <v>0</v>
      </c>
      <c r="N19" s="39">
        <f ca="1">IFERROR(__xludf.DUMMYFUNCTION("""COMPUTED_VALUE"""),5.8)</f>
        <v>5.8</v>
      </c>
      <c r="O19" s="40">
        <f ca="1">IFERROR(__xludf.DUMMYFUNCTION("""COMPUTED_VALUE"""),0)</f>
        <v>0</v>
      </c>
      <c r="P19" s="37">
        <f ca="1">IFERROR(__xludf.DUMMYFUNCTION("""COMPUTED_VALUE"""),2)</f>
        <v>2</v>
      </c>
      <c r="Q19" s="37">
        <f ca="1">IFERROR(__xludf.DUMMYFUNCTION("""COMPUTED_VALUE"""),1)</f>
        <v>1</v>
      </c>
      <c r="R19" s="37"/>
      <c r="S19" s="37"/>
      <c r="T19" s="37"/>
      <c r="U19" s="37"/>
      <c r="V19" s="37"/>
    </row>
    <row r="20" spans="1:22" x14ac:dyDescent="0.35">
      <c r="A20" s="37" t="str">
        <f ca="1">IFERROR(__xludf.DUMMYFUNCTION("""COMPUTED_VALUE"""),"5275")</f>
        <v>5275</v>
      </c>
      <c r="B20" s="37" t="str">
        <f ca="1">IFERROR(__xludf.DUMMYFUNCTION("""COMPUTED_VALUE"""),"Intraclastic packstone")</f>
        <v>Intraclastic packstone</v>
      </c>
      <c r="C20" s="37">
        <f ca="1">IFERROR(__xludf.DUMMYFUNCTION("""COMPUTED_VALUE"""),9)</f>
        <v>9</v>
      </c>
      <c r="D20" s="37">
        <f ca="1">IFERROR(__xludf.DUMMYFUNCTION("""COMPUTED_VALUE"""),63)</f>
        <v>63</v>
      </c>
      <c r="E20" s="37">
        <f ca="1">IFERROR(__xludf.DUMMYFUNCTION("""COMPUTED_VALUE"""),10)</f>
        <v>10</v>
      </c>
      <c r="F20" s="37">
        <f ca="1">IFERROR(__xludf.DUMMYFUNCTION("""COMPUTED_VALUE"""),17)</f>
        <v>17</v>
      </c>
      <c r="G20" s="37">
        <f ca="1">IFERROR(__xludf.DUMMYFUNCTION("""COMPUTED_VALUE"""),8)</f>
        <v>8</v>
      </c>
      <c r="H20" s="37">
        <f ca="1">IFERROR(__xludf.DUMMYFUNCTION("""COMPUTED_VALUE"""),3)</f>
        <v>3</v>
      </c>
      <c r="I20" s="37">
        <f ca="1">IFERROR(__xludf.DUMMYFUNCTION("""COMPUTED_VALUE"""),0)</f>
        <v>0</v>
      </c>
      <c r="J20" s="37">
        <f ca="1">IFERROR(__xludf.DUMMYFUNCTION("""COMPUTED_VALUE"""),2)</f>
        <v>2</v>
      </c>
      <c r="K20" s="37">
        <f ca="1">IFERROR(__xludf.DUMMYFUNCTION("""COMPUTED_VALUE"""),0)</f>
        <v>0</v>
      </c>
      <c r="L20" s="37">
        <f ca="1">IFERROR(__xludf.DUMMYFUNCTION("""COMPUTED_VALUE"""),0)</f>
        <v>0</v>
      </c>
      <c r="M20" s="37">
        <f ca="1">IFERROR(__xludf.DUMMYFUNCTION("""COMPUTED_VALUE"""),0)</f>
        <v>0</v>
      </c>
      <c r="N20" s="39">
        <f ca="1">IFERROR(__xludf.DUMMYFUNCTION("""COMPUTED_VALUE"""),6.9)</f>
        <v>6.9</v>
      </c>
      <c r="O20" s="40">
        <f ca="1">IFERROR(__xludf.DUMMYFUNCTION("""COMPUTED_VALUE"""),0.001)</f>
        <v>1E-3</v>
      </c>
      <c r="P20" s="37">
        <f ca="1">IFERROR(__xludf.DUMMYFUNCTION("""COMPUTED_VALUE"""),2)</f>
        <v>2</v>
      </c>
      <c r="Q20" s="37">
        <f ca="1">IFERROR(__xludf.DUMMYFUNCTION("""COMPUTED_VALUE"""),1)</f>
        <v>1</v>
      </c>
      <c r="R20" s="37"/>
      <c r="S20" s="37"/>
      <c r="T20" s="37"/>
      <c r="U20" s="37"/>
      <c r="V20" s="37"/>
    </row>
    <row r="21" spans="1:22" x14ac:dyDescent="0.35">
      <c r="A21" s="37" t="str">
        <f ca="1">IFERROR(__xludf.DUMMYFUNCTION("""COMPUTED_VALUE"""),"5290")</f>
        <v>5290</v>
      </c>
      <c r="B21" s="37" t="str">
        <f ca="1">IFERROR(__xludf.DUMMYFUNCTION("""COMPUTED_VALUE"""),"Intraclastic packstone")</f>
        <v>Intraclastic packstone</v>
      </c>
      <c r="C21" s="37">
        <f ca="1">IFERROR(__xludf.DUMMYFUNCTION("""COMPUTED_VALUE"""),9)</f>
        <v>9</v>
      </c>
      <c r="D21" s="37">
        <f ca="1">IFERROR(__xludf.DUMMYFUNCTION("""COMPUTED_VALUE"""),70)</f>
        <v>70</v>
      </c>
      <c r="E21" s="37">
        <f ca="1">IFERROR(__xludf.DUMMYFUNCTION("""COMPUTED_VALUE"""),4)</f>
        <v>4</v>
      </c>
      <c r="F21" s="37">
        <f ca="1">IFERROR(__xludf.DUMMYFUNCTION("""COMPUTED_VALUE"""),14)</f>
        <v>14</v>
      </c>
      <c r="G21" s="37">
        <f ca="1">IFERROR(__xludf.DUMMYFUNCTION("""COMPUTED_VALUE"""),8)</f>
        <v>8</v>
      </c>
      <c r="H21" s="37">
        <f ca="1">IFERROR(__xludf.DUMMYFUNCTION("""COMPUTED_VALUE"""),3)</f>
        <v>3</v>
      </c>
      <c r="I21" s="37">
        <f ca="1">IFERROR(__xludf.DUMMYFUNCTION("""COMPUTED_VALUE"""),0)</f>
        <v>0</v>
      </c>
      <c r="J21" s="37">
        <f ca="1">IFERROR(__xludf.DUMMYFUNCTION("""COMPUTED_VALUE"""),4)</f>
        <v>4</v>
      </c>
      <c r="K21" s="37">
        <f ca="1">IFERROR(__xludf.DUMMYFUNCTION("""COMPUTED_VALUE"""),0)</f>
        <v>0</v>
      </c>
      <c r="L21" s="37">
        <f ca="1">IFERROR(__xludf.DUMMYFUNCTION("""COMPUTED_VALUE"""),0)</f>
        <v>0</v>
      </c>
      <c r="M21" s="37">
        <f ca="1">IFERROR(__xludf.DUMMYFUNCTION("""COMPUTED_VALUE"""),0)</f>
        <v>0</v>
      </c>
      <c r="N21" s="39">
        <f ca="1">IFERROR(__xludf.DUMMYFUNCTION("""COMPUTED_VALUE"""),11.7)</f>
        <v>11.7</v>
      </c>
      <c r="O21" s="40">
        <f ca="1">IFERROR(__xludf.DUMMYFUNCTION("""COMPUTED_VALUE"""),0.012)</f>
        <v>1.2E-2</v>
      </c>
      <c r="P21" s="37">
        <f ca="1">IFERROR(__xludf.DUMMYFUNCTION("""COMPUTED_VALUE"""),2)</f>
        <v>2</v>
      </c>
      <c r="Q21" s="37">
        <f ca="1">IFERROR(__xludf.DUMMYFUNCTION("""COMPUTED_VALUE"""),1)</f>
        <v>1</v>
      </c>
      <c r="R21" s="37"/>
      <c r="S21" s="37"/>
      <c r="T21" s="37"/>
      <c r="U21" s="37"/>
      <c r="V21" s="37"/>
    </row>
    <row r="22" spans="1:22" x14ac:dyDescent="0.35">
      <c r="A22" s="37" t="str">
        <f ca="1">IFERROR(__xludf.DUMMYFUNCTION("""COMPUTED_VALUE"""),"5315")</f>
        <v>5315</v>
      </c>
      <c r="B22" s="37" t="str">
        <f ca="1">IFERROR(__xludf.DUMMYFUNCTION("""COMPUTED_VALUE"""),"Intraclastic packstone")</f>
        <v>Intraclastic packstone</v>
      </c>
      <c r="C22" s="37">
        <f ca="1">IFERROR(__xludf.DUMMYFUNCTION("""COMPUTED_VALUE"""),9)</f>
        <v>9</v>
      </c>
      <c r="D22" s="37">
        <f ca="1">IFERROR(__xludf.DUMMYFUNCTION("""COMPUTED_VALUE"""),58)</f>
        <v>58</v>
      </c>
      <c r="E22" s="37">
        <f ca="1">IFERROR(__xludf.DUMMYFUNCTION("""COMPUTED_VALUE"""),10)</f>
        <v>10</v>
      </c>
      <c r="F22" s="37">
        <f ca="1">IFERROR(__xludf.DUMMYFUNCTION("""COMPUTED_VALUE"""),24)</f>
        <v>24</v>
      </c>
      <c r="G22" s="37">
        <f ca="1">IFERROR(__xludf.DUMMYFUNCTION("""COMPUTED_VALUE"""),8)</f>
        <v>8</v>
      </c>
      <c r="H22" s="37">
        <f ca="1">IFERROR(__xludf.DUMMYFUNCTION("""COMPUTED_VALUE"""),3)</f>
        <v>3</v>
      </c>
      <c r="I22" s="37">
        <f ca="1">IFERROR(__xludf.DUMMYFUNCTION("""COMPUTED_VALUE"""),0)</f>
        <v>0</v>
      </c>
      <c r="J22" s="37">
        <f ca="1">IFERROR(__xludf.DUMMYFUNCTION("""COMPUTED_VALUE"""),0)</f>
        <v>0</v>
      </c>
      <c r="K22" s="37">
        <f ca="1">IFERROR(__xludf.DUMMYFUNCTION("""COMPUTED_VALUE"""),0)</f>
        <v>0</v>
      </c>
      <c r="L22" s="37">
        <f ca="1">IFERROR(__xludf.DUMMYFUNCTION("""COMPUTED_VALUE"""),0)</f>
        <v>0</v>
      </c>
      <c r="M22" s="37">
        <f ca="1">IFERROR(__xludf.DUMMYFUNCTION("""COMPUTED_VALUE"""),0)</f>
        <v>0</v>
      </c>
      <c r="N22" s="39">
        <f ca="1">IFERROR(__xludf.DUMMYFUNCTION("""COMPUTED_VALUE"""),6.2)</f>
        <v>6.2</v>
      </c>
      <c r="O22" s="40">
        <f ca="1">IFERROR(__xludf.DUMMYFUNCTION("""COMPUTED_VALUE"""),0.012)</f>
        <v>1.2E-2</v>
      </c>
      <c r="P22" s="37">
        <f ca="1">IFERROR(__xludf.DUMMYFUNCTION("""COMPUTED_VALUE"""),2)</f>
        <v>2</v>
      </c>
      <c r="Q22" s="37">
        <f ca="1">IFERROR(__xludf.DUMMYFUNCTION("""COMPUTED_VALUE"""),1)</f>
        <v>1</v>
      </c>
      <c r="R22" s="37"/>
      <c r="S22" s="37"/>
      <c r="T22" s="37"/>
      <c r="U22" s="37"/>
      <c r="V22" s="37"/>
    </row>
    <row r="23" spans="1:22" x14ac:dyDescent="0.35">
      <c r="A23" s="37" t="str">
        <f ca="1">IFERROR(__xludf.DUMMYFUNCTION("""COMPUTED_VALUE"""),"5405")</f>
        <v>5405</v>
      </c>
      <c r="B23" s="37" t="str">
        <f ca="1">IFERROR(__xludf.DUMMYFUNCTION("""COMPUTED_VALUE"""),"Mudstone")</f>
        <v>Mudstone</v>
      </c>
      <c r="C23" s="37">
        <f ca="1">IFERROR(__xludf.DUMMYFUNCTION("""COMPUTED_VALUE"""),3)</f>
        <v>3</v>
      </c>
      <c r="D23" s="37">
        <f ca="1">IFERROR(__xludf.DUMMYFUNCTION("""COMPUTED_VALUE"""),0)</f>
        <v>0</v>
      </c>
      <c r="E23" s="37">
        <f ca="1">IFERROR(__xludf.DUMMYFUNCTION("""COMPUTED_VALUE"""),20)</f>
        <v>20</v>
      </c>
      <c r="F23" s="37">
        <f ca="1">IFERROR(__xludf.DUMMYFUNCTION("""COMPUTED_VALUE"""),70)</f>
        <v>70</v>
      </c>
      <c r="G23" s="37">
        <f ca="1">IFERROR(__xludf.DUMMYFUNCTION("""COMPUTED_VALUE"""),10)</f>
        <v>10</v>
      </c>
      <c r="H23" s="37">
        <f ca="1">IFERROR(__xludf.DUMMYFUNCTION("""COMPUTED_VALUE"""),0)</f>
        <v>0</v>
      </c>
      <c r="I23" s="37">
        <f ca="1">IFERROR(__xludf.DUMMYFUNCTION("""COMPUTED_VALUE"""),1)</f>
        <v>1</v>
      </c>
      <c r="J23" s="37">
        <f ca="1">IFERROR(__xludf.DUMMYFUNCTION("""COMPUTED_VALUE"""),0)</f>
        <v>0</v>
      </c>
      <c r="K23" s="37">
        <f ca="1">IFERROR(__xludf.DUMMYFUNCTION("""COMPUTED_VALUE"""),0)</f>
        <v>0</v>
      </c>
      <c r="L23" s="37">
        <f ca="1">IFERROR(__xludf.DUMMYFUNCTION("""COMPUTED_VALUE"""),0)</f>
        <v>0</v>
      </c>
      <c r="M23" s="37">
        <f ca="1">IFERROR(__xludf.DUMMYFUNCTION("""COMPUTED_VALUE"""),0)</f>
        <v>0</v>
      </c>
      <c r="N23" s="39">
        <f ca="1">IFERROR(__xludf.DUMMYFUNCTION("""COMPUTED_VALUE"""),0)</f>
        <v>0</v>
      </c>
      <c r="O23" s="40">
        <f ca="1">IFERROR(__xludf.DUMMYFUNCTION("""COMPUTED_VALUE"""),0)</f>
        <v>0</v>
      </c>
      <c r="P23" s="37">
        <f ca="1">IFERROR(__xludf.DUMMYFUNCTION("""COMPUTED_VALUE"""),1)</f>
        <v>1</v>
      </c>
      <c r="Q23" s="37">
        <f ca="1">IFERROR(__xludf.DUMMYFUNCTION("""COMPUTED_VALUE"""),1)</f>
        <v>1</v>
      </c>
      <c r="R23" s="37"/>
      <c r="S23" s="37"/>
      <c r="T23" s="37"/>
      <c r="U23" s="37"/>
      <c r="V23" s="37"/>
    </row>
    <row r="24" spans="1:22" x14ac:dyDescent="0.35">
      <c r="A24" s="37" t="str">
        <f ca="1">IFERROR(__xludf.DUMMYFUNCTION("""COMPUTED_VALUE"""),"5415")</f>
        <v>5415</v>
      </c>
      <c r="B24" s="37" t="str">
        <f ca="1">IFERROR(__xludf.DUMMYFUNCTION("""COMPUTED_VALUE"""),"Shrubby spherulitestone")</f>
        <v>Shrubby spherulitestone</v>
      </c>
      <c r="C24" s="37">
        <f ca="1">IFERROR(__xludf.DUMMYFUNCTION("""COMPUTED_VALUE"""),4)</f>
        <v>4</v>
      </c>
      <c r="D24" s="37">
        <f ca="1">IFERROR(__xludf.DUMMYFUNCTION("""COMPUTED_VALUE"""),68)</f>
        <v>68</v>
      </c>
      <c r="E24" s="37">
        <f ca="1">IFERROR(__xludf.DUMMYFUNCTION("""COMPUTED_VALUE"""),3)</f>
        <v>3</v>
      </c>
      <c r="F24" s="37">
        <f ca="1">IFERROR(__xludf.DUMMYFUNCTION("""COMPUTED_VALUE"""),20)</f>
        <v>20</v>
      </c>
      <c r="G24" s="37">
        <f ca="1">IFERROR(__xludf.DUMMYFUNCTION("""COMPUTED_VALUE"""),6)</f>
        <v>6</v>
      </c>
      <c r="H24" s="37">
        <f ca="1">IFERROR(__xludf.DUMMYFUNCTION("""COMPUTED_VALUE"""),0)</f>
        <v>0</v>
      </c>
      <c r="I24" s="37">
        <f ca="1">IFERROR(__xludf.DUMMYFUNCTION("""COMPUTED_VALUE"""),1)</f>
        <v>1</v>
      </c>
      <c r="J24" s="37">
        <f ca="1">IFERROR(__xludf.DUMMYFUNCTION("""COMPUTED_VALUE"""),1)</f>
        <v>1</v>
      </c>
      <c r="K24" s="37">
        <f ca="1">IFERROR(__xludf.DUMMYFUNCTION("""COMPUTED_VALUE"""),2)</f>
        <v>2</v>
      </c>
      <c r="L24" s="37">
        <f ca="1">IFERROR(__xludf.DUMMYFUNCTION("""COMPUTED_VALUE"""),0)</f>
        <v>0</v>
      </c>
      <c r="M24" s="37">
        <f ca="1">IFERROR(__xludf.DUMMYFUNCTION("""COMPUTED_VALUE"""),0)</f>
        <v>0</v>
      </c>
      <c r="N24" s="39">
        <f ca="1">IFERROR(__xludf.DUMMYFUNCTION("""COMPUTED_VALUE"""),13.5)</f>
        <v>13.5</v>
      </c>
      <c r="O24" s="40">
        <f ca="1">IFERROR(__xludf.DUMMYFUNCTION("""COMPUTED_VALUE"""),0.089)</f>
        <v>8.8999999999999996E-2</v>
      </c>
      <c r="P24" s="37">
        <f ca="1">IFERROR(__xludf.DUMMYFUNCTION("""COMPUTED_VALUE"""),1)</f>
        <v>1</v>
      </c>
      <c r="Q24" s="37">
        <f ca="1">IFERROR(__xludf.DUMMYFUNCTION("""COMPUTED_VALUE"""),1)</f>
        <v>1</v>
      </c>
      <c r="R24" s="37"/>
      <c r="S24" s="37"/>
      <c r="T24" s="37"/>
      <c r="U24" s="37"/>
      <c r="V24" s="37"/>
    </row>
    <row r="25" spans="1:22" x14ac:dyDescent="0.35">
      <c r="A25" s="37" t="str">
        <f ca="1">IFERROR(__xludf.DUMMYFUNCTION("""COMPUTED_VALUE"""),"5420")</f>
        <v>5420</v>
      </c>
      <c r="B25" s="37" t="str">
        <f ca="1">IFERROR(__xludf.DUMMYFUNCTION("""COMPUTED_VALUE"""),"Spherulitestone")</f>
        <v>Spherulitestone</v>
      </c>
      <c r="C25" s="37">
        <f ca="1">IFERROR(__xludf.DUMMYFUNCTION("""COMPUTED_VALUE"""),2)</f>
        <v>2</v>
      </c>
      <c r="D25" s="37">
        <f ca="1">IFERROR(__xludf.DUMMYFUNCTION("""COMPUTED_VALUE"""),61)</f>
        <v>61</v>
      </c>
      <c r="E25" s="37">
        <f ca="1">IFERROR(__xludf.DUMMYFUNCTION("""COMPUTED_VALUE"""),2)</f>
        <v>2</v>
      </c>
      <c r="F25" s="37">
        <f ca="1">IFERROR(__xludf.DUMMYFUNCTION("""COMPUTED_VALUE"""),30)</f>
        <v>30</v>
      </c>
      <c r="G25" s="37">
        <f ca="1">IFERROR(__xludf.DUMMYFUNCTION("""COMPUTED_VALUE"""),5)</f>
        <v>5</v>
      </c>
      <c r="H25" s="37">
        <f ca="1">IFERROR(__xludf.DUMMYFUNCTION("""COMPUTED_VALUE"""),0)</f>
        <v>0</v>
      </c>
      <c r="I25" s="37">
        <f ca="1">IFERROR(__xludf.DUMMYFUNCTION("""COMPUTED_VALUE"""),1)</f>
        <v>1</v>
      </c>
      <c r="J25" s="37">
        <f ca="1">IFERROR(__xludf.DUMMYFUNCTION("""COMPUTED_VALUE"""),1)</f>
        <v>1</v>
      </c>
      <c r="K25" s="37">
        <f ca="1">IFERROR(__xludf.DUMMYFUNCTION("""COMPUTED_VALUE"""),1)</f>
        <v>1</v>
      </c>
      <c r="L25" s="37">
        <f ca="1">IFERROR(__xludf.DUMMYFUNCTION("""COMPUTED_VALUE"""),0)</f>
        <v>0</v>
      </c>
      <c r="M25" s="37">
        <f ca="1">IFERROR(__xludf.DUMMYFUNCTION("""COMPUTED_VALUE"""),0)</f>
        <v>0</v>
      </c>
      <c r="N25" s="39">
        <f ca="1">IFERROR(__xludf.DUMMYFUNCTION("""COMPUTED_VALUE"""),10.1)</f>
        <v>10.1</v>
      </c>
      <c r="O25" s="40">
        <f ca="1">IFERROR(__xludf.DUMMYFUNCTION("""COMPUTED_VALUE"""),0.134)</f>
        <v>0.13400000000000001</v>
      </c>
      <c r="P25" s="37">
        <f ca="1">IFERROR(__xludf.DUMMYFUNCTION("""COMPUTED_VALUE"""),1)</f>
        <v>1</v>
      </c>
      <c r="Q25" s="37">
        <f ca="1">IFERROR(__xludf.DUMMYFUNCTION("""COMPUTED_VALUE"""),1)</f>
        <v>1</v>
      </c>
      <c r="R25" s="37"/>
      <c r="S25" s="37"/>
      <c r="T25" s="37"/>
      <c r="U25" s="37"/>
      <c r="V25" s="37"/>
    </row>
    <row r="26" spans="1:22" x14ac:dyDescent="0.35">
      <c r="A26" s="37" t="str">
        <f ca="1">IFERROR(__xludf.DUMMYFUNCTION("""COMPUTED_VALUE"""),"5428")</f>
        <v>5428</v>
      </c>
      <c r="B26" s="37" t="str">
        <f ca="1">IFERROR(__xludf.DUMMYFUNCTION("""COMPUTED_VALUE"""),"Intraclastic packstone")</f>
        <v>Intraclastic packstone</v>
      </c>
      <c r="C26" s="37">
        <f ca="1">IFERROR(__xludf.DUMMYFUNCTION("""COMPUTED_VALUE"""),9)</f>
        <v>9</v>
      </c>
      <c r="D26" s="37">
        <f ca="1">IFERROR(__xludf.DUMMYFUNCTION("""COMPUTED_VALUE"""),34)</f>
        <v>34</v>
      </c>
      <c r="E26" s="37">
        <f ca="1">IFERROR(__xludf.DUMMYFUNCTION("""COMPUTED_VALUE"""),12)</f>
        <v>12</v>
      </c>
      <c r="F26" s="37">
        <f ca="1">IFERROR(__xludf.DUMMYFUNCTION("""COMPUTED_VALUE"""),30)</f>
        <v>30</v>
      </c>
      <c r="G26" s="37">
        <f ca="1">IFERROR(__xludf.DUMMYFUNCTION("""COMPUTED_VALUE"""),8)</f>
        <v>8</v>
      </c>
      <c r="H26" s="37">
        <f ca="1">IFERROR(__xludf.DUMMYFUNCTION("""COMPUTED_VALUE"""),2)</f>
        <v>2</v>
      </c>
      <c r="I26" s="37">
        <f ca="1">IFERROR(__xludf.DUMMYFUNCTION("""COMPUTED_VALUE"""),0)</f>
        <v>0</v>
      </c>
      <c r="J26" s="37">
        <f ca="1">IFERROR(__xludf.DUMMYFUNCTION("""COMPUTED_VALUE"""),13)</f>
        <v>13</v>
      </c>
      <c r="K26" s="37">
        <f ca="1">IFERROR(__xludf.DUMMYFUNCTION("""COMPUTED_VALUE"""),3)</f>
        <v>3</v>
      </c>
      <c r="L26" s="37">
        <f ca="1">IFERROR(__xludf.DUMMYFUNCTION("""COMPUTED_VALUE"""),0)</f>
        <v>0</v>
      </c>
      <c r="M26" s="37">
        <f ca="1">IFERROR(__xludf.DUMMYFUNCTION("""COMPUTED_VALUE"""),0)</f>
        <v>0</v>
      </c>
      <c r="N26" s="39">
        <f ca="1">IFERROR(__xludf.DUMMYFUNCTION("""COMPUTED_VALUE"""),18.7)</f>
        <v>18.7</v>
      </c>
      <c r="O26" s="40">
        <f ca="1">IFERROR(__xludf.DUMMYFUNCTION("""COMPUTED_VALUE"""),4.03)</f>
        <v>4.03</v>
      </c>
      <c r="P26" s="37">
        <f ca="1">IFERROR(__xludf.DUMMYFUNCTION("""COMPUTED_VALUE"""),2)</f>
        <v>2</v>
      </c>
      <c r="Q26" s="37">
        <f ca="1">IFERROR(__xludf.DUMMYFUNCTION("""COMPUTED_VALUE"""),1)</f>
        <v>1</v>
      </c>
      <c r="R26" s="37"/>
      <c r="S26" s="37"/>
      <c r="T26" s="37"/>
      <c r="U26" s="37"/>
      <c r="V26" s="37"/>
    </row>
    <row r="27" spans="1:22" x14ac:dyDescent="0.35">
      <c r="A27" s="37" t="str">
        <f ca="1">IFERROR(__xludf.DUMMYFUNCTION("""COMPUTED_VALUE"""),"5435")</f>
        <v>5435</v>
      </c>
      <c r="B27" s="37" t="str">
        <f ca="1">IFERROR(__xludf.DUMMYFUNCTION("""COMPUTED_VALUE"""),"Intraclastic packstone")</f>
        <v>Intraclastic packstone</v>
      </c>
      <c r="C27" s="37">
        <f ca="1">IFERROR(__xludf.DUMMYFUNCTION("""COMPUTED_VALUE"""),9)</f>
        <v>9</v>
      </c>
      <c r="D27" s="37">
        <f ca="1">IFERROR(__xludf.DUMMYFUNCTION("""COMPUTED_VALUE"""),57)</f>
        <v>57</v>
      </c>
      <c r="E27" s="37">
        <f ca="1">IFERROR(__xludf.DUMMYFUNCTION("""COMPUTED_VALUE"""),10)</f>
        <v>10</v>
      </c>
      <c r="F27" s="37">
        <f ca="1">IFERROR(__xludf.DUMMYFUNCTION("""COMPUTED_VALUE"""),28)</f>
        <v>28</v>
      </c>
      <c r="G27" s="37">
        <f ca="1">IFERROR(__xludf.DUMMYFUNCTION("""COMPUTED_VALUE"""),4)</f>
        <v>4</v>
      </c>
      <c r="H27" s="37">
        <f ca="1">IFERROR(__xludf.DUMMYFUNCTION("""COMPUTED_VALUE"""),3)</f>
        <v>3</v>
      </c>
      <c r="I27" s="37">
        <f ca="1">IFERROR(__xludf.DUMMYFUNCTION("""COMPUTED_VALUE"""),0)</f>
        <v>0</v>
      </c>
      <c r="J27" s="37">
        <f ca="1">IFERROR(__xludf.DUMMYFUNCTION("""COMPUTED_VALUE"""),1)</f>
        <v>1</v>
      </c>
      <c r="K27" s="37">
        <f ca="1">IFERROR(__xludf.DUMMYFUNCTION("""COMPUTED_VALUE"""),0)</f>
        <v>0</v>
      </c>
      <c r="L27" s="37">
        <f ca="1">IFERROR(__xludf.DUMMYFUNCTION("""COMPUTED_VALUE"""),0)</f>
        <v>0</v>
      </c>
      <c r="M27" s="37">
        <f ca="1">IFERROR(__xludf.DUMMYFUNCTION("""COMPUTED_VALUE"""),0)</f>
        <v>0</v>
      </c>
      <c r="N27" s="39">
        <f ca="1">IFERROR(__xludf.DUMMYFUNCTION("""COMPUTED_VALUE"""),9.6)</f>
        <v>9.6</v>
      </c>
      <c r="O27" s="40">
        <f ca="1">IFERROR(__xludf.DUMMYFUNCTION("""COMPUTED_VALUE"""),0.014)</f>
        <v>1.4E-2</v>
      </c>
      <c r="P27" s="37">
        <f ca="1">IFERROR(__xludf.DUMMYFUNCTION("""COMPUTED_VALUE"""),1)</f>
        <v>1</v>
      </c>
      <c r="Q27" s="37">
        <f ca="1">IFERROR(__xludf.DUMMYFUNCTION("""COMPUTED_VALUE"""),1)</f>
        <v>1</v>
      </c>
      <c r="R27" s="37"/>
      <c r="S27" s="37"/>
      <c r="T27" s="37"/>
      <c r="U27" s="37"/>
      <c r="V27" s="37"/>
    </row>
    <row r="28" spans="1:22" x14ac:dyDescent="0.35">
      <c r="A28" s="37" t="str">
        <f ca="1">IFERROR(__xludf.DUMMYFUNCTION("""COMPUTED_VALUE"""),"5438")</f>
        <v>5438</v>
      </c>
      <c r="B28" s="37" t="str">
        <f ca="1">IFERROR(__xludf.DUMMYFUNCTION("""COMPUTED_VALUE"""),"Intraclastic packstone")</f>
        <v>Intraclastic packstone</v>
      </c>
      <c r="C28" s="37">
        <f ca="1">IFERROR(__xludf.DUMMYFUNCTION("""COMPUTED_VALUE"""),9)</f>
        <v>9</v>
      </c>
      <c r="D28" s="37">
        <f ca="1">IFERROR(__xludf.DUMMYFUNCTION("""COMPUTED_VALUE"""),42)</f>
        <v>42</v>
      </c>
      <c r="E28" s="37">
        <f ca="1">IFERROR(__xludf.DUMMYFUNCTION("""COMPUTED_VALUE"""),5)</f>
        <v>5</v>
      </c>
      <c r="F28" s="37">
        <f ca="1">IFERROR(__xludf.DUMMYFUNCTION("""COMPUTED_VALUE"""),26)</f>
        <v>26</v>
      </c>
      <c r="G28" s="37">
        <f ca="1">IFERROR(__xludf.DUMMYFUNCTION("""COMPUTED_VALUE"""),13)</f>
        <v>13</v>
      </c>
      <c r="H28" s="37">
        <f ca="1">IFERROR(__xludf.DUMMYFUNCTION("""COMPUTED_VALUE"""),3)</f>
        <v>3</v>
      </c>
      <c r="I28" s="37">
        <f ca="1">IFERROR(__xludf.DUMMYFUNCTION("""COMPUTED_VALUE"""),0)</f>
        <v>0</v>
      </c>
      <c r="J28" s="37">
        <f ca="1">IFERROR(__xludf.DUMMYFUNCTION("""COMPUTED_VALUE"""),10)</f>
        <v>10</v>
      </c>
      <c r="K28" s="37">
        <f ca="1">IFERROR(__xludf.DUMMYFUNCTION("""COMPUTED_VALUE"""),4)</f>
        <v>4</v>
      </c>
      <c r="L28" s="37">
        <f ca="1">IFERROR(__xludf.DUMMYFUNCTION("""COMPUTED_VALUE"""),0)</f>
        <v>0</v>
      </c>
      <c r="M28" s="37">
        <f ca="1">IFERROR(__xludf.DUMMYFUNCTION("""COMPUTED_VALUE"""),0)</f>
        <v>0</v>
      </c>
      <c r="N28" s="39">
        <f ca="1">IFERROR(__xludf.DUMMYFUNCTION("""COMPUTED_VALUE"""),19.1)</f>
        <v>19.100000000000001</v>
      </c>
      <c r="O28" s="40">
        <f ca="1">IFERROR(__xludf.DUMMYFUNCTION("""COMPUTED_VALUE"""),0.963)</f>
        <v>0.96299999999999997</v>
      </c>
      <c r="P28" s="37">
        <f ca="1">IFERROR(__xludf.DUMMYFUNCTION("""COMPUTED_VALUE"""),2)</f>
        <v>2</v>
      </c>
      <c r="Q28" s="37">
        <f ca="1">IFERROR(__xludf.DUMMYFUNCTION("""COMPUTED_VALUE"""),1)</f>
        <v>1</v>
      </c>
      <c r="R28" s="37"/>
      <c r="S28" s="37"/>
      <c r="T28" s="37"/>
      <c r="U28" s="37"/>
      <c r="V28" s="37"/>
    </row>
    <row r="29" spans="1:22" x14ac:dyDescent="0.35">
      <c r="A29" s="37" t="str">
        <f ca="1">IFERROR(__xludf.DUMMYFUNCTION("""COMPUTED_VALUE"""),"5440")</f>
        <v>5440</v>
      </c>
      <c r="B29" s="37" t="str">
        <f ca="1">IFERROR(__xludf.DUMMYFUNCTION("""COMPUTED_VALUE"""),"Intraclastic packstone")</f>
        <v>Intraclastic packstone</v>
      </c>
      <c r="C29" s="37">
        <f ca="1">IFERROR(__xludf.DUMMYFUNCTION("""COMPUTED_VALUE"""),9)</f>
        <v>9</v>
      </c>
      <c r="D29" s="37">
        <f ca="1">IFERROR(__xludf.DUMMYFUNCTION("""COMPUTED_VALUE"""),24)</f>
        <v>24</v>
      </c>
      <c r="E29" s="37">
        <f ca="1">IFERROR(__xludf.DUMMYFUNCTION("""COMPUTED_VALUE"""),40)</f>
        <v>40</v>
      </c>
      <c r="F29" s="37">
        <f ca="1">IFERROR(__xludf.DUMMYFUNCTION("""COMPUTED_VALUE"""),12)</f>
        <v>12</v>
      </c>
      <c r="G29" s="37">
        <f ca="1">IFERROR(__xludf.DUMMYFUNCTION("""COMPUTED_VALUE"""),10)</f>
        <v>10</v>
      </c>
      <c r="H29" s="37">
        <f ca="1">IFERROR(__xludf.DUMMYFUNCTION("""COMPUTED_VALUE"""),0)</f>
        <v>0</v>
      </c>
      <c r="I29" s="37">
        <f ca="1">IFERROR(__xludf.DUMMYFUNCTION("""COMPUTED_VALUE"""),0)</f>
        <v>0</v>
      </c>
      <c r="J29" s="37">
        <f ca="1">IFERROR(__xludf.DUMMYFUNCTION("""COMPUTED_VALUE"""),12)</f>
        <v>12</v>
      </c>
      <c r="K29" s="37">
        <f ca="1">IFERROR(__xludf.DUMMYFUNCTION("""COMPUTED_VALUE"""),2)</f>
        <v>2</v>
      </c>
      <c r="L29" s="37">
        <f ca="1">IFERROR(__xludf.DUMMYFUNCTION("""COMPUTED_VALUE"""),0)</f>
        <v>0</v>
      </c>
      <c r="M29" s="37">
        <f ca="1">IFERROR(__xludf.DUMMYFUNCTION("""COMPUTED_VALUE"""),0)</f>
        <v>0</v>
      </c>
      <c r="N29" s="39">
        <f ca="1">IFERROR(__xludf.DUMMYFUNCTION("""COMPUTED_VALUE"""),14.5)</f>
        <v>14.5</v>
      </c>
      <c r="O29" s="40">
        <f ca="1">IFERROR(__xludf.DUMMYFUNCTION("""COMPUTED_VALUE"""),0.085)</f>
        <v>8.5000000000000006E-2</v>
      </c>
      <c r="P29" s="37">
        <f ca="1">IFERROR(__xludf.DUMMYFUNCTION("""COMPUTED_VALUE"""),1)</f>
        <v>1</v>
      </c>
      <c r="Q29" s="37">
        <f ca="1">IFERROR(__xludf.DUMMYFUNCTION("""COMPUTED_VALUE"""),1)</f>
        <v>1</v>
      </c>
      <c r="R29" s="37"/>
      <c r="S29" s="37"/>
      <c r="T29" s="37"/>
      <c r="U29" s="37"/>
      <c r="V29" s="37"/>
    </row>
    <row r="30" spans="1:22" x14ac:dyDescent="0.35">
      <c r="A30" s="37" t="str">
        <f ca="1">IFERROR(__xludf.DUMMYFUNCTION("""COMPUTED_VALUE"""),"5450")</f>
        <v>5450</v>
      </c>
      <c r="B30" s="37" t="str">
        <f ca="1">IFERROR(__xludf.DUMMYFUNCTION("""COMPUTED_VALUE"""),"Intraclastic packstone")</f>
        <v>Intraclastic packstone</v>
      </c>
      <c r="C30" s="37">
        <f ca="1">IFERROR(__xludf.DUMMYFUNCTION("""COMPUTED_VALUE"""),9)</f>
        <v>9</v>
      </c>
      <c r="D30" s="37">
        <f ca="1">IFERROR(__xludf.DUMMYFUNCTION("""COMPUTED_VALUE"""),57)</f>
        <v>57</v>
      </c>
      <c r="E30" s="37">
        <f ca="1">IFERROR(__xludf.DUMMYFUNCTION("""COMPUTED_VALUE"""),10)</f>
        <v>10</v>
      </c>
      <c r="F30" s="37">
        <f ca="1">IFERROR(__xludf.DUMMYFUNCTION("""COMPUTED_VALUE"""),20)</f>
        <v>20</v>
      </c>
      <c r="G30" s="37">
        <f ca="1">IFERROR(__xludf.DUMMYFUNCTION("""COMPUTED_VALUE"""),5)</f>
        <v>5</v>
      </c>
      <c r="H30" s="37">
        <f ca="1">IFERROR(__xludf.DUMMYFUNCTION("""COMPUTED_VALUE"""),3)</f>
        <v>3</v>
      </c>
      <c r="I30" s="37">
        <f ca="1">IFERROR(__xludf.DUMMYFUNCTION("""COMPUTED_VALUE"""),0)</f>
        <v>0</v>
      </c>
      <c r="J30" s="37">
        <f ca="1">IFERROR(__xludf.DUMMYFUNCTION("""COMPUTED_VALUE"""),6)</f>
        <v>6</v>
      </c>
      <c r="K30" s="37">
        <f ca="1">IFERROR(__xludf.DUMMYFUNCTION("""COMPUTED_VALUE"""),2)</f>
        <v>2</v>
      </c>
      <c r="L30" s="37">
        <f ca="1">IFERROR(__xludf.DUMMYFUNCTION("""COMPUTED_VALUE"""),0)</f>
        <v>0</v>
      </c>
      <c r="M30" s="37">
        <f ca="1">IFERROR(__xludf.DUMMYFUNCTION("""COMPUTED_VALUE"""),0)</f>
        <v>0</v>
      </c>
      <c r="N30" s="39">
        <f ca="1">IFERROR(__xludf.DUMMYFUNCTION("""COMPUTED_VALUE"""),12.3)</f>
        <v>12.3</v>
      </c>
      <c r="O30" s="40">
        <f ca="1">IFERROR(__xludf.DUMMYFUNCTION("""COMPUTED_VALUE"""),0.076)</f>
        <v>7.5999999999999998E-2</v>
      </c>
      <c r="P30" s="37">
        <f ca="1">IFERROR(__xludf.DUMMYFUNCTION("""COMPUTED_VALUE"""),2)</f>
        <v>2</v>
      </c>
      <c r="Q30" s="37">
        <f ca="1">IFERROR(__xludf.DUMMYFUNCTION("""COMPUTED_VALUE"""),1)</f>
        <v>1</v>
      </c>
      <c r="R30" s="37"/>
      <c r="S30" s="37"/>
      <c r="T30" s="37"/>
      <c r="U30" s="37"/>
      <c r="V30" s="37"/>
    </row>
    <row r="31" spans="1:22" x14ac:dyDescent="0.35">
      <c r="A31" s="37" t="str">
        <f ca="1">IFERROR(__xludf.DUMMYFUNCTION("""COMPUTED_VALUE"""),"5470")</f>
        <v>5470</v>
      </c>
      <c r="B31" s="37" t="str">
        <f ca="1">IFERROR(__xludf.DUMMYFUNCTION("""COMPUTED_VALUE"""),"Shrubby spherulitestone with mud")</f>
        <v>Shrubby spherulitestone with mud</v>
      </c>
      <c r="C31" s="37">
        <f ca="1">IFERROR(__xludf.DUMMYFUNCTION("""COMPUTED_VALUE"""),7)</f>
        <v>7</v>
      </c>
      <c r="D31" s="37">
        <f ca="1">IFERROR(__xludf.DUMMYFUNCTION("""COMPUTED_VALUE"""),62)</f>
        <v>62</v>
      </c>
      <c r="E31" s="37">
        <f ca="1">IFERROR(__xludf.DUMMYFUNCTION("""COMPUTED_VALUE"""),15)</f>
        <v>15</v>
      </c>
      <c r="F31" s="37">
        <f ca="1">IFERROR(__xludf.DUMMYFUNCTION("""COMPUTED_VALUE"""),12)</f>
        <v>12</v>
      </c>
      <c r="G31" s="37">
        <f ca="1">IFERROR(__xludf.DUMMYFUNCTION("""COMPUTED_VALUE"""),2)</f>
        <v>2</v>
      </c>
      <c r="H31" s="37">
        <f ca="1">IFERROR(__xludf.DUMMYFUNCTION("""COMPUTED_VALUE"""),4)</f>
        <v>4</v>
      </c>
      <c r="I31" s="37">
        <f ca="1">IFERROR(__xludf.DUMMYFUNCTION("""COMPUTED_VALUE"""),1)</f>
        <v>1</v>
      </c>
      <c r="J31" s="37">
        <f ca="1">IFERROR(__xludf.DUMMYFUNCTION("""COMPUTED_VALUE"""),3)</f>
        <v>3</v>
      </c>
      <c r="K31" s="37">
        <f ca="1">IFERROR(__xludf.DUMMYFUNCTION("""COMPUTED_VALUE"""),6)</f>
        <v>6</v>
      </c>
      <c r="L31" s="37">
        <f ca="1">IFERROR(__xludf.DUMMYFUNCTION("""COMPUTED_VALUE"""),0)</f>
        <v>0</v>
      </c>
      <c r="M31" s="37">
        <f ca="1">IFERROR(__xludf.DUMMYFUNCTION("""COMPUTED_VALUE"""),0)</f>
        <v>0</v>
      </c>
      <c r="N31" s="39">
        <f ca="1">IFERROR(__xludf.DUMMYFUNCTION("""COMPUTED_VALUE"""),11.3)</f>
        <v>11.3</v>
      </c>
      <c r="O31" s="40">
        <f ca="1">IFERROR(__xludf.DUMMYFUNCTION("""COMPUTED_VALUE"""),0.012)</f>
        <v>1.2E-2</v>
      </c>
      <c r="P31" s="37">
        <f ca="1">IFERROR(__xludf.DUMMYFUNCTION("""COMPUTED_VALUE"""),1)</f>
        <v>1</v>
      </c>
      <c r="Q31" s="37">
        <f ca="1">IFERROR(__xludf.DUMMYFUNCTION("""COMPUTED_VALUE"""),1)</f>
        <v>1</v>
      </c>
      <c r="R31" s="37"/>
      <c r="S31" s="37"/>
      <c r="T31" s="37"/>
      <c r="U31" s="37"/>
      <c r="V31" s="37"/>
    </row>
    <row r="32" spans="1:22" x14ac:dyDescent="0.35">
      <c r="A32" s="37" t="str">
        <f ca="1">IFERROR(__xludf.DUMMYFUNCTION("""COMPUTED_VALUE"""),"5474")</f>
        <v>5474</v>
      </c>
      <c r="B32" s="37" t="str">
        <f ca="1">IFERROR(__xludf.DUMMYFUNCTION("""COMPUTED_VALUE"""),"Shrubstone")</f>
        <v>Shrubstone</v>
      </c>
      <c r="C32" s="37">
        <f ca="1">IFERROR(__xludf.DUMMYFUNCTION("""COMPUTED_VALUE"""),1)</f>
        <v>1</v>
      </c>
      <c r="D32" s="37">
        <f ca="1">IFERROR(__xludf.DUMMYFUNCTION("""COMPUTED_VALUE"""),52)</f>
        <v>52</v>
      </c>
      <c r="E32" s="37">
        <f ca="1">IFERROR(__xludf.DUMMYFUNCTION("""COMPUTED_VALUE"""),14)</f>
        <v>14</v>
      </c>
      <c r="F32" s="37">
        <f ca="1">IFERROR(__xludf.DUMMYFUNCTION("""COMPUTED_VALUE"""),13)</f>
        <v>13</v>
      </c>
      <c r="G32" s="37">
        <f ca="1">IFERROR(__xludf.DUMMYFUNCTION("""COMPUTED_VALUE"""),9)</f>
        <v>9</v>
      </c>
      <c r="H32" s="37">
        <f ca="1">IFERROR(__xludf.DUMMYFUNCTION("""COMPUTED_VALUE"""),0)</f>
        <v>0</v>
      </c>
      <c r="I32" s="37">
        <f ca="1">IFERROR(__xludf.DUMMYFUNCTION("""COMPUTED_VALUE"""),1)</f>
        <v>1</v>
      </c>
      <c r="J32" s="37">
        <f ca="1">IFERROR(__xludf.DUMMYFUNCTION("""COMPUTED_VALUE"""),6)</f>
        <v>6</v>
      </c>
      <c r="K32" s="37">
        <f ca="1">IFERROR(__xludf.DUMMYFUNCTION("""COMPUTED_VALUE"""),6)</f>
        <v>6</v>
      </c>
      <c r="L32" s="37">
        <f ca="1">IFERROR(__xludf.DUMMYFUNCTION("""COMPUTED_VALUE"""),0)</f>
        <v>0</v>
      </c>
      <c r="M32" s="37">
        <f ca="1">IFERROR(__xludf.DUMMYFUNCTION("""COMPUTED_VALUE"""),0)</f>
        <v>0</v>
      </c>
      <c r="N32" s="39">
        <f ca="1">IFERROR(__xludf.DUMMYFUNCTION("""COMPUTED_VALUE"""),12.7)</f>
        <v>12.7</v>
      </c>
      <c r="O32" s="40">
        <f ca="1">IFERROR(__xludf.DUMMYFUNCTION("""COMPUTED_VALUE"""),0.049)</f>
        <v>4.9000000000000002E-2</v>
      </c>
      <c r="P32" s="37">
        <f ca="1">IFERROR(__xludf.DUMMYFUNCTION("""COMPUTED_VALUE"""),1)</f>
        <v>1</v>
      </c>
      <c r="Q32" s="37">
        <f ca="1">IFERROR(__xludf.DUMMYFUNCTION("""COMPUTED_VALUE"""),1)</f>
        <v>1</v>
      </c>
      <c r="R32" s="37"/>
      <c r="S32" s="37"/>
      <c r="T32" s="37"/>
      <c r="U32" s="37"/>
      <c r="V32" s="37"/>
    </row>
    <row r="33" spans="1:22" x14ac:dyDescent="0.35">
      <c r="A33" s="37" t="str">
        <f ca="1">IFERROR(__xludf.DUMMYFUNCTION("""COMPUTED_VALUE"""),"5485")</f>
        <v>5485</v>
      </c>
      <c r="B33" s="37" t="str">
        <f ca="1">IFERROR(__xludf.DUMMYFUNCTION("""COMPUTED_VALUE"""),"Shrubstone")</f>
        <v>Shrubstone</v>
      </c>
      <c r="C33" s="37">
        <f ca="1">IFERROR(__xludf.DUMMYFUNCTION("""COMPUTED_VALUE"""),1)</f>
        <v>1</v>
      </c>
      <c r="D33" s="37">
        <f ca="1">IFERROR(__xludf.DUMMYFUNCTION("""COMPUTED_VALUE"""),61)</f>
        <v>61</v>
      </c>
      <c r="E33" s="37">
        <f ca="1">IFERROR(__xludf.DUMMYFUNCTION("""COMPUTED_VALUE"""),6)</f>
        <v>6</v>
      </c>
      <c r="F33" s="37">
        <f ca="1">IFERROR(__xludf.DUMMYFUNCTION("""COMPUTED_VALUE"""),20)</f>
        <v>20</v>
      </c>
      <c r="G33" s="37">
        <f ca="1">IFERROR(__xludf.DUMMYFUNCTION("""COMPUTED_VALUE"""),4)</f>
        <v>4</v>
      </c>
      <c r="H33" s="37">
        <f ca="1">IFERROR(__xludf.DUMMYFUNCTION("""COMPUTED_VALUE"""),3)</f>
        <v>3</v>
      </c>
      <c r="I33" s="37">
        <f ca="1">IFERROR(__xludf.DUMMYFUNCTION("""COMPUTED_VALUE"""),1)</f>
        <v>1</v>
      </c>
      <c r="J33" s="37">
        <f ca="1">IFERROR(__xludf.DUMMYFUNCTION("""COMPUTED_VALUE"""),1)</f>
        <v>1</v>
      </c>
      <c r="K33" s="37">
        <f ca="1">IFERROR(__xludf.DUMMYFUNCTION("""COMPUTED_VALUE"""),8)</f>
        <v>8</v>
      </c>
      <c r="L33" s="37">
        <f ca="1">IFERROR(__xludf.DUMMYFUNCTION("""COMPUTED_VALUE"""),0)</f>
        <v>0</v>
      </c>
      <c r="M33" s="37">
        <f ca="1">IFERROR(__xludf.DUMMYFUNCTION("""COMPUTED_VALUE"""),0)</f>
        <v>0</v>
      </c>
      <c r="N33" s="39">
        <f ca="1">IFERROR(__xludf.DUMMYFUNCTION("""COMPUTED_VALUE"""),10)</f>
        <v>10</v>
      </c>
      <c r="O33" s="40">
        <f ca="1">IFERROR(__xludf.DUMMYFUNCTION("""COMPUTED_VALUE"""),0.018)</f>
        <v>1.7999999999999999E-2</v>
      </c>
      <c r="P33" s="37">
        <f ca="1">IFERROR(__xludf.DUMMYFUNCTION("""COMPUTED_VALUE"""),2)</f>
        <v>2</v>
      </c>
      <c r="Q33" s="37">
        <f ca="1">IFERROR(__xludf.DUMMYFUNCTION("""COMPUTED_VALUE"""),1)</f>
        <v>1</v>
      </c>
      <c r="R33" s="37"/>
      <c r="S33" s="37"/>
      <c r="T33" s="37"/>
      <c r="U33" s="37"/>
      <c r="V33" s="37"/>
    </row>
    <row r="34" spans="1:22" x14ac:dyDescent="0.35">
      <c r="A34" s="37" t="str">
        <f ca="1">IFERROR(__xludf.DUMMYFUNCTION("""COMPUTED_VALUE"""),"5490")</f>
        <v>5490</v>
      </c>
      <c r="B34" s="37" t="str">
        <f ca="1">IFERROR(__xludf.DUMMYFUNCTION("""COMPUTED_VALUE"""),"Intraclastic packstone")</f>
        <v>Intraclastic packstone</v>
      </c>
      <c r="C34" s="37">
        <f ca="1">IFERROR(__xludf.DUMMYFUNCTION("""COMPUTED_VALUE"""),9)</f>
        <v>9</v>
      </c>
      <c r="D34" s="37">
        <f ca="1">IFERROR(__xludf.DUMMYFUNCTION("""COMPUTED_VALUE"""),72)</f>
        <v>72</v>
      </c>
      <c r="E34" s="37">
        <f ca="1">IFERROR(__xludf.DUMMYFUNCTION("""COMPUTED_VALUE"""),16)</f>
        <v>16</v>
      </c>
      <c r="F34" s="37">
        <f ca="1">IFERROR(__xludf.DUMMYFUNCTION("""COMPUTED_VALUE"""),6)</f>
        <v>6</v>
      </c>
      <c r="G34" s="37">
        <f ca="1">IFERROR(__xludf.DUMMYFUNCTION("""COMPUTED_VALUE"""),2)</f>
        <v>2</v>
      </c>
      <c r="H34" s="37">
        <f ca="1">IFERROR(__xludf.DUMMYFUNCTION("""COMPUTED_VALUE"""),2)</f>
        <v>2</v>
      </c>
      <c r="I34" s="37">
        <f ca="1">IFERROR(__xludf.DUMMYFUNCTION("""COMPUTED_VALUE"""),0)</f>
        <v>0</v>
      </c>
      <c r="J34" s="37">
        <f ca="1">IFERROR(__xludf.DUMMYFUNCTION("""COMPUTED_VALUE"""),1)</f>
        <v>1</v>
      </c>
      <c r="K34" s="37">
        <f ca="1">IFERROR(__xludf.DUMMYFUNCTION("""COMPUTED_VALUE"""),3)</f>
        <v>3</v>
      </c>
      <c r="L34" s="37">
        <f ca="1">IFERROR(__xludf.DUMMYFUNCTION("""COMPUTED_VALUE"""),0)</f>
        <v>0</v>
      </c>
      <c r="M34" s="37">
        <f ca="1">IFERROR(__xludf.DUMMYFUNCTION("""COMPUTED_VALUE"""),0)</f>
        <v>0</v>
      </c>
      <c r="N34" s="39">
        <f ca="1">IFERROR(__xludf.DUMMYFUNCTION("""COMPUTED_VALUE"""),8.8)</f>
        <v>8.8000000000000007</v>
      </c>
      <c r="O34" s="40">
        <f ca="1">IFERROR(__xludf.DUMMYFUNCTION("""COMPUTED_VALUE"""),0.005)</f>
        <v>5.0000000000000001E-3</v>
      </c>
      <c r="P34" s="37">
        <f ca="1">IFERROR(__xludf.DUMMYFUNCTION("""COMPUTED_VALUE"""),2)</f>
        <v>2</v>
      </c>
      <c r="Q34" s="37">
        <f ca="1">IFERROR(__xludf.DUMMYFUNCTION("""COMPUTED_VALUE"""),1)</f>
        <v>1</v>
      </c>
      <c r="R34" s="37"/>
      <c r="S34" s="37"/>
      <c r="T34" s="37"/>
      <c r="U34" s="37"/>
      <c r="V34" s="37"/>
    </row>
    <row r="35" spans="1:22" x14ac:dyDescent="0.35">
      <c r="A35" s="37" t="str">
        <f ca="1">IFERROR(__xludf.DUMMYFUNCTION("""COMPUTED_VALUE"""),"5495")</f>
        <v>5495</v>
      </c>
      <c r="B35" s="37" t="str">
        <f ca="1">IFERROR(__xludf.DUMMYFUNCTION("""COMPUTED_VALUE"""),"Intraclastic rudstone")</f>
        <v>Intraclastic rudstone</v>
      </c>
      <c r="C35" s="37">
        <f ca="1">IFERROR(__xludf.DUMMYFUNCTION("""COMPUTED_VALUE"""),10)</f>
        <v>10</v>
      </c>
      <c r="D35" s="37">
        <f ca="1">IFERROR(__xludf.DUMMYFUNCTION("""COMPUTED_VALUE"""),68)</f>
        <v>68</v>
      </c>
      <c r="E35" s="37">
        <f ca="1">IFERROR(__xludf.DUMMYFUNCTION("""COMPUTED_VALUE"""),11)</f>
        <v>11</v>
      </c>
      <c r="F35" s="37">
        <f ca="1">IFERROR(__xludf.DUMMYFUNCTION("""COMPUTED_VALUE"""),8)</f>
        <v>8</v>
      </c>
      <c r="G35" s="37">
        <f ca="1">IFERROR(__xludf.DUMMYFUNCTION("""COMPUTED_VALUE"""),1)</f>
        <v>1</v>
      </c>
      <c r="H35" s="37">
        <f ca="1">IFERROR(__xludf.DUMMYFUNCTION("""COMPUTED_VALUE"""),3)</f>
        <v>3</v>
      </c>
      <c r="I35" s="37">
        <f ca="1">IFERROR(__xludf.DUMMYFUNCTION("""COMPUTED_VALUE"""),0)</f>
        <v>0</v>
      </c>
      <c r="J35" s="37">
        <f ca="1">IFERROR(__xludf.DUMMYFUNCTION("""COMPUTED_VALUE"""),0)</f>
        <v>0</v>
      </c>
      <c r="K35" s="37">
        <f ca="1">IFERROR(__xludf.DUMMYFUNCTION("""COMPUTED_VALUE"""),12)</f>
        <v>12</v>
      </c>
      <c r="L35" s="37">
        <f ca="1">IFERROR(__xludf.DUMMYFUNCTION("""COMPUTED_VALUE"""),0)</f>
        <v>0</v>
      </c>
      <c r="M35" s="37">
        <f ca="1">IFERROR(__xludf.DUMMYFUNCTION("""COMPUTED_VALUE"""),0)</f>
        <v>0</v>
      </c>
      <c r="N35" s="39">
        <f ca="1">IFERROR(__xludf.DUMMYFUNCTION("""COMPUTED_VALUE"""),13.4)</f>
        <v>13.4</v>
      </c>
      <c r="O35" s="40">
        <f ca="1">IFERROR(__xludf.DUMMYFUNCTION("""COMPUTED_VALUE"""),0.186)</f>
        <v>0.186</v>
      </c>
      <c r="P35" s="37">
        <f ca="1">IFERROR(__xludf.DUMMYFUNCTION("""COMPUTED_VALUE"""),2)</f>
        <v>2</v>
      </c>
      <c r="Q35" s="37">
        <f ca="1">IFERROR(__xludf.DUMMYFUNCTION("""COMPUTED_VALUE"""),1)</f>
        <v>1</v>
      </c>
      <c r="R35" s="37"/>
      <c r="S35" s="37"/>
      <c r="T35" s="37"/>
      <c r="U35" s="37"/>
      <c r="V35" s="37"/>
    </row>
    <row r="36" spans="1:22" x14ac:dyDescent="0.35">
      <c r="A36" s="37" t="str">
        <f ca="1">IFERROR(__xludf.DUMMYFUNCTION("""COMPUTED_VALUE"""),"5500")</f>
        <v>5500</v>
      </c>
      <c r="B36" s="37" t="str">
        <f ca="1">IFERROR(__xludf.DUMMYFUNCTION("""COMPUTED_VALUE"""),"Intraclastic rudstone")</f>
        <v>Intraclastic rudstone</v>
      </c>
      <c r="C36" s="37">
        <f ca="1">IFERROR(__xludf.DUMMYFUNCTION("""COMPUTED_VALUE"""),10)</f>
        <v>10</v>
      </c>
      <c r="D36" s="37">
        <f ca="1">IFERROR(__xludf.DUMMYFUNCTION("""COMPUTED_VALUE"""),60)</f>
        <v>60</v>
      </c>
      <c r="E36" s="37">
        <f ca="1">IFERROR(__xludf.DUMMYFUNCTION("""COMPUTED_VALUE"""),10)</f>
        <v>10</v>
      </c>
      <c r="F36" s="37">
        <f ca="1">IFERROR(__xludf.DUMMYFUNCTION("""COMPUTED_VALUE"""),18)</f>
        <v>18</v>
      </c>
      <c r="G36" s="37">
        <f ca="1">IFERROR(__xludf.DUMMYFUNCTION("""COMPUTED_VALUE"""),0)</f>
        <v>0</v>
      </c>
      <c r="H36" s="37">
        <f ca="1">IFERROR(__xludf.DUMMYFUNCTION("""COMPUTED_VALUE"""),3)</f>
        <v>3</v>
      </c>
      <c r="I36" s="37">
        <f ca="1">IFERROR(__xludf.DUMMYFUNCTION("""COMPUTED_VALUE"""),0)</f>
        <v>0</v>
      </c>
      <c r="J36" s="37">
        <f ca="1">IFERROR(__xludf.DUMMYFUNCTION("""COMPUTED_VALUE"""),2)</f>
        <v>2</v>
      </c>
      <c r="K36" s="37">
        <f ca="1">IFERROR(__xludf.DUMMYFUNCTION("""COMPUTED_VALUE"""),10)</f>
        <v>10</v>
      </c>
      <c r="L36" s="37">
        <f ca="1">IFERROR(__xludf.DUMMYFUNCTION("""COMPUTED_VALUE"""),0)</f>
        <v>0</v>
      </c>
      <c r="M36" s="37">
        <f ca="1">IFERROR(__xludf.DUMMYFUNCTION("""COMPUTED_VALUE"""),0)</f>
        <v>0</v>
      </c>
      <c r="N36" s="39">
        <f ca="1">IFERROR(__xludf.DUMMYFUNCTION("""COMPUTED_VALUE"""),13.6)</f>
        <v>13.6</v>
      </c>
      <c r="O36" s="40">
        <f ca="1">IFERROR(__xludf.DUMMYFUNCTION("""COMPUTED_VALUE"""),0.15)</f>
        <v>0.15</v>
      </c>
      <c r="P36" s="37">
        <f ca="1">IFERROR(__xludf.DUMMYFUNCTION("""COMPUTED_VALUE"""),2)</f>
        <v>2</v>
      </c>
      <c r="Q36" s="37">
        <f ca="1">IFERROR(__xludf.DUMMYFUNCTION("""COMPUTED_VALUE"""),1)</f>
        <v>1</v>
      </c>
      <c r="R36" s="37"/>
      <c r="S36" s="37"/>
      <c r="T36" s="37"/>
      <c r="U36" s="37"/>
      <c r="V36" s="37"/>
    </row>
    <row r="37" spans="1:22" x14ac:dyDescent="0.35">
      <c r="A37" s="37" t="str">
        <f ca="1">IFERROR(__xludf.DUMMYFUNCTION("""COMPUTED_VALUE"""),"5503")</f>
        <v>5503</v>
      </c>
      <c r="B37" s="37" t="str">
        <f ca="1">IFERROR(__xludf.DUMMYFUNCTION("""COMPUTED_VALUE"""),"Intraclastic rudstone")</f>
        <v>Intraclastic rudstone</v>
      </c>
      <c r="C37" s="37">
        <f ca="1">IFERROR(__xludf.DUMMYFUNCTION("""COMPUTED_VALUE"""),10)</f>
        <v>10</v>
      </c>
      <c r="D37" s="37">
        <f ca="1">IFERROR(__xludf.DUMMYFUNCTION("""COMPUTED_VALUE"""),64)</f>
        <v>64</v>
      </c>
      <c r="E37" s="37">
        <f ca="1">IFERROR(__xludf.DUMMYFUNCTION("""COMPUTED_VALUE"""),10)</f>
        <v>10</v>
      </c>
      <c r="F37" s="37">
        <f ca="1">IFERROR(__xludf.DUMMYFUNCTION("""COMPUTED_VALUE"""),16)</f>
        <v>16</v>
      </c>
      <c r="G37" s="37">
        <f ca="1">IFERROR(__xludf.DUMMYFUNCTION("""COMPUTED_VALUE"""),0)</f>
        <v>0</v>
      </c>
      <c r="H37" s="37">
        <f ca="1">IFERROR(__xludf.DUMMYFUNCTION("""COMPUTED_VALUE"""),3)</f>
        <v>3</v>
      </c>
      <c r="I37" s="37">
        <f ca="1">IFERROR(__xludf.DUMMYFUNCTION("""COMPUTED_VALUE"""),0)</f>
        <v>0</v>
      </c>
      <c r="J37" s="37">
        <f ca="1">IFERROR(__xludf.DUMMYFUNCTION("""COMPUTED_VALUE"""),1)</f>
        <v>1</v>
      </c>
      <c r="K37" s="37">
        <f ca="1">IFERROR(__xludf.DUMMYFUNCTION("""COMPUTED_VALUE"""),9)</f>
        <v>9</v>
      </c>
      <c r="L37" s="37">
        <f ca="1">IFERROR(__xludf.DUMMYFUNCTION("""COMPUTED_VALUE"""),0)</f>
        <v>0</v>
      </c>
      <c r="M37" s="37">
        <f ca="1">IFERROR(__xludf.DUMMYFUNCTION("""COMPUTED_VALUE"""),0)</f>
        <v>0</v>
      </c>
      <c r="N37" s="39">
        <f ca="1">IFERROR(__xludf.DUMMYFUNCTION("""COMPUTED_VALUE"""),12.9)</f>
        <v>12.9</v>
      </c>
      <c r="O37" s="40">
        <f ca="1">IFERROR(__xludf.DUMMYFUNCTION("""COMPUTED_VALUE"""),0.348)</f>
        <v>0.34799999999999998</v>
      </c>
      <c r="P37" s="37">
        <f ca="1">IFERROR(__xludf.DUMMYFUNCTION("""COMPUTED_VALUE"""),2)</f>
        <v>2</v>
      </c>
      <c r="Q37" s="37">
        <f ca="1">IFERROR(__xludf.DUMMYFUNCTION("""COMPUTED_VALUE"""),1)</f>
        <v>1</v>
      </c>
      <c r="R37" s="37"/>
      <c r="S37" s="37"/>
      <c r="T37" s="37"/>
      <c r="U37" s="37"/>
      <c r="V37" s="37"/>
    </row>
    <row r="38" spans="1:22" x14ac:dyDescent="0.35">
      <c r="A38" s="37" t="str">
        <f ca="1">IFERROR(__xludf.DUMMYFUNCTION("""COMPUTED_VALUE"""),"5510")</f>
        <v>5510</v>
      </c>
      <c r="B38" s="37" t="str">
        <f ca="1">IFERROR(__xludf.DUMMYFUNCTION("""COMPUTED_VALUE"""),"Intraclastic rudstone")</f>
        <v>Intraclastic rudstone</v>
      </c>
      <c r="C38" s="37">
        <f ca="1">IFERROR(__xludf.DUMMYFUNCTION("""COMPUTED_VALUE"""),10)</f>
        <v>10</v>
      </c>
      <c r="D38" s="37">
        <f ca="1">IFERROR(__xludf.DUMMYFUNCTION("""COMPUTED_VALUE"""),68)</f>
        <v>68</v>
      </c>
      <c r="E38" s="37">
        <f ca="1">IFERROR(__xludf.DUMMYFUNCTION("""COMPUTED_VALUE"""),18)</f>
        <v>18</v>
      </c>
      <c r="F38" s="37">
        <f ca="1">IFERROR(__xludf.DUMMYFUNCTION("""COMPUTED_VALUE"""),10)</f>
        <v>10</v>
      </c>
      <c r="G38" s="37">
        <f ca="1">IFERROR(__xludf.DUMMYFUNCTION("""COMPUTED_VALUE"""),0)</f>
        <v>0</v>
      </c>
      <c r="H38" s="37">
        <f ca="1">IFERROR(__xludf.DUMMYFUNCTION("""COMPUTED_VALUE"""),3)</f>
        <v>3</v>
      </c>
      <c r="I38" s="37">
        <f ca="1">IFERROR(__xludf.DUMMYFUNCTION("""COMPUTED_VALUE"""),0)</f>
        <v>0</v>
      </c>
      <c r="J38" s="37">
        <f ca="1">IFERROR(__xludf.DUMMYFUNCTION("""COMPUTED_VALUE"""),4)</f>
        <v>4</v>
      </c>
      <c r="K38" s="37">
        <f ca="1">IFERROR(__xludf.DUMMYFUNCTION("""COMPUTED_VALUE"""),0)</f>
        <v>0</v>
      </c>
      <c r="L38" s="37">
        <f ca="1">IFERROR(__xludf.DUMMYFUNCTION("""COMPUTED_VALUE"""),0)</f>
        <v>0</v>
      </c>
      <c r="M38" s="37">
        <f ca="1">IFERROR(__xludf.DUMMYFUNCTION("""COMPUTED_VALUE"""),0)</f>
        <v>0</v>
      </c>
      <c r="N38" s="39">
        <f ca="1">IFERROR(__xludf.DUMMYFUNCTION("""COMPUTED_VALUE"""),13.1)</f>
        <v>13.1</v>
      </c>
      <c r="O38" s="40">
        <f ca="1">IFERROR(__xludf.DUMMYFUNCTION("""COMPUTED_VALUE"""),0.057)</f>
        <v>5.7000000000000002E-2</v>
      </c>
      <c r="P38" s="37">
        <f ca="1">IFERROR(__xludf.DUMMYFUNCTION("""COMPUTED_VALUE"""),2)</f>
        <v>2</v>
      </c>
      <c r="Q38" s="37">
        <f ca="1">IFERROR(__xludf.DUMMYFUNCTION("""COMPUTED_VALUE"""),1)</f>
        <v>1</v>
      </c>
      <c r="R38" s="37"/>
      <c r="S38" s="37"/>
      <c r="T38" s="37"/>
      <c r="U38" s="37"/>
      <c r="V38" s="37"/>
    </row>
    <row r="39" spans="1:22" x14ac:dyDescent="0.35">
      <c r="A39" s="37" t="str">
        <f ca="1">IFERROR(__xludf.DUMMYFUNCTION("""COMPUTED_VALUE"""),"5516")</f>
        <v>5516</v>
      </c>
      <c r="B39" s="37" t="str">
        <f ca="1">IFERROR(__xludf.DUMMYFUNCTION("""COMPUTED_VALUE"""),"Intraclastic packstone")</f>
        <v>Intraclastic packstone</v>
      </c>
      <c r="C39" s="37">
        <f ca="1">IFERROR(__xludf.DUMMYFUNCTION("""COMPUTED_VALUE"""),9)</f>
        <v>9</v>
      </c>
      <c r="D39" s="37">
        <f ca="1">IFERROR(__xludf.DUMMYFUNCTION("""COMPUTED_VALUE"""),63)</f>
        <v>63</v>
      </c>
      <c r="E39" s="37">
        <f ca="1">IFERROR(__xludf.DUMMYFUNCTION("""COMPUTED_VALUE"""),12)</f>
        <v>12</v>
      </c>
      <c r="F39" s="37">
        <f ca="1">IFERROR(__xludf.DUMMYFUNCTION("""COMPUTED_VALUE"""),10)</f>
        <v>10</v>
      </c>
      <c r="G39" s="37">
        <f ca="1">IFERROR(__xludf.DUMMYFUNCTION("""COMPUTED_VALUE"""),3)</f>
        <v>3</v>
      </c>
      <c r="H39" s="37">
        <f ca="1">IFERROR(__xludf.DUMMYFUNCTION("""COMPUTED_VALUE"""),2)</f>
        <v>2</v>
      </c>
      <c r="I39" s="37">
        <f ca="1">IFERROR(__xludf.DUMMYFUNCTION("""COMPUTED_VALUE"""),0)</f>
        <v>0</v>
      </c>
      <c r="J39" s="37">
        <f ca="1">IFERROR(__xludf.DUMMYFUNCTION("""COMPUTED_VALUE"""),10)</f>
        <v>10</v>
      </c>
      <c r="K39" s="37">
        <f ca="1">IFERROR(__xludf.DUMMYFUNCTION("""COMPUTED_VALUE"""),2)</f>
        <v>2</v>
      </c>
      <c r="L39" s="37">
        <f ca="1">IFERROR(__xludf.DUMMYFUNCTION("""COMPUTED_VALUE"""),0)</f>
        <v>0</v>
      </c>
      <c r="M39" s="37">
        <f ca="1">IFERROR(__xludf.DUMMYFUNCTION("""COMPUTED_VALUE"""),0)</f>
        <v>0</v>
      </c>
      <c r="N39" s="39">
        <f ca="1">IFERROR(__xludf.DUMMYFUNCTION("""COMPUTED_VALUE"""),13.6)</f>
        <v>13.6</v>
      </c>
      <c r="O39" s="40">
        <f ca="1">IFERROR(__xludf.DUMMYFUNCTION("""COMPUTED_VALUE"""),0.056)</f>
        <v>5.6000000000000001E-2</v>
      </c>
      <c r="P39" s="37">
        <f ca="1">IFERROR(__xludf.DUMMYFUNCTION("""COMPUTED_VALUE"""),2)</f>
        <v>2</v>
      </c>
      <c r="Q39" s="37">
        <f ca="1">IFERROR(__xludf.DUMMYFUNCTION("""COMPUTED_VALUE"""),1)</f>
        <v>1</v>
      </c>
      <c r="R39" s="37"/>
      <c r="S39" s="37"/>
      <c r="T39" s="37"/>
      <c r="U39" s="37"/>
      <c r="V39" s="37"/>
    </row>
    <row r="40" spans="1:22" x14ac:dyDescent="0.35">
      <c r="A40" s="37" t="str">
        <f ca="1">IFERROR(__xludf.DUMMYFUNCTION("""COMPUTED_VALUE"""),"5518")</f>
        <v>5518</v>
      </c>
      <c r="B40" s="37" t="str">
        <f ca="1">IFERROR(__xludf.DUMMYFUNCTION("""COMPUTED_VALUE"""),"Intraclastic packstone")</f>
        <v>Intraclastic packstone</v>
      </c>
      <c r="C40" s="37">
        <f ca="1">IFERROR(__xludf.DUMMYFUNCTION("""COMPUTED_VALUE"""),9)</f>
        <v>9</v>
      </c>
      <c r="D40" s="37">
        <f ca="1">IFERROR(__xludf.DUMMYFUNCTION("""COMPUTED_VALUE"""),52)</f>
        <v>52</v>
      </c>
      <c r="E40" s="37">
        <f ca="1">IFERROR(__xludf.DUMMYFUNCTION("""COMPUTED_VALUE"""),20)</f>
        <v>20</v>
      </c>
      <c r="F40" s="37">
        <f ca="1">IFERROR(__xludf.DUMMYFUNCTION("""COMPUTED_VALUE"""),10)</f>
        <v>10</v>
      </c>
      <c r="G40" s="37">
        <f ca="1">IFERROR(__xludf.DUMMYFUNCTION("""COMPUTED_VALUE"""),6)</f>
        <v>6</v>
      </c>
      <c r="H40" s="37">
        <f ca="1">IFERROR(__xludf.DUMMYFUNCTION("""COMPUTED_VALUE"""),3)</f>
        <v>3</v>
      </c>
      <c r="I40" s="37">
        <f ca="1">IFERROR(__xludf.DUMMYFUNCTION("""COMPUTED_VALUE"""),0)</f>
        <v>0</v>
      </c>
      <c r="J40" s="37">
        <f ca="1">IFERROR(__xludf.DUMMYFUNCTION("""COMPUTED_VALUE"""),1)</f>
        <v>1</v>
      </c>
      <c r="K40" s="37">
        <f ca="1">IFERROR(__xludf.DUMMYFUNCTION("""COMPUTED_VALUE"""),11)</f>
        <v>11</v>
      </c>
      <c r="L40" s="37">
        <f ca="1">IFERROR(__xludf.DUMMYFUNCTION("""COMPUTED_VALUE"""),0)</f>
        <v>0</v>
      </c>
      <c r="M40" s="37">
        <f ca="1">IFERROR(__xludf.DUMMYFUNCTION("""COMPUTED_VALUE"""),0)</f>
        <v>0</v>
      </c>
      <c r="N40" s="39">
        <f ca="1">IFERROR(__xludf.DUMMYFUNCTION("""COMPUTED_VALUE"""),12.3)</f>
        <v>12.3</v>
      </c>
      <c r="O40" s="40">
        <f ca="1">IFERROR(__xludf.DUMMYFUNCTION("""COMPUTED_VALUE"""),0.399)</f>
        <v>0.39900000000000002</v>
      </c>
      <c r="P40" s="37">
        <f ca="1">IFERROR(__xludf.DUMMYFUNCTION("""COMPUTED_VALUE"""),2)</f>
        <v>2</v>
      </c>
      <c r="Q40" s="37">
        <f ca="1">IFERROR(__xludf.DUMMYFUNCTION("""COMPUTED_VALUE"""),1)</f>
        <v>1</v>
      </c>
      <c r="R40" s="37"/>
      <c r="S40" s="37"/>
      <c r="T40" s="37"/>
      <c r="U40" s="37"/>
      <c r="V40" s="37"/>
    </row>
    <row r="41" spans="1:22" x14ac:dyDescent="0.35">
      <c r="A41" s="37" t="str">
        <f ca="1">IFERROR(__xludf.DUMMYFUNCTION("""COMPUTED_VALUE"""),"5520")</f>
        <v>5520</v>
      </c>
      <c r="B41" s="37" t="str">
        <f ca="1">IFERROR(__xludf.DUMMYFUNCTION("""COMPUTED_VALUE"""),"Intraclastic rudstone")</f>
        <v>Intraclastic rudstone</v>
      </c>
      <c r="C41" s="37">
        <f ca="1">IFERROR(__xludf.DUMMYFUNCTION("""COMPUTED_VALUE"""),10)</f>
        <v>10</v>
      </c>
      <c r="D41" s="37">
        <f ca="1">IFERROR(__xludf.DUMMYFUNCTION("""COMPUTED_VALUE"""),56)</f>
        <v>56</v>
      </c>
      <c r="E41" s="37">
        <f ca="1">IFERROR(__xludf.DUMMYFUNCTION("""COMPUTED_VALUE"""),25)</f>
        <v>25</v>
      </c>
      <c r="F41" s="37">
        <f ca="1">IFERROR(__xludf.DUMMYFUNCTION("""COMPUTED_VALUE"""),5)</f>
        <v>5</v>
      </c>
      <c r="G41" s="37">
        <f ca="1">IFERROR(__xludf.DUMMYFUNCTION("""COMPUTED_VALUE"""),6)</f>
        <v>6</v>
      </c>
      <c r="H41" s="37">
        <f ca="1">IFERROR(__xludf.DUMMYFUNCTION("""COMPUTED_VALUE"""),3)</f>
        <v>3</v>
      </c>
      <c r="I41" s="37">
        <f ca="1">IFERROR(__xludf.DUMMYFUNCTION("""COMPUTED_VALUE"""),0)</f>
        <v>0</v>
      </c>
      <c r="J41" s="37">
        <f ca="1">IFERROR(__xludf.DUMMYFUNCTION("""COMPUTED_VALUE"""),5)</f>
        <v>5</v>
      </c>
      <c r="K41" s="37">
        <f ca="1">IFERROR(__xludf.DUMMYFUNCTION("""COMPUTED_VALUE"""),3)</f>
        <v>3</v>
      </c>
      <c r="L41" s="37">
        <f ca="1">IFERROR(__xludf.DUMMYFUNCTION("""COMPUTED_VALUE"""),0)</f>
        <v>0</v>
      </c>
      <c r="M41" s="37">
        <f ca="1">IFERROR(__xludf.DUMMYFUNCTION("""COMPUTED_VALUE"""),0)</f>
        <v>0</v>
      </c>
      <c r="N41" s="39">
        <f ca="1">IFERROR(__xludf.DUMMYFUNCTION("""COMPUTED_VALUE"""),12.9)</f>
        <v>12.9</v>
      </c>
      <c r="O41" s="40">
        <f ca="1">IFERROR(__xludf.DUMMYFUNCTION("""COMPUTED_VALUE"""),0.029)</f>
        <v>2.9000000000000001E-2</v>
      </c>
      <c r="P41" s="37">
        <f ca="1">IFERROR(__xludf.DUMMYFUNCTION("""COMPUTED_VALUE"""),2)</f>
        <v>2</v>
      </c>
      <c r="Q41" s="37">
        <f ca="1">IFERROR(__xludf.DUMMYFUNCTION("""COMPUTED_VALUE"""),1)</f>
        <v>1</v>
      </c>
      <c r="R41" s="37"/>
      <c r="S41" s="37"/>
      <c r="T41" s="37"/>
      <c r="U41" s="37"/>
      <c r="V41" s="37"/>
    </row>
    <row r="42" spans="1:22" x14ac:dyDescent="0.35">
      <c r="A42" s="37" t="str">
        <f ca="1">IFERROR(__xludf.DUMMYFUNCTION("""COMPUTED_VALUE"""),"5522")</f>
        <v>5522</v>
      </c>
      <c r="B42" s="37" t="str">
        <f ca="1">IFERROR(__xludf.DUMMYFUNCTION("""COMPUTED_VALUE"""),"Spherulitestone")</f>
        <v>Spherulitestone</v>
      </c>
      <c r="C42" s="37">
        <f ca="1">IFERROR(__xludf.DUMMYFUNCTION("""COMPUTED_VALUE"""),2)</f>
        <v>2</v>
      </c>
      <c r="D42" s="37">
        <f ca="1">IFERROR(__xludf.DUMMYFUNCTION("""COMPUTED_VALUE"""),39)</f>
        <v>39</v>
      </c>
      <c r="E42" s="37">
        <f ca="1">IFERROR(__xludf.DUMMYFUNCTION("""COMPUTED_VALUE"""),30)</f>
        <v>30</v>
      </c>
      <c r="F42" s="37">
        <f ca="1">IFERROR(__xludf.DUMMYFUNCTION("""COMPUTED_VALUE"""),15)</f>
        <v>15</v>
      </c>
      <c r="G42" s="37">
        <f ca="1">IFERROR(__xludf.DUMMYFUNCTION("""COMPUTED_VALUE"""),4)</f>
        <v>4</v>
      </c>
      <c r="H42" s="37">
        <f ca="1">IFERROR(__xludf.DUMMYFUNCTION("""COMPUTED_VALUE"""),4)</f>
        <v>4</v>
      </c>
      <c r="I42" s="37">
        <f ca="1">IFERROR(__xludf.DUMMYFUNCTION("""COMPUTED_VALUE"""),0)</f>
        <v>0</v>
      </c>
      <c r="J42" s="37">
        <f ca="1">IFERROR(__xludf.DUMMYFUNCTION("""COMPUTED_VALUE"""),7)</f>
        <v>7</v>
      </c>
      <c r="K42" s="37">
        <f ca="1">IFERROR(__xludf.DUMMYFUNCTION("""COMPUTED_VALUE"""),5)</f>
        <v>5</v>
      </c>
      <c r="L42" s="37">
        <f ca="1">IFERROR(__xludf.DUMMYFUNCTION("""COMPUTED_VALUE"""),0)</f>
        <v>0</v>
      </c>
      <c r="M42" s="37">
        <f ca="1">IFERROR(__xludf.DUMMYFUNCTION("""COMPUTED_VALUE"""),0)</f>
        <v>0</v>
      </c>
      <c r="N42" s="39">
        <f ca="1">IFERROR(__xludf.DUMMYFUNCTION("""COMPUTED_VALUE"""),16.6)</f>
        <v>16.600000000000001</v>
      </c>
      <c r="O42" s="40">
        <f ca="1">IFERROR(__xludf.DUMMYFUNCTION("""COMPUTED_VALUE"""),0.382)</f>
        <v>0.38200000000000001</v>
      </c>
      <c r="P42" s="37">
        <f ca="1">IFERROR(__xludf.DUMMYFUNCTION("""COMPUTED_VALUE"""),2)</f>
        <v>2</v>
      </c>
      <c r="Q42" s="37">
        <f ca="1">IFERROR(__xludf.DUMMYFUNCTION("""COMPUTED_VALUE"""),1)</f>
        <v>1</v>
      </c>
      <c r="R42" s="37"/>
      <c r="S42" s="37"/>
      <c r="T42" s="37"/>
      <c r="U42" s="37"/>
      <c r="V42" s="37"/>
    </row>
    <row r="43" spans="1:22" x14ac:dyDescent="0.35">
      <c r="A43" s="37" t="str">
        <f ca="1">IFERROR(__xludf.DUMMYFUNCTION("""COMPUTED_VALUE"""),"5525")</f>
        <v>5525</v>
      </c>
      <c r="B43" s="37" t="str">
        <f ca="1">IFERROR(__xludf.DUMMYFUNCTION("""COMPUTED_VALUE"""),"Intraclastic rudstone")</f>
        <v>Intraclastic rudstone</v>
      </c>
      <c r="C43" s="37">
        <f ca="1">IFERROR(__xludf.DUMMYFUNCTION("""COMPUTED_VALUE"""),10)</f>
        <v>10</v>
      </c>
      <c r="D43" s="37">
        <f ca="1">IFERROR(__xludf.DUMMYFUNCTION("""COMPUTED_VALUE"""),50)</f>
        <v>50</v>
      </c>
      <c r="E43" s="37">
        <f ca="1">IFERROR(__xludf.DUMMYFUNCTION("""COMPUTED_VALUE"""),20)</f>
        <v>20</v>
      </c>
      <c r="F43" s="37">
        <f ca="1">IFERROR(__xludf.DUMMYFUNCTION("""COMPUTED_VALUE"""),16)</f>
        <v>16</v>
      </c>
      <c r="G43" s="37">
        <f ca="1">IFERROR(__xludf.DUMMYFUNCTION("""COMPUTED_VALUE"""),2)</f>
        <v>2</v>
      </c>
      <c r="H43" s="37">
        <f ca="1">IFERROR(__xludf.DUMMYFUNCTION("""COMPUTED_VALUE"""),3)</f>
        <v>3</v>
      </c>
      <c r="I43" s="37">
        <f ca="1">IFERROR(__xludf.DUMMYFUNCTION("""COMPUTED_VALUE"""),0)</f>
        <v>0</v>
      </c>
      <c r="J43" s="37">
        <f ca="1">IFERROR(__xludf.DUMMYFUNCTION("""COMPUTED_VALUE"""),10)</f>
        <v>10</v>
      </c>
      <c r="K43" s="37">
        <f ca="1">IFERROR(__xludf.DUMMYFUNCTION("""COMPUTED_VALUE"""),2)</f>
        <v>2</v>
      </c>
      <c r="L43" s="37">
        <f ca="1">IFERROR(__xludf.DUMMYFUNCTION("""COMPUTED_VALUE"""),0)</f>
        <v>0</v>
      </c>
      <c r="M43" s="37">
        <f ca="1">IFERROR(__xludf.DUMMYFUNCTION("""COMPUTED_VALUE"""),0)</f>
        <v>0</v>
      </c>
      <c r="N43" s="39">
        <f ca="1">IFERROR(__xludf.DUMMYFUNCTION("""COMPUTED_VALUE"""),12.5)</f>
        <v>12.5</v>
      </c>
      <c r="O43" s="40">
        <f ca="1">IFERROR(__xludf.DUMMYFUNCTION("""COMPUTED_VALUE"""),0.167)</f>
        <v>0.16700000000000001</v>
      </c>
      <c r="P43" s="37">
        <f ca="1">IFERROR(__xludf.DUMMYFUNCTION("""COMPUTED_VALUE"""),2)</f>
        <v>2</v>
      </c>
      <c r="Q43" s="37">
        <f ca="1">IFERROR(__xludf.DUMMYFUNCTION("""COMPUTED_VALUE"""),1)</f>
        <v>1</v>
      </c>
      <c r="R43" s="37"/>
      <c r="S43" s="37"/>
      <c r="T43" s="37"/>
      <c r="U43" s="37"/>
      <c r="V43" s="37"/>
    </row>
    <row r="44" spans="1:22" x14ac:dyDescent="0.35">
      <c r="A44" s="37" t="str">
        <f ca="1">IFERROR(__xludf.DUMMYFUNCTION("""COMPUTED_VALUE"""),"5530")</f>
        <v>5530</v>
      </c>
      <c r="B44" s="37" t="str">
        <f ca="1">IFERROR(__xludf.DUMMYFUNCTION("""COMPUTED_VALUE"""),"Mudstone")</f>
        <v>Mudstone</v>
      </c>
      <c r="C44" s="37">
        <f ca="1">IFERROR(__xludf.DUMMYFUNCTION("""COMPUTED_VALUE"""),3)</f>
        <v>3</v>
      </c>
      <c r="D44" s="37">
        <f ca="1">IFERROR(__xludf.DUMMYFUNCTION("""COMPUTED_VALUE"""),0)</f>
        <v>0</v>
      </c>
      <c r="E44" s="37">
        <f ca="1">IFERROR(__xludf.DUMMYFUNCTION("""COMPUTED_VALUE"""),17)</f>
        <v>17</v>
      </c>
      <c r="F44" s="37">
        <f ca="1">IFERROR(__xludf.DUMMYFUNCTION("""COMPUTED_VALUE"""),80)</f>
        <v>80</v>
      </c>
      <c r="G44" s="37">
        <f ca="1">IFERROR(__xludf.DUMMYFUNCTION("""COMPUTED_VALUE"""),2)</f>
        <v>2</v>
      </c>
      <c r="H44" s="37">
        <f ca="1">IFERROR(__xludf.DUMMYFUNCTION("""COMPUTED_VALUE"""),0)</f>
        <v>0</v>
      </c>
      <c r="I44" s="37">
        <f ca="1">IFERROR(__xludf.DUMMYFUNCTION("""COMPUTED_VALUE"""),1)</f>
        <v>1</v>
      </c>
      <c r="J44" s="37">
        <f ca="1">IFERROR(__xludf.DUMMYFUNCTION("""COMPUTED_VALUE"""),1)</f>
        <v>1</v>
      </c>
      <c r="K44" s="37">
        <f ca="1">IFERROR(__xludf.DUMMYFUNCTION("""COMPUTED_VALUE"""),0)</f>
        <v>0</v>
      </c>
      <c r="L44" s="37">
        <f ca="1">IFERROR(__xludf.DUMMYFUNCTION("""COMPUTED_VALUE"""),0)</f>
        <v>0</v>
      </c>
      <c r="M44" s="37">
        <f ca="1">IFERROR(__xludf.DUMMYFUNCTION("""COMPUTED_VALUE"""),0)</f>
        <v>0</v>
      </c>
      <c r="N44" s="39">
        <f ca="1">IFERROR(__xludf.DUMMYFUNCTION("""COMPUTED_VALUE"""),4)</f>
        <v>4</v>
      </c>
      <c r="O44" s="40">
        <f ca="1">IFERROR(__xludf.DUMMYFUNCTION("""COMPUTED_VALUE"""),0.001)</f>
        <v>1E-3</v>
      </c>
      <c r="P44" s="37">
        <f ca="1">IFERROR(__xludf.DUMMYFUNCTION("""COMPUTED_VALUE"""),1)</f>
        <v>1</v>
      </c>
      <c r="Q44" s="37">
        <f ca="1">IFERROR(__xludf.DUMMYFUNCTION("""COMPUTED_VALUE"""),1)</f>
        <v>1</v>
      </c>
      <c r="R44" s="37"/>
      <c r="S44" s="37"/>
      <c r="T44" s="37"/>
      <c r="U44" s="37"/>
      <c r="V44" s="37"/>
    </row>
    <row r="45" spans="1:22" x14ac:dyDescent="0.35">
      <c r="A45" s="37" t="str">
        <f ca="1">IFERROR(__xludf.DUMMYFUNCTION("""COMPUTED_VALUE"""),"5540")</f>
        <v>5540</v>
      </c>
      <c r="B45" s="37" t="str">
        <f ca="1">IFERROR(__xludf.DUMMYFUNCTION("""COMPUTED_VALUE"""),"Intraclastic packstone")</f>
        <v>Intraclastic packstone</v>
      </c>
      <c r="C45" s="37">
        <f ca="1">IFERROR(__xludf.DUMMYFUNCTION("""COMPUTED_VALUE"""),9)</f>
        <v>9</v>
      </c>
      <c r="D45" s="37">
        <f ca="1">IFERROR(__xludf.DUMMYFUNCTION("""COMPUTED_VALUE"""),68)</f>
        <v>68</v>
      </c>
      <c r="E45" s="37">
        <f ca="1">IFERROR(__xludf.DUMMYFUNCTION("""COMPUTED_VALUE"""),14)</f>
        <v>14</v>
      </c>
      <c r="F45" s="37">
        <f ca="1">IFERROR(__xludf.DUMMYFUNCTION("""COMPUTED_VALUE"""),9)</f>
        <v>9</v>
      </c>
      <c r="G45" s="37">
        <f ca="1">IFERROR(__xludf.DUMMYFUNCTION("""COMPUTED_VALUE"""),0)</f>
        <v>0</v>
      </c>
      <c r="H45" s="37">
        <f ca="1">IFERROR(__xludf.DUMMYFUNCTION("""COMPUTED_VALUE"""),3)</f>
        <v>3</v>
      </c>
      <c r="I45" s="37">
        <f ca="1">IFERROR(__xludf.DUMMYFUNCTION("""COMPUTED_VALUE"""),0)</f>
        <v>0</v>
      </c>
      <c r="J45" s="37">
        <f ca="1">IFERROR(__xludf.DUMMYFUNCTION("""COMPUTED_VALUE"""),9)</f>
        <v>9</v>
      </c>
      <c r="K45" s="37">
        <f ca="1">IFERROR(__xludf.DUMMYFUNCTION("""COMPUTED_VALUE"""),0)</f>
        <v>0</v>
      </c>
      <c r="L45" s="37">
        <f ca="1">IFERROR(__xludf.DUMMYFUNCTION("""COMPUTED_VALUE"""),0)</f>
        <v>0</v>
      </c>
      <c r="M45" s="37">
        <f ca="1">IFERROR(__xludf.DUMMYFUNCTION("""COMPUTED_VALUE"""),0)</f>
        <v>0</v>
      </c>
      <c r="N45" s="39">
        <f ca="1">IFERROR(__xludf.DUMMYFUNCTION("""COMPUTED_VALUE"""),9.1)</f>
        <v>9.1</v>
      </c>
      <c r="O45" s="40">
        <f ca="1">IFERROR(__xludf.DUMMYFUNCTION("""COMPUTED_VALUE"""),0.212)</f>
        <v>0.21199999999999999</v>
      </c>
      <c r="P45" s="37">
        <f ca="1">IFERROR(__xludf.DUMMYFUNCTION("""COMPUTED_VALUE"""),2)</f>
        <v>2</v>
      </c>
      <c r="Q45" s="37">
        <f ca="1">IFERROR(__xludf.DUMMYFUNCTION("""COMPUTED_VALUE"""),1)</f>
        <v>1</v>
      </c>
      <c r="R45" s="37"/>
      <c r="S45" s="37"/>
      <c r="T45" s="37"/>
      <c r="U45" s="37"/>
      <c r="V45" s="37"/>
    </row>
    <row r="46" spans="1:22" x14ac:dyDescent="0.35">
      <c r="A46" s="37" t="str">
        <f ca="1">IFERROR(__xludf.DUMMYFUNCTION("""COMPUTED_VALUE"""),"5555")</f>
        <v>5555</v>
      </c>
      <c r="B46" s="37" t="str">
        <f ca="1">IFERROR(__xludf.DUMMYFUNCTION("""COMPUTED_VALUE"""),"Intraclastic packstone")</f>
        <v>Intraclastic packstone</v>
      </c>
      <c r="C46" s="37">
        <f ca="1">IFERROR(__xludf.DUMMYFUNCTION("""COMPUTED_VALUE"""),9)</f>
        <v>9</v>
      </c>
      <c r="D46" s="37">
        <f ca="1">IFERROR(__xludf.DUMMYFUNCTION("""COMPUTED_VALUE"""),72)</f>
        <v>72</v>
      </c>
      <c r="E46" s="37">
        <f ca="1">IFERROR(__xludf.DUMMYFUNCTION("""COMPUTED_VALUE"""),10)</f>
        <v>10</v>
      </c>
      <c r="F46" s="37">
        <f ca="1">IFERROR(__xludf.DUMMYFUNCTION("""COMPUTED_VALUE"""),6)</f>
        <v>6</v>
      </c>
      <c r="G46" s="37">
        <f ca="1">IFERROR(__xludf.DUMMYFUNCTION("""COMPUTED_VALUE"""),2)</f>
        <v>2</v>
      </c>
      <c r="H46" s="37">
        <f ca="1">IFERROR(__xludf.DUMMYFUNCTION("""COMPUTED_VALUE"""),2)</f>
        <v>2</v>
      </c>
      <c r="I46" s="37">
        <f ca="1">IFERROR(__xludf.DUMMYFUNCTION("""COMPUTED_VALUE"""),0)</f>
        <v>0</v>
      </c>
      <c r="J46" s="37">
        <f ca="1">IFERROR(__xludf.DUMMYFUNCTION("""COMPUTED_VALUE"""),10)</f>
        <v>10</v>
      </c>
      <c r="K46" s="37">
        <f ca="1">IFERROR(__xludf.DUMMYFUNCTION("""COMPUTED_VALUE"""),0)</f>
        <v>0</v>
      </c>
      <c r="L46" s="37">
        <f ca="1">IFERROR(__xludf.DUMMYFUNCTION("""COMPUTED_VALUE"""),1)</f>
        <v>1</v>
      </c>
      <c r="M46" s="37">
        <f ca="1">IFERROR(__xludf.DUMMYFUNCTION("""COMPUTED_VALUE"""),0)</f>
        <v>0</v>
      </c>
      <c r="N46" s="39">
        <f ca="1">IFERROR(__xludf.DUMMYFUNCTION("""COMPUTED_VALUE"""),10.4)</f>
        <v>10.4</v>
      </c>
      <c r="O46" s="40">
        <f ca="1">IFERROR(__xludf.DUMMYFUNCTION("""COMPUTED_VALUE"""),0.049)</f>
        <v>4.9000000000000002E-2</v>
      </c>
      <c r="P46" s="37">
        <f ca="1">IFERROR(__xludf.DUMMYFUNCTION("""COMPUTED_VALUE"""),2)</f>
        <v>2</v>
      </c>
      <c r="Q46" s="37">
        <f ca="1">IFERROR(__xludf.DUMMYFUNCTION("""COMPUTED_VALUE"""),1)</f>
        <v>1</v>
      </c>
      <c r="R46" s="37"/>
      <c r="S46" s="37"/>
      <c r="T46" s="37"/>
      <c r="U46" s="37"/>
      <c r="V46" s="37"/>
    </row>
    <row r="47" spans="1:22" x14ac:dyDescent="0.35">
      <c r="A47" s="37" t="str">
        <f ca="1">IFERROR(__xludf.DUMMYFUNCTION("""COMPUTED_VALUE"""),"5562")</f>
        <v>5562</v>
      </c>
      <c r="B47" s="37" t="str">
        <f ca="1">IFERROR(__xludf.DUMMYFUNCTION("""COMPUTED_VALUE"""),"Intraclastic packstone")</f>
        <v>Intraclastic packstone</v>
      </c>
      <c r="C47" s="37">
        <f ca="1">IFERROR(__xludf.DUMMYFUNCTION("""COMPUTED_VALUE"""),9)</f>
        <v>9</v>
      </c>
      <c r="D47" s="37">
        <f ca="1">IFERROR(__xludf.DUMMYFUNCTION("""COMPUTED_VALUE"""),63)</f>
        <v>63</v>
      </c>
      <c r="E47" s="37">
        <f ca="1">IFERROR(__xludf.DUMMYFUNCTION("""COMPUTED_VALUE"""),12)</f>
        <v>12</v>
      </c>
      <c r="F47" s="37">
        <f ca="1">IFERROR(__xludf.DUMMYFUNCTION("""COMPUTED_VALUE"""),3)</f>
        <v>3</v>
      </c>
      <c r="G47" s="37">
        <f ca="1">IFERROR(__xludf.DUMMYFUNCTION("""COMPUTED_VALUE"""),6)</f>
        <v>6</v>
      </c>
      <c r="H47" s="37">
        <f ca="1">IFERROR(__xludf.DUMMYFUNCTION("""COMPUTED_VALUE"""),2)</f>
        <v>2</v>
      </c>
      <c r="I47" s="37">
        <f ca="1">IFERROR(__xludf.DUMMYFUNCTION("""COMPUTED_VALUE"""),0)</f>
        <v>0</v>
      </c>
      <c r="J47" s="37">
        <f ca="1">IFERROR(__xludf.DUMMYFUNCTION("""COMPUTED_VALUE"""),12)</f>
        <v>12</v>
      </c>
      <c r="K47" s="37">
        <f ca="1">IFERROR(__xludf.DUMMYFUNCTION("""COMPUTED_VALUE"""),4)</f>
        <v>4</v>
      </c>
      <c r="L47" s="37">
        <f ca="1">IFERROR(__xludf.DUMMYFUNCTION("""COMPUTED_VALUE"""),0)</f>
        <v>0</v>
      </c>
      <c r="M47" s="37">
        <f ca="1">IFERROR(__xludf.DUMMYFUNCTION("""COMPUTED_VALUE"""),0)</f>
        <v>0</v>
      </c>
      <c r="N47" s="39">
        <f ca="1">IFERROR(__xludf.DUMMYFUNCTION("""COMPUTED_VALUE"""),10.3)</f>
        <v>10.3</v>
      </c>
      <c r="O47" s="40">
        <f ca="1">IFERROR(__xludf.DUMMYFUNCTION("""COMPUTED_VALUE"""),0.036)</f>
        <v>3.5999999999999997E-2</v>
      </c>
      <c r="P47" s="37">
        <f ca="1">IFERROR(__xludf.DUMMYFUNCTION("""COMPUTED_VALUE"""),2)</f>
        <v>2</v>
      </c>
      <c r="Q47" s="37">
        <f ca="1">IFERROR(__xludf.DUMMYFUNCTION("""COMPUTED_VALUE"""),1)</f>
        <v>1</v>
      </c>
      <c r="R47" s="37"/>
      <c r="S47" s="37"/>
      <c r="T47" s="37"/>
      <c r="U47" s="37"/>
      <c r="V47" s="37"/>
    </row>
    <row r="48" spans="1:22" x14ac:dyDescent="0.35">
      <c r="A48" s="37" t="str">
        <f ca="1">IFERROR(__xludf.DUMMYFUNCTION("""COMPUTED_VALUE"""),"5565")</f>
        <v>5565</v>
      </c>
      <c r="B48" s="37" t="str">
        <f ca="1">IFERROR(__xludf.DUMMYFUNCTION("""COMPUTED_VALUE"""),"Intraclastic packstone")</f>
        <v>Intraclastic packstone</v>
      </c>
      <c r="C48" s="37">
        <f ca="1">IFERROR(__xludf.DUMMYFUNCTION("""COMPUTED_VALUE"""),9)</f>
        <v>9</v>
      </c>
      <c r="D48" s="37">
        <f ca="1">IFERROR(__xludf.DUMMYFUNCTION("""COMPUTED_VALUE"""),64)</f>
        <v>64</v>
      </c>
      <c r="E48" s="37">
        <f ca="1">IFERROR(__xludf.DUMMYFUNCTION("""COMPUTED_VALUE"""),15)</f>
        <v>15</v>
      </c>
      <c r="F48" s="37">
        <f ca="1">IFERROR(__xludf.DUMMYFUNCTION("""COMPUTED_VALUE"""),5)</f>
        <v>5</v>
      </c>
      <c r="G48" s="37">
        <f ca="1">IFERROR(__xludf.DUMMYFUNCTION("""COMPUTED_VALUE"""),3)</f>
        <v>3</v>
      </c>
      <c r="H48" s="37">
        <f ca="1">IFERROR(__xludf.DUMMYFUNCTION("""COMPUTED_VALUE"""),3)</f>
        <v>3</v>
      </c>
      <c r="I48" s="37">
        <f ca="1">IFERROR(__xludf.DUMMYFUNCTION("""COMPUTED_VALUE"""),0)</f>
        <v>0</v>
      </c>
      <c r="J48" s="37">
        <f ca="1">IFERROR(__xludf.DUMMYFUNCTION("""COMPUTED_VALUE"""),12)</f>
        <v>12</v>
      </c>
      <c r="K48" s="37">
        <f ca="1">IFERROR(__xludf.DUMMYFUNCTION("""COMPUTED_VALUE"""),1)</f>
        <v>1</v>
      </c>
      <c r="L48" s="37">
        <f ca="1">IFERROR(__xludf.DUMMYFUNCTION("""COMPUTED_VALUE"""),0)</f>
        <v>0</v>
      </c>
      <c r="M48" s="37">
        <f ca="1">IFERROR(__xludf.DUMMYFUNCTION("""COMPUTED_VALUE"""),0)</f>
        <v>0</v>
      </c>
      <c r="N48" s="39">
        <f ca="1">IFERROR(__xludf.DUMMYFUNCTION("""COMPUTED_VALUE"""),13.7)</f>
        <v>13.7</v>
      </c>
      <c r="O48" s="40">
        <f ca="1">IFERROR(__xludf.DUMMYFUNCTION("""COMPUTED_VALUE"""),3.24)</f>
        <v>3.24</v>
      </c>
      <c r="P48" s="37">
        <f ca="1">IFERROR(__xludf.DUMMYFUNCTION("""COMPUTED_VALUE"""),2)</f>
        <v>2</v>
      </c>
      <c r="Q48" s="37">
        <f ca="1">IFERROR(__xludf.DUMMYFUNCTION("""COMPUTED_VALUE"""),1)</f>
        <v>1</v>
      </c>
      <c r="R48" s="37"/>
      <c r="S48" s="37"/>
      <c r="T48" s="37"/>
      <c r="U48" s="37"/>
      <c r="V48" s="37"/>
    </row>
    <row r="49" spans="1:22" x14ac:dyDescent="0.35">
      <c r="A49" s="37" t="str">
        <f ca="1">IFERROR(__xludf.DUMMYFUNCTION("""COMPUTED_VALUE"""),"5567")</f>
        <v>5567</v>
      </c>
      <c r="B49" s="37" t="str">
        <f ca="1">IFERROR(__xludf.DUMMYFUNCTION("""COMPUTED_VALUE"""),"Intraclastic packstone")</f>
        <v>Intraclastic packstone</v>
      </c>
      <c r="C49" s="37">
        <f ca="1">IFERROR(__xludf.DUMMYFUNCTION("""COMPUTED_VALUE"""),9)</f>
        <v>9</v>
      </c>
      <c r="D49" s="37">
        <f ca="1">IFERROR(__xludf.DUMMYFUNCTION("""COMPUTED_VALUE"""),19)</f>
        <v>19</v>
      </c>
      <c r="E49" s="37">
        <f ca="1">IFERROR(__xludf.DUMMYFUNCTION("""COMPUTED_VALUE"""),60)</f>
        <v>60</v>
      </c>
      <c r="F49" s="37">
        <f ca="1">IFERROR(__xludf.DUMMYFUNCTION("""COMPUTED_VALUE"""),10)</f>
        <v>10</v>
      </c>
      <c r="G49" s="37">
        <f ca="1">IFERROR(__xludf.DUMMYFUNCTION("""COMPUTED_VALUE"""),1)</f>
        <v>1</v>
      </c>
      <c r="H49" s="37">
        <f ca="1">IFERROR(__xludf.DUMMYFUNCTION("""COMPUTED_VALUE"""),0)</f>
        <v>0</v>
      </c>
      <c r="I49" s="37">
        <f ca="1">IFERROR(__xludf.DUMMYFUNCTION("""COMPUTED_VALUE"""),1)</f>
        <v>1</v>
      </c>
      <c r="J49" s="37">
        <f ca="1">IFERROR(__xludf.DUMMYFUNCTION("""COMPUTED_VALUE"""),10)</f>
        <v>10</v>
      </c>
      <c r="K49" s="37">
        <f ca="1">IFERROR(__xludf.DUMMYFUNCTION("""COMPUTED_VALUE"""),0)</f>
        <v>0</v>
      </c>
      <c r="L49" s="37">
        <f ca="1">IFERROR(__xludf.DUMMYFUNCTION("""COMPUTED_VALUE"""),0)</f>
        <v>0</v>
      </c>
      <c r="M49" s="37">
        <f ca="1">IFERROR(__xludf.DUMMYFUNCTION("""COMPUTED_VALUE"""),1)</f>
        <v>1</v>
      </c>
      <c r="N49" s="39">
        <f ca="1">IFERROR(__xludf.DUMMYFUNCTION("""COMPUTED_VALUE"""),10.6)</f>
        <v>10.6</v>
      </c>
      <c r="O49" s="40">
        <f ca="1">IFERROR(__xludf.DUMMYFUNCTION("""COMPUTED_VALUE"""),0.117)</f>
        <v>0.11700000000000001</v>
      </c>
      <c r="P49" s="37">
        <f ca="1">IFERROR(__xludf.DUMMYFUNCTION("""COMPUTED_VALUE"""),1)</f>
        <v>1</v>
      </c>
      <c r="Q49" s="37">
        <f ca="1">IFERROR(__xludf.DUMMYFUNCTION("""COMPUTED_VALUE"""),1)</f>
        <v>1</v>
      </c>
      <c r="R49" s="37"/>
      <c r="S49" s="37"/>
      <c r="T49" s="37"/>
      <c r="U49" s="37"/>
      <c r="V49" s="37"/>
    </row>
    <row r="50" spans="1:22" x14ac:dyDescent="0.35">
      <c r="A50" s="37" t="str">
        <f ca="1">IFERROR(__xludf.DUMMYFUNCTION("""COMPUTED_VALUE"""),"5573")</f>
        <v>5573</v>
      </c>
      <c r="B50" s="37" t="str">
        <f ca="1">IFERROR(__xludf.DUMMYFUNCTION("""COMPUTED_VALUE"""),"Musdstone spherulitic")</f>
        <v>Musdstone spherulitic</v>
      </c>
      <c r="C50" s="37">
        <f ca="1">IFERROR(__xludf.DUMMYFUNCTION("""COMPUTED_VALUE"""),6)</f>
        <v>6</v>
      </c>
      <c r="D50" s="37">
        <f ca="1">IFERROR(__xludf.DUMMYFUNCTION("""COMPUTED_VALUE"""),17)</f>
        <v>17</v>
      </c>
      <c r="E50" s="37">
        <f ca="1">IFERROR(__xludf.DUMMYFUNCTION("""COMPUTED_VALUE"""),43)</f>
        <v>43</v>
      </c>
      <c r="F50" s="37">
        <f ca="1">IFERROR(__xludf.DUMMYFUNCTION("""COMPUTED_VALUE"""),25)</f>
        <v>25</v>
      </c>
      <c r="G50" s="37">
        <f ca="1">IFERROR(__xludf.DUMMYFUNCTION("""COMPUTED_VALUE"""),5)</f>
        <v>5</v>
      </c>
      <c r="H50" s="37">
        <f ca="1">IFERROR(__xludf.DUMMYFUNCTION("""COMPUTED_VALUE"""),3)</f>
        <v>3</v>
      </c>
      <c r="I50" s="37">
        <f ca="1">IFERROR(__xludf.DUMMYFUNCTION("""COMPUTED_VALUE"""),0)</f>
        <v>0</v>
      </c>
      <c r="J50" s="37">
        <f ca="1">IFERROR(__xludf.DUMMYFUNCTION("""COMPUTED_VALUE"""),8)</f>
        <v>8</v>
      </c>
      <c r="K50" s="37">
        <f ca="1">IFERROR(__xludf.DUMMYFUNCTION("""COMPUTED_VALUE"""),2)</f>
        <v>2</v>
      </c>
      <c r="L50" s="37">
        <f ca="1">IFERROR(__xludf.DUMMYFUNCTION("""COMPUTED_VALUE"""),0)</f>
        <v>0</v>
      </c>
      <c r="M50" s="37">
        <f ca="1">IFERROR(__xludf.DUMMYFUNCTION("""COMPUTED_VALUE"""),0)</f>
        <v>0</v>
      </c>
      <c r="N50" s="39">
        <f ca="1">IFERROR(__xludf.DUMMYFUNCTION("""COMPUTED_VALUE"""),12.7)</f>
        <v>12.7</v>
      </c>
      <c r="O50" s="40">
        <f ca="1">IFERROR(__xludf.DUMMYFUNCTION("""COMPUTED_VALUE"""),0.158)</f>
        <v>0.158</v>
      </c>
      <c r="P50" s="37">
        <f ca="1">IFERROR(__xludf.DUMMYFUNCTION("""COMPUTED_VALUE"""),1)</f>
        <v>1</v>
      </c>
      <c r="Q50" s="37">
        <f ca="1">IFERROR(__xludf.DUMMYFUNCTION("""COMPUTED_VALUE"""),1)</f>
        <v>1</v>
      </c>
      <c r="R50" s="37"/>
      <c r="S50" s="37"/>
      <c r="T50" s="37"/>
      <c r="U50" s="37"/>
      <c r="V50" s="37"/>
    </row>
    <row r="51" spans="1:22" x14ac:dyDescent="0.35">
      <c r="A51" s="37" t="str">
        <f ca="1">IFERROR(__xludf.DUMMYFUNCTION("""COMPUTED_VALUE"""),"5575")</f>
        <v>5575</v>
      </c>
      <c r="B51" s="37" t="str">
        <f ca="1">IFERROR(__xludf.DUMMYFUNCTION("""COMPUTED_VALUE"""),"Mudstone")</f>
        <v>Mudstone</v>
      </c>
      <c r="C51" s="37">
        <f ca="1">IFERROR(__xludf.DUMMYFUNCTION("""COMPUTED_VALUE"""),3)</f>
        <v>3</v>
      </c>
      <c r="D51" s="37">
        <f ca="1">IFERROR(__xludf.DUMMYFUNCTION("""COMPUTED_VALUE"""),0)</f>
        <v>0</v>
      </c>
      <c r="E51" s="37">
        <f ca="1">IFERROR(__xludf.DUMMYFUNCTION("""COMPUTED_VALUE"""),32)</f>
        <v>32</v>
      </c>
      <c r="F51" s="37">
        <f ca="1">IFERROR(__xludf.DUMMYFUNCTION("""COMPUTED_VALUE"""),65)</f>
        <v>65</v>
      </c>
      <c r="G51" s="37">
        <f ca="1">IFERROR(__xludf.DUMMYFUNCTION("""COMPUTED_VALUE"""),1)</f>
        <v>1</v>
      </c>
      <c r="H51" s="37">
        <f ca="1">IFERROR(__xludf.DUMMYFUNCTION("""COMPUTED_VALUE"""),0)</f>
        <v>0</v>
      </c>
      <c r="I51" s="37">
        <f ca="1">IFERROR(__xludf.DUMMYFUNCTION("""COMPUTED_VALUE"""),1)</f>
        <v>1</v>
      </c>
      <c r="J51" s="37">
        <f ca="1">IFERROR(__xludf.DUMMYFUNCTION("""COMPUTED_VALUE"""),2)</f>
        <v>2</v>
      </c>
      <c r="K51" s="37">
        <f ca="1">IFERROR(__xludf.DUMMYFUNCTION("""COMPUTED_VALUE"""),0)</f>
        <v>0</v>
      </c>
      <c r="L51" s="37">
        <f ca="1">IFERROR(__xludf.DUMMYFUNCTION("""COMPUTED_VALUE"""),0)</f>
        <v>0</v>
      </c>
      <c r="M51" s="37">
        <f ca="1">IFERROR(__xludf.DUMMYFUNCTION("""COMPUTED_VALUE"""),0)</f>
        <v>0</v>
      </c>
      <c r="N51" s="39">
        <f ca="1">IFERROR(__xludf.DUMMYFUNCTION("""COMPUTED_VALUE"""),10.6)</f>
        <v>10.6</v>
      </c>
      <c r="O51" s="40">
        <f ca="1">IFERROR(__xludf.DUMMYFUNCTION("""COMPUTED_VALUE"""),0.088)</f>
        <v>8.7999999999999995E-2</v>
      </c>
      <c r="P51" s="37">
        <f ca="1">IFERROR(__xludf.DUMMYFUNCTION("""COMPUTED_VALUE"""),1)</f>
        <v>1</v>
      </c>
      <c r="Q51" s="37">
        <f ca="1">IFERROR(__xludf.DUMMYFUNCTION("""COMPUTED_VALUE"""),1)</f>
        <v>1</v>
      </c>
      <c r="R51" s="37"/>
      <c r="S51" s="37"/>
      <c r="T51" s="37"/>
      <c r="U51" s="37"/>
      <c r="V51" s="37"/>
    </row>
    <row r="52" spans="1:22" x14ac:dyDescent="0.35">
      <c r="A52" s="37" t="str">
        <f ca="1">IFERROR(__xludf.DUMMYFUNCTION("""COMPUTED_VALUE"""),"5580")</f>
        <v>5580</v>
      </c>
      <c r="B52" s="37" t="str">
        <f ca="1">IFERROR(__xludf.DUMMYFUNCTION("""COMPUTED_VALUE"""),"Intraclastic grainstone")</f>
        <v>Intraclastic grainstone</v>
      </c>
      <c r="C52" s="37">
        <f ca="1">IFERROR(__xludf.DUMMYFUNCTION("""COMPUTED_VALUE"""),8)</f>
        <v>8</v>
      </c>
      <c r="D52" s="37">
        <f ca="1">IFERROR(__xludf.DUMMYFUNCTION("""COMPUTED_VALUE"""),52)</f>
        <v>52</v>
      </c>
      <c r="E52" s="37">
        <f ca="1">IFERROR(__xludf.DUMMYFUNCTION("""COMPUTED_VALUE"""),28)</f>
        <v>28</v>
      </c>
      <c r="F52" s="37">
        <f ca="1">IFERROR(__xludf.DUMMYFUNCTION("""COMPUTED_VALUE"""),0)</f>
        <v>0</v>
      </c>
      <c r="G52" s="37">
        <f ca="1">IFERROR(__xludf.DUMMYFUNCTION("""COMPUTED_VALUE"""),7)</f>
        <v>7</v>
      </c>
      <c r="H52" s="37">
        <f ca="1">IFERROR(__xludf.DUMMYFUNCTION("""COMPUTED_VALUE"""),3)</f>
        <v>3</v>
      </c>
      <c r="I52" s="37">
        <f ca="1">IFERROR(__xludf.DUMMYFUNCTION("""COMPUTED_VALUE"""),0)</f>
        <v>0</v>
      </c>
      <c r="J52" s="37">
        <f ca="1">IFERROR(__xludf.DUMMYFUNCTION("""COMPUTED_VALUE"""),12)</f>
        <v>12</v>
      </c>
      <c r="K52" s="37">
        <f ca="1">IFERROR(__xludf.DUMMYFUNCTION("""COMPUTED_VALUE"""),1)</f>
        <v>1</v>
      </c>
      <c r="L52" s="37">
        <f ca="1">IFERROR(__xludf.DUMMYFUNCTION("""COMPUTED_VALUE"""),0)</f>
        <v>0</v>
      </c>
      <c r="M52" s="37">
        <f ca="1">IFERROR(__xludf.DUMMYFUNCTION("""COMPUTED_VALUE"""),0)</f>
        <v>0</v>
      </c>
      <c r="N52" s="39">
        <f ca="1">IFERROR(__xludf.DUMMYFUNCTION("""COMPUTED_VALUE"""),12.7)</f>
        <v>12.7</v>
      </c>
      <c r="O52" s="40">
        <f ca="1">IFERROR(__xludf.DUMMYFUNCTION("""COMPUTED_VALUE"""),0.538)</f>
        <v>0.53800000000000003</v>
      </c>
      <c r="P52" s="37">
        <f ca="1">IFERROR(__xludf.DUMMYFUNCTION("""COMPUTED_VALUE"""),2)</f>
        <v>2</v>
      </c>
      <c r="Q52" s="37">
        <f ca="1">IFERROR(__xludf.DUMMYFUNCTION("""COMPUTED_VALUE"""),1)</f>
        <v>1</v>
      </c>
      <c r="R52" s="37"/>
      <c r="S52" s="37"/>
      <c r="T52" s="37"/>
      <c r="U52" s="37"/>
      <c r="V52" s="37"/>
    </row>
    <row r="53" spans="1:22" x14ac:dyDescent="0.35">
      <c r="A53" s="37" t="str">
        <f ca="1">IFERROR(__xludf.DUMMYFUNCTION("""COMPUTED_VALUE"""),"5585")</f>
        <v>5585</v>
      </c>
      <c r="B53" s="37" t="str">
        <f ca="1">IFERROR(__xludf.DUMMYFUNCTION("""COMPUTED_VALUE"""),"Intraclastic packstone")</f>
        <v>Intraclastic packstone</v>
      </c>
      <c r="C53" s="37">
        <f ca="1">IFERROR(__xludf.DUMMYFUNCTION("""COMPUTED_VALUE"""),9)</f>
        <v>9</v>
      </c>
      <c r="D53" s="37">
        <f ca="1">IFERROR(__xludf.DUMMYFUNCTION("""COMPUTED_VALUE"""),66)</f>
        <v>66</v>
      </c>
      <c r="E53" s="37">
        <f ca="1">IFERROR(__xludf.DUMMYFUNCTION("""COMPUTED_VALUE"""),16)</f>
        <v>16</v>
      </c>
      <c r="F53" s="37">
        <f ca="1">IFERROR(__xludf.DUMMYFUNCTION("""COMPUTED_VALUE"""),8)</f>
        <v>8</v>
      </c>
      <c r="G53" s="37">
        <f ca="1">IFERROR(__xludf.DUMMYFUNCTION("""COMPUTED_VALUE"""),2)</f>
        <v>2</v>
      </c>
      <c r="H53" s="37">
        <f ca="1">IFERROR(__xludf.DUMMYFUNCTION("""COMPUTED_VALUE"""),3)</f>
        <v>3</v>
      </c>
      <c r="I53" s="37">
        <f ca="1">IFERROR(__xludf.DUMMYFUNCTION("""COMPUTED_VALUE"""),0)</f>
        <v>0</v>
      </c>
      <c r="J53" s="37">
        <f ca="1">IFERROR(__xludf.DUMMYFUNCTION("""COMPUTED_VALUE"""),5)</f>
        <v>5</v>
      </c>
      <c r="K53" s="37">
        <f ca="1">IFERROR(__xludf.DUMMYFUNCTION("""COMPUTED_VALUE"""),3)</f>
        <v>3</v>
      </c>
      <c r="L53" s="37">
        <f ca="1">IFERROR(__xludf.DUMMYFUNCTION("""COMPUTED_VALUE"""),0)</f>
        <v>0</v>
      </c>
      <c r="M53" s="37">
        <f ca="1">IFERROR(__xludf.DUMMYFUNCTION("""COMPUTED_VALUE"""),0)</f>
        <v>0</v>
      </c>
      <c r="N53" s="39">
        <f ca="1">IFERROR(__xludf.DUMMYFUNCTION("""COMPUTED_VALUE"""),10.1)</f>
        <v>10.1</v>
      </c>
      <c r="O53" s="40">
        <f ca="1">IFERROR(__xludf.DUMMYFUNCTION("""COMPUTED_VALUE"""),0.011)</f>
        <v>1.0999999999999999E-2</v>
      </c>
      <c r="P53" s="37">
        <f ca="1">IFERROR(__xludf.DUMMYFUNCTION("""COMPUTED_VALUE"""),2)</f>
        <v>2</v>
      </c>
      <c r="Q53" s="37">
        <f ca="1">IFERROR(__xludf.DUMMYFUNCTION("""COMPUTED_VALUE"""),1)</f>
        <v>1</v>
      </c>
      <c r="R53" s="37"/>
      <c r="S53" s="37"/>
      <c r="T53" s="37"/>
      <c r="U53" s="37"/>
      <c r="V53" s="37"/>
    </row>
    <row r="54" spans="1:22" x14ac:dyDescent="0.35">
      <c r="A54" s="37" t="str">
        <f ca="1">IFERROR(__xludf.DUMMYFUNCTION("""COMPUTED_VALUE"""),"5590")</f>
        <v>5590</v>
      </c>
      <c r="B54" s="37" t="str">
        <f ca="1">IFERROR(__xludf.DUMMYFUNCTION("""COMPUTED_VALUE"""),"Intraclastic packstone")</f>
        <v>Intraclastic packstone</v>
      </c>
      <c r="C54" s="37">
        <f ca="1">IFERROR(__xludf.DUMMYFUNCTION("""COMPUTED_VALUE"""),9)</f>
        <v>9</v>
      </c>
      <c r="D54" s="37">
        <f ca="1">IFERROR(__xludf.DUMMYFUNCTION("""COMPUTED_VALUE"""),55)</f>
        <v>55</v>
      </c>
      <c r="E54" s="37">
        <f ca="1">IFERROR(__xludf.DUMMYFUNCTION("""COMPUTED_VALUE"""),24)</f>
        <v>24</v>
      </c>
      <c r="F54" s="37">
        <f ca="1">IFERROR(__xludf.DUMMYFUNCTION("""COMPUTED_VALUE"""),16)</f>
        <v>16</v>
      </c>
      <c r="G54" s="37">
        <f ca="1">IFERROR(__xludf.DUMMYFUNCTION("""COMPUTED_VALUE"""),3)</f>
        <v>3</v>
      </c>
      <c r="H54" s="37">
        <f ca="1">IFERROR(__xludf.DUMMYFUNCTION("""COMPUTED_VALUE"""),3)</f>
        <v>3</v>
      </c>
      <c r="I54" s="37">
        <f ca="1">IFERROR(__xludf.DUMMYFUNCTION("""COMPUTED_VALUE"""),0)</f>
        <v>0</v>
      </c>
      <c r="J54" s="37">
        <f ca="1">IFERROR(__xludf.DUMMYFUNCTION("""COMPUTED_VALUE"""),2)</f>
        <v>2</v>
      </c>
      <c r="K54" s="37">
        <f ca="1">IFERROR(__xludf.DUMMYFUNCTION("""COMPUTED_VALUE"""),0)</f>
        <v>0</v>
      </c>
      <c r="L54" s="37">
        <f ca="1">IFERROR(__xludf.DUMMYFUNCTION("""COMPUTED_VALUE"""),0)</f>
        <v>0</v>
      </c>
      <c r="M54" s="37">
        <f ca="1">IFERROR(__xludf.DUMMYFUNCTION("""COMPUTED_VALUE"""),0)</f>
        <v>0</v>
      </c>
      <c r="N54" s="39">
        <f ca="1">IFERROR(__xludf.DUMMYFUNCTION("""COMPUTED_VALUE"""),7)</f>
        <v>7</v>
      </c>
      <c r="O54" s="40">
        <f ca="1">IFERROR(__xludf.DUMMYFUNCTION("""COMPUTED_VALUE"""),0.003)</f>
        <v>3.0000000000000001E-3</v>
      </c>
      <c r="P54" s="37">
        <f ca="1">IFERROR(__xludf.DUMMYFUNCTION("""COMPUTED_VALUE"""),2)</f>
        <v>2</v>
      </c>
      <c r="Q54" s="37">
        <f ca="1">IFERROR(__xludf.DUMMYFUNCTION("""COMPUTED_VALUE"""),1)</f>
        <v>1</v>
      </c>
      <c r="R54" s="37"/>
      <c r="S54" s="37"/>
      <c r="T54" s="37"/>
      <c r="U54" s="37"/>
      <c r="V54" s="37"/>
    </row>
    <row r="55" spans="1:22" x14ac:dyDescent="0.35">
      <c r="A55" s="37" t="str">
        <f ca="1">IFERROR(__xludf.DUMMYFUNCTION("""COMPUTED_VALUE"""),"5600")</f>
        <v>5600</v>
      </c>
      <c r="B55" s="37" t="str">
        <f ca="1">IFERROR(__xludf.DUMMYFUNCTION("""COMPUTED_VALUE"""),"Intraclastic packstone")</f>
        <v>Intraclastic packstone</v>
      </c>
      <c r="C55" s="37">
        <f ca="1">IFERROR(__xludf.DUMMYFUNCTION("""COMPUTED_VALUE"""),9)</f>
        <v>9</v>
      </c>
      <c r="D55" s="37">
        <f ca="1">IFERROR(__xludf.DUMMYFUNCTION("""COMPUTED_VALUE"""),51)</f>
        <v>51</v>
      </c>
      <c r="E55" s="37">
        <f ca="1">IFERROR(__xludf.DUMMYFUNCTION("""COMPUTED_VALUE"""),20)</f>
        <v>20</v>
      </c>
      <c r="F55" s="37">
        <f ca="1">IFERROR(__xludf.DUMMYFUNCTION("""COMPUTED_VALUE"""),8)</f>
        <v>8</v>
      </c>
      <c r="G55" s="37">
        <f ca="1">IFERROR(__xludf.DUMMYFUNCTION("""COMPUTED_VALUE"""),4)</f>
        <v>4</v>
      </c>
      <c r="H55" s="37">
        <f ca="1">IFERROR(__xludf.DUMMYFUNCTION("""COMPUTED_VALUE"""),0)</f>
        <v>0</v>
      </c>
      <c r="I55" s="37">
        <f ca="1">IFERROR(__xludf.DUMMYFUNCTION("""COMPUTED_VALUE"""),1)</f>
        <v>1</v>
      </c>
      <c r="J55" s="37">
        <f ca="1">IFERROR(__xludf.DUMMYFUNCTION("""COMPUTED_VALUE"""),12)</f>
        <v>12</v>
      </c>
      <c r="K55" s="37">
        <f ca="1">IFERROR(__xludf.DUMMYFUNCTION("""COMPUTED_VALUE"""),5)</f>
        <v>5</v>
      </c>
      <c r="L55" s="37">
        <f ca="1">IFERROR(__xludf.DUMMYFUNCTION("""COMPUTED_VALUE"""),0)</f>
        <v>0</v>
      </c>
      <c r="M55" s="37">
        <f ca="1">IFERROR(__xludf.DUMMYFUNCTION("""COMPUTED_VALUE"""),0)</f>
        <v>0</v>
      </c>
      <c r="N55" s="39">
        <f ca="1">IFERROR(__xludf.DUMMYFUNCTION("""COMPUTED_VALUE"""),11.7)</f>
        <v>11.7</v>
      </c>
      <c r="O55" s="40">
        <f ca="1">IFERROR(__xludf.DUMMYFUNCTION("""COMPUTED_VALUE"""),0.102)</f>
        <v>0.10199999999999999</v>
      </c>
      <c r="P55" s="37">
        <f ca="1">IFERROR(__xludf.DUMMYFUNCTION("""COMPUTED_VALUE"""),1)</f>
        <v>1</v>
      </c>
      <c r="Q55" s="37">
        <f ca="1">IFERROR(__xludf.DUMMYFUNCTION("""COMPUTED_VALUE"""),1)</f>
        <v>1</v>
      </c>
      <c r="R55" s="37"/>
      <c r="S55" s="37"/>
      <c r="T55" s="37"/>
      <c r="U55" s="37"/>
      <c r="V55" s="37"/>
    </row>
    <row r="56" spans="1:22" x14ac:dyDescent="0.35">
      <c r="A56" s="37" t="str">
        <f ca="1">IFERROR(__xludf.DUMMYFUNCTION("""COMPUTED_VALUE"""),"5605")</f>
        <v>5605</v>
      </c>
      <c r="B56" s="37" t="str">
        <f ca="1">IFERROR(__xludf.DUMMYFUNCTION("""COMPUTED_VALUE"""),"Intraclastic packstone")</f>
        <v>Intraclastic packstone</v>
      </c>
      <c r="C56" s="37">
        <f ca="1">IFERROR(__xludf.DUMMYFUNCTION("""COMPUTED_VALUE"""),9)</f>
        <v>9</v>
      </c>
      <c r="D56" s="37">
        <f ca="1">IFERROR(__xludf.DUMMYFUNCTION("""COMPUTED_VALUE"""),53)</f>
        <v>53</v>
      </c>
      <c r="E56" s="37">
        <f ca="1">IFERROR(__xludf.DUMMYFUNCTION("""COMPUTED_VALUE"""),19)</f>
        <v>19</v>
      </c>
      <c r="F56" s="37">
        <f ca="1">IFERROR(__xludf.DUMMYFUNCTION("""COMPUTED_VALUE"""),15)</f>
        <v>15</v>
      </c>
      <c r="G56" s="37">
        <f ca="1">IFERROR(__xludf.DUMMYFUNCTION("""COMPUTED_VALUE"""),9)</f>
        <v>9</v>
      </c>
      <c r="H56" s="37">
        <f ca="1">IFERROR(__xludf.DUMMYFUNCTION("""COMPUTED_VALUE"""),0)</f>
        <v>0</v>
      </c>
      <c r="I56" s="37">
        <f ca="1">IFERROR(__xludf.DUMMYFUNCTION("""COMPUTED_VALUE"""),1)</f>
        <v>1</v>
      </c>
      <c r="J56" s="37">
        <f ca="1">IFERROR(__xludf.DUMMYFUNCTION("""COMPUTED_VALUE"""),4)</f>
        <v>4</v>
      </c>
      <c r="K56" s="37">
        <f ca="1">IFERROR(__xludf.DUMMYFUNCTION("""COMPUTED_VALUE"""),0)</f>
        <v>0</v>
      </c>
      <c r="L56" s="37">
        <f ca="1">IFERROR(__xludf.DUMMYFUNCTION("""COMPUTED_VALUE"""),0)</f>
        <v>0</v>
      </c>
      <c r="M56" s="37">
        <f ca="1">IFERROR(__xludf.DUMMYFUNCTION("""COMPUTED_VALUE"""),0)</f>
        <v>0</v>
      </c>
      <c r="N56" s="39">
        <f ca="1">IFERROR(__xludf.DUMMYFUNCTION("""COMPUTED_VALUE"""),8.2)</f>
        <v>8.1999999999999993</v>
      </c>
      <c r="O56" s="40">
        <f ca="1">IFERROR(__xludf.DUMMYFUNCTION("""COMPUTED_VALUE"""),0.005)</f>
        <v>5.0000000000000001E-3</v>
      </c>
      <c r="P56" s="37">
        <f ca="1">IFERROR(__xludf.DUMMYFUNCTION("""COMPUTED_VALUE"""),1)</f>
        <v>1</v>
      </c>
      <c r="Q56" s="37">
        <f ca="1">IFERROR(__xludf.DUMMYFUNCTION("""COMPUTED_VALUE"""),1)</f>
        <v>1</v>
      </c>
      <c r="R56" s="37"/>
      <c r="S56" s="37"/>
      <c r="T56" s="37"/>
      <c r="U56" s="37"/>
      <c r="V56" s="37"/>
    </row>
    <row r="57" spans="1:22" x14ac:dyDescent="0.35">
      <c r="A57" s="37" t="str">
        <f ca="1">IFERROR(__xludf.DUMMYFUNCTION("""COMPUTED_VALUE"""),"5617")</f>
        <v>5617</v>
      </c>
      <c r="B57" s="37" t="str">
        <f ca="1">IFERROR(__xludf.DUMMYFUNCTION("""COMPUTED_VALUE"""),"Intraclastic grainstone")</f>
        <v>Intraclastic grainstone</v>
      </c>
      <c r="C57" s="37">
        <f ca="1">IFERROR(__xludf.DUMMYFUNCTION("""COMPUTED_VALUE"""),8)</f>
        <v>8</v>
      </c>
      <c r="D57" s="37">
        <f ca="1">IFERROR(__xludf.DUMMYFUNCTION("""COMPUTED_VALUE"""),53)</f>
        <v>53</v>
      </c>
      <c r="E57" s="37">
        <f ca="1">IFERROR(__xludf.DUMMYFUNCTION("""COMPUTED_VALUE"""),30)</f>
        <v>30</v>
      </c>
      <c r="F57" s="37">
        <f ca="1">IFERROR(__xludf.DUMMYFUNCTION("""COMPUTED_VALUE"""),0)</f>
        <v>0</v>
      </c>
      <c r="G57" s="37">
        <f ca="1">IFERROR(__xludf.DUMMYFUNCTION("""COMPUTED_VALUE"""),3)</f>
        <v>3</v>
      </c>
      <c r="H57" s="37">
        <f ca="1">IFERROR(__xludf.DUMMYFUNCTION("""COMPUTED_VALUE"""),3)</f>
        <v>3</v>
      </c>
      <c r="I57" s="37">
        <f ca="1">IFERROR(__xludf.DUMMYFUNCTION("""COMPUTED_VALUE"""),0)</f>
        <v>0</v>
      </c>
      <c r="J57" s="37">
        <f ca="1">IFERROR(__xludf.DUMMYFUNCTION("""COMPUTED_VALUE"""),14)</f>
        <v>14</v>
      </c>
      <c r="K57" s="37">
        <f ca="1">IFERROR(__xludf.DUMMYFUNCTION("""COMPUTED_VALUE"""),0)</f>
        <v>0</v>
      </c>
      <c r="L57" s="37">
        <f ca="1">IFERROR(__xludf.DUMMYFUNCTION("""COMPUTED_VALUE"""),0)</f>
        <v>0</v>
      </c>
      <c r="M57" s="37">
        <f ca="1">IFERROR(__xludf.DUMMYFUNCTION("""COMPUTED_VALUE"""),0)</f>
        <v>0</v>
      </c>
      <c r="N57" s="39">
        <f ca="1">IFERROR(__xludf.DUMMYFUNCTION("""COMPUTED_VALUE"""),16)</f>
        <v>16</v>
      </c>
      <c r="O57" s="40">
        <f ca="1">IFERROR(__xludf.DUMMYFUNCTION("""COMPUTED_VALUE"""),8.11)</f>
        <v>8.11</v>
      </c>
      <c r="P57" s="37">
        <f ca="1">IFERROR(__xludf.DUMMYFUNCTION("""COMPUTED_VALUE"""),2)</f>
        <v>2</v>
      </c>
      <c r="Q57" s="37">
        <f ca="1">IFERROR(__xludf.DUMMYFUNCTION("""COMPUTED_VALUE"""),1)</f>
        <v>1</v>
      </c>
      <c r="R57" s="37"/>
      <c r="S57" s="37"/>
      <c r="T57" s="37"/>
      <c r="U57" s="37"/>
      <c r="V57" s="37"/>
    </row>
    <row r="58" spans="1:22" x14ac:dyDescent="0.35">
      <c r="A58" s="37" t="str">
        <f ca="1">IFERROR(__xludf.DUMMYFUNCTION("""COMPUTED_VALUE"""),"5625")</f>
        <v>5625</v>
      </c>
      <c r="B58" s="37" t="str">
        <f ca="1">IFERROR(__xludf.DUMMYFUNCTION("""COMPUTED_VALUE"""),"Mudstone spherulitic")</f>
        <v>Mudstone spherulitic</v>
      </c>
      <c r="C58" s="37">
        <f ca="1">IFERROR(__xludf.DUMMYFUNCTION("""COMPUTED_VALUE"""),6)</f>
        <v>6</v>
      </c>
      <c r="D58" s="37">
        <f ca="1">IFERROR(__xludf.DUMMYFUNCTION("""COMPUTED_VALUE"""),22)</f>
        <v>22</v>
      </c>
      <c r="E58" s="37">
        <f ca="1">IFERROR(__xludf.DUMMYFUNCTION("""COMPUTED_VALUE"""),13)</f>
        <v>13</v>
      </c>
      <c r="F58" s="37">
        <f ca="1">IFERROR(__xludf.DUMMYFUNCTION("""COMPUTED_VALUE"""),50)</f>
        <v>50</v>
      </c>
      <c r="G58" s="37">
        <f ca="1">IFERROR(__xludf.DUMMYFUNCTION("""COMPUTED_VALUE"""),2)</f>
        <v>2</v>
      </c>
      <c r="H58" s="37">
        <f ca="1">IFERROR(__xludf.DUMMYFUNCTION("""COMPUTED_VALUE"""),0)</f>
        <v>0</v>
      </c>
      <c r="I58" s="37">
        <f ca="1">IFERROR(__xludf.DUMMYFUNCTION("""COMPUTED_VALUE"""),1)</f>
        <v>1</v>
      </c>
      <c r="J58" s="37">
        <f ca="1">IFERROR(__xludf.DUMMYFUNCTION("""COMPUTED_VALUE"""),13)</f>
        <v>13</v>
      </c>
      <c r="K58" s="37">
        <f ca="1">IFERROR(__xludf.DUMMYFUNCTION("""COMPUTED_VALUE"""),0)</f>
        <v>0</v>
      </c>
      <c r="L58" s="37">
        <f ca="1">IFERROR(__xludf.DUMMYFUNCTION("""COMPUTED_VALUE"""),0)</f>
        <v>0</v>
      </c>
      <c r="M58" s="37">
        <f ca="1">IFERROR(__xludf.DUMMYFUNCTION("""COMPUTED_VALUE"""),0)</f>
        <v>0</v>
      </c>
      <c r="N58" s="39">
        <f ca="1">IFERROR(__xludf.DUMMYFUNCTION("""COMPUTED_VALUE"""),10.4)</f>
        <v>10.4</v>
      </c>
      <c r="O58" s="40">
        <f ca="1">IFERROR(__xludf.DUMMYFUNCTION("""COMPUTED_VALUE"""),0.072)</f>
        <v>7.1999999999999995E-2</v>
      </c>
      <c r="P58" s="37">
        <f ca="1">IFERROR(__xludf.DUMMYFUNCTION("""COMPUTED_VALUE"""),1)</f>
        <v>1</v>
      </c>
      <c r="Q58" s="37">
        <f ca="1">IFERROR(__xludf.DUMMYFUNCTION("""COMPUTED_VALUE"""),1)</f>
        <v>1</v>
      </c>
      <c r="R58" s="37"/>
      <c r="S58" s="37"/>
      <c r="T58" s="37"/>
      <c r="U58" s="37"/>
      <c r="V58" s="37"/>
    </row>
    <row r="59" spans="1:22" x14ac:dyDescent="0.35">
      <c r="A59" s="37" t="str">
        <f ca="1">IFERROR(__xludf.DUMMYFUNCTION("""COMPUTED_VALUE"""),"5635")</f>
        <v>5635</v>
      </c>
      <c r="B59" s="37" t="str">
        <f ca="1">IFERROR(__xludf.DUMMYFUNCTION("""COMPUTED_VALUE"""),"Mudstone")</f>
        <v>Mudstone</v>
      </c>
      <c r="C59" s="37">
        <f ca="1">IFERROR(__xludf.DUMMYFUNCTION("""COMPUTED_VALUE"""),3)</f>
        <v>3</v>
      </c>
      <c r="D59" s="37">
        <f ca="1">IFERROR(__xludf.DUMMYFUNCTION("""COMPUTED_VALUE"""),0)</f>
        <v>0</v>
      </c>
      <c r="E59" s="37">
        <f ca="1">IFERROR(__xludf.DUMMYFUNCTION("""COMPUTED_VALUE"""),2)</f>
        <v>2</v>
      </c>
      <c r="F59" s="37">
        <f ca="1">IFERROR(__xludf.DUMMYFUNCTION("""COMPUTED_VALUE"""),91)</f>
        <v>91</v>
      </c>
      <c r="G59" s="37">
        <f ca="1">IFERROR(__xludf.DUMMYFUNCTION("""COMPUTED_VALUE"""),1)</f>
        <v>1</v>
      </c>
      <c r="H59" s="37">
        <f ca="1">IFERROR(__xludf.DUMMYFUNCTION("""COMPUTED_VALUE"""),0)</f>
        <v>0</v>
      </c>
      <c r="I59" s="37">
        <f ca="1">IFERROR(__xludf.DUMMYFUNCTION("""COMPUTED_VALUE"""),1)</f>
        <v>1</v>
      </c>
      <c r="J59" s="37">
        <f ca="1">IFERROR(__xludf.DUMMYFUNCTION("""COMPUTED_VALUE"""),6)</f>
        <v>6</v>
      </c>
      <c r="K59" s="37">
        <f ca="1">IFERROR(__xludf.DUMMYFUNCTION("""COMPUTED_VALUE"""),0)</f>
        <v>0</v>
      </c>
      <c r="L59" s="37">
        <f ca="1">IFERROR(__xludf.DUMMYFUNCTION("""COMPUTED_VALUE"""),0)</f>
        <v>0</v>
      </c>
      <c r="M59" s="37">
        <f ca="1">IFERROR(__xludf.DUMMYFUNCTION("""COMPUTED_VALUE"""),0)</f>
        <v>0</v>
      </c>
      <c r="N59" s="39">
        <f ca="1">IFERROR(__xludf.DUMMYFUNCTION("""COMPUTED_VALUE"""),11.2)</f>
        <v>11.2</v>
      </c>
      <c r="O59" s="40">
        <f ca="1">IFERROR(__xludf.DUMMYFUNCTION("""COMPUTED_VALUE"""),0.164)</f>
        <v>0.16400000000000001</v>
      </c>
      <c r="P59" s="37">
        <f ca="1">IFERROR(__xludf.DUMMYFUNCTION("""COMPUTED_VALUE"""),1)</f>
        <v>1</v>
      </c>
      <c r="Q59" s="37">
        <f ca="1">IFERROR(__xludf.DUMMYFUNCTION("""COMPUTED_VALUE"""),1)</f>
        <v>1</v>
      </c>
      <c r="R59" s="37"/>
      <c r="S59" s="37"/>
      <c r="T59" s="37"/>
      <c r="U59" s="37"/>
      <c r="V59" s="37"/>
    </row>
    <row r="60" spans="1:22" x14ac:dyDescent="0.35">
      <c r="A60" s="37" t="str">
        <f ca="1">IFERROR(__xludf.DUMMYFUNCTION("""COMPUTED_VALUE"""),"5639")</f>
        <v>5639</v>
      </c>
      <c r="B60" s="37" t="str">
        <f ca="1">IFERROR(__xludf.DUMMYFUNCTION("""COMPUTED_VALUE"""),"Intraclastic grainstone")</f>
        <v>Intraclastic grainstone</v>
      </c>
      <c r="C60" s="37">
        <f ca="1">IFERROR(__xludf.DUMMYFUNCTION("""COMPUTED_VALUE"""),8)</f>
        <v>8</v>
      </c>
      <c r="D60" s="37">
        <f ca="1">IFERROR(__xludf.DUMMYFUNCTION("""COMPUTED_VALUE"""),63)</f>
        <v>63</v>
      </c>
      <c r="E60" s="37">
        <f ca="1">IFERROR(__xludf.DUMMYFUNCTION("""COMPUTED_VALUE"""),16)</f>
        <v>16</v>
      </c>
      <c r="F60" s="37">
        <f ca="1">IFERROR(__xludf.DUMMYFUNCTION("""COMPUTED_VALUE"""),0)</f>
        <v>0</v>
      </c>
      <c r="G60" s="37">
        <f ca="1">IFERROR(__xludf.DUMMYFUNCTION("""COMPUTED_VALUE"""),3)</f>
        <v>3</v>
      </c>
      <c r="H60" s="37">
        <f ca="1">IFERROR(__xludf.DUMMYFUNCTION("""COMPUTED_VALUE"""),0)</f>
        <v>0</v>
      </c>
      <c r="I60" s="37">
        <f ca="1">IFERROR(__xludf.DUMMYFUNCTION("""COMPUTED_VALUE"""),1)</f>
        <v>1</v>
      </c>
      <c r="J60" s="37">
        <f ca="1">IFERROR(__xludf.DUMMYFUNCTION("""COMPUTED_VALUE"""),16)</f>
        <v>16</v>
      </c>
      <c r="K60" s="37">
        <f ca="1">IFERROR(__xludf.DUMMYFUNCTION("""COMPUTED_VALUE"""),2)</f>
        <v>2</v>
      </c>
      <c r="L60" s="37">
        <f ca="1">IFERROR(__xludf.DUMMYFUNCTION("""COMPUTED_VALUE"""),0)</f>
        <v>0</v>
      </c>
      <c r="M60" s="37">
        <f ca="1">IFERROR(__xludf.DUMMYFUNCTION("""COMPUTED_VALUE"""),0)</f>
        <v>0</v>
      </c>
      <c r="N60" s="39">
        <f ca="1">IFERROR(__xludf.DUMMYFUNCTION("""COMPUTED_VALUE"""),16)</f>
        <v>16</v>
      </c>
      <c r="O60" s="40">
        <f ca="1">IFERROR(__xludf.DUMMYFUNCTION("""COMPUTED_VALUE"""),7.36)</f>
        <v>7.36</v>
      </c>
      <c r="P60" s="37">
        <f ca="1">IFERROR(__xludf.DUMMYFUNCTION("""COMPUTED_VALUE"""),1)</f>
        <v>1</v>
      </c>
      <c r="Q60" s="37">
        <f ca="1">IFERROR(__xludf.DUMMYFUNCTION("""COMPUTED_VALUE"""),1)</f>
        <v>1</v>
      </c>
      <c r="R60" s="37"/>
      <c r="S60" s="37"/>
      <c r="T60" s="37"/>
      <c r="U60" s="37"/>
      <c r="V60" s="37"/>
    </row>
    <row r="61" spans="1:22" x14ac:dyDescent="0.35">
      <c r="A61" s="37" t="str">
        <f ca="1">IFERROR(__xludf.DUMMYFUNCTION("""COMPUTED_VALUE"""),"5649")</f>
        <v>5649</v>
      </c>
      <c r="B61" s="37" t="str">
        <f ca="1">IFERROR(__xludf.DUMMYFUNCTION("""COMPUTED_VALUE"""),"Mudstone")</f>
        <v>Mudstone</v>
      </c>
      <c r="C61" s="37">
        <f ca="1">IFERROR(__xludf.DUMMYFUNCTION("""COMPUTED_VALUE"""),3)</f>
        <v>3</v>
      </c>
      <c r="D61" s="37">
        <f ca="1">IFERROR(__xludf.DUMMYFUNCTION("""COMPUTED_VALUE"""),0)</f>
        <v>0</v>
      </c>
      <c r="E61" s="37">
        <f ca="1">IFERROR(__xludf.DUMMYFUNCTION("""COMPUTED_VALUE"""),79)</f>
        <v>79</v>
      </c>
      <c r="F61" s="37">
        <f ca="1">IFERROR(__xludf.DUMMYFUNCTION("""COMPUTED_VALUE"""),5)</f>
        <v>5</v>
      </c>
      <c r="G61" s="37">
        <f ca="1">IFERROR(__xludf.DUMMYFUNCTION("""COMPUTED_VALUE"""),2)</f>
        <v>2</v>
      </c>
      <c r="H61" s="37">
        <f ca="1">IFERROR(__xludf.DUMMYFUNCTION("""COMPUTED_VALUE"""),0)</f>
        <v>0</v>
      </c>
      <c r="I61" s="37">
        <f ca="1">IFERROR(__xludf.DUMMYFUNCTION("""COMPUTED_VALUE"""),1)</f>
        <v>1</v>
      </c>
      <c r="J61" s="37">
        <f ca="1">IFERROR(__xludf.DUMMYFUNCTION("""COMPUTED_VALUE"""),12)</f>
        <v>12</v>
      </c>
      <c r="K61" s="37">
        <f ca="1">IFERROR(__xludf.DUMMYFUNCTION("""COMPUTED_VALUE"""),2)</f>
        <v>2</v>
      </c>
      <c r="L61" s="37">
        <f ca="1">IFERROR(__xludf.DUMMYFUNCTION("""COMPUTED_VALUE"""),0)</f>
        <v>0</v>
      </c>
      <c r="M61" s="37">
        <f ca="1">IFERROR(__xludf.DUMMYFUNCTION("""COMPUTED_VALUE"""),0)</f>
        <v>0</v>
      </c>
      <c r="N61" s="39">
        <f ca="1">IFERROR(__xludf.DUMMYFUNCTION("""COMPUTED_VALUE"""),16.8)</f>
        <v>16.8</v>
      </c>
      <c r="O61" s="40">
        <f ca="1">IFERROR(__xludf.DUMMYFUNCTION("""COMPUTED_VALUE"""),2.12)</f>
        <v>2.12</v>
      </c>
      <c r="P61" s="37">
        <f ca="1">IFERROR(__xludf.DUMMYFUNCTION("""COMPUTED_VALUE"""),1)</f>
        <v>1</v>
      </c>
      <c r="Q61" s="37">
        <f ca="1">IFERROR(__xludf.DUMMYFUNCTION("""COMPUTED_VALUE"""),1)</f>
        <v>1</v>
      </c>
      <c r="R61" s="37"/>
      <c r="S61" s="37"/>
      <c r="T61" s="37"/>
      <c r="U61" s="37"/>
      <c r="V61" s="37"/>
    </row>
    <row r="62" spans="1:22" x14ac:dyDescent="0.35">
      <c r="A62" s="37" t="str">
        <f ca="1">IFERROR(__xludf.DUMMYFUNCTION("""COMPUTED_VALUE"""),"5662")</f>
        <v>5662</v>
      </c>
      <c r="B62" s="37" t="str">
        <f ca="1">IFERROR(__xludf.DUMMYFUNCTION("""COMPUTED_VALUE"""),"Intraclastic grainstone")</f>
        <v>Intraclastic grainstone</v>
      </c>
      <c r="C62" s="37">
        <f ca="1">IFERROR(__xludf.DUMMYFUNCTION("""COMPUTED_VALUE"""),8)</f>
        <v>8</v>
      </c>
      <c r="D62" s="37">
        <f ca="1">IFERROR(__xludf.DUMMYFUNCTION("""COMPUTED_VALUE"""),63)</f>
        <v>63</v>
      </c>
      <c r="E62" s="37">
        <f ca="1">IFERROR(__xludf.DUMMYFUNCTION("""COMPUTED_VALUE"""),19)</f>
        <v>19</v>
      </c>
      <c r="F62" s="37">
        <f ca="1">IFERROR(__xludf.DUMMYFUNCTION("""COMPUTED_VALUE"""),0)</f>
        <v>0</v>
      </c>
      <c r="G62" s="37">
        <f ca="1">IFERROR(__xludf.DUMMYFUNCTION("""COMPUTED_VALUE"""),3)</f>
        <v>3</v>
      </c>
      <c r="H62" s="37">
        <f ca="1">IFERROR(__xludf.DUMMYFUNCTION("""COMPUTED_VALUE"""),0)</f>
        <v>0</v>
      </c>
      <c r="I62" s="37">
        <f ca="1">IFERROR(__xludf.DUMMYFUNCTION("""COMPUTED_VALUE"""),1)</f>
        <v>1</v>
      </c>
      <c r="J62" s="37">
        <f ca="1">IFERROR(__xludf.DUMMYFUNCTION("""COMPUTED_VALUE"""),14)</f>
        <v>14</v>
      </c>
      <c r="K62" s="37">
        <f ca="1">IFERROR(__xludf.DUMMYFUNCTION("""COMPUTED_VALUE"""),1)</f>
        <v>1</v>
      </c>
      <c r="L62" s="37">
        <f ca="1">IFERROR(__xludf.DUMMYFUNCTION("""COMPUTED_VALUE"""),0)</f>
        <v>0</v>
      </c>
      <c r="M62" s="37">
        <f ca="1">IFERROR(__xludf.DUMMYFUNCTION("""COMPUTED_VALUE"""),0)</f>
        <v>0</v>
      </c>
      <c r="N62" s="39">
        <f ca="1">IFERROR(__xludf.DUMMYFUNCTION("""COMPUTED_VALUE"""),16.7)</f>
        <v>16.7</v>
      </c>
      <c r="O62" s="40">
        <f ca="1">IFERROR(__xludf.DUMMYFUNCTION("""COMPUTED_VALUE"""),11.1)</f>
        <v>11.1</v>
      </c>
      <c r="P62" s="37">
        <f ca="1">IFERROR(__xludf.DUMMYFUNCTION("""COMPUTED_VALUE"""),1)</f>
        <v>1</v>
      </c>
      <c r="Q62" s="37">
        <f ca="1">IFERROR(__xludf.DUMMYFUNCTION("""COMPUTED_VALUE"""),1)</f>
        <v>1</v>
      </c>
      <c r="R62" s="37"/>
      <c r="S62" s="37"/>
      <c r="T62" s="37"/>
      <c r="U62" s="37"/>
      <c r="V62" s="37"/>
    </row>
    <row r="63" spans="1:22" x14ac:dyDescent="0.35">
      <c r="A63" s="37" t="str">
        <f ca="1">IFERROR(__xludf.DUMMYFUNCTION("""COMPUTED_VALUE"""),"5675")</f>
        <v>5675</v>
      </c>
      <c r="B63" s="37" t="str">
        <f ca="1">IFERROR(__xludf.DUMMYFUNCTION("""COMPUTED_VALUE"""),"Intraclastic packstone")</f>
        <v>Intraclastic packstone</v>
      </c>
      <c r="C63" s="37">
        <f ca="1">IFERROR(__xludf.DUMMYFUNCTION("""COMPUTED_VALUE"""),9)</f>
        <v>9</v>
      </c>
      <c r="D63" s="37">
        <f ca="1">IFERROR(__xludf.DUMMYFUNCTION("""COMPUTED_VALUE"""),31)</f>
        <v>31</v>
      </c>
      <c r="E63" s="37">
        <f ca="1">IFERROR(__xludf.DUMMYFUNCTION("""COMPUTED_VALUE"""),33)</f>
        <v>33</v>
      </c>
      <c r="F63" s="37">
        <f ca="1">IFERROR(__xludf.DUMMYFUNCTION("""COMPUTED_VALUE"""),17)</f>
        <v>17</v>
      </c>
      <c r="G63" s="37">
        <f ca="1">IFERROR(__xludf.DUMMYFUNCTION("""COMPUTED_VALUE"""),3)</f>
        <v>3</v>
      </c>
      <c r="H63" s="37">
        <f ca="1">IFERROR(__xludf.DUMMYFUNCTION("""COMPUTED_VALUE"""),3)</f>
        <v>3</v>
      </c>
      <c r="I63" s="37">
        <f ca="1">IFERROR(__xludf.DUMMYFUNCTION("""COMPUTED_VALUE"""),0)</f>
        <v>0</v>
      </c>
      <c r="J63" s="37">
        <f ca="1">IFERROR(__xludf.DUMMYFUNCTION("""COMPUTED_VALUE"""),14)</f>
        <v>14</v>
      </c>
      <c r="K63" s="37">
        <f ca="1">IFERROR(__xludf.DUMMYFUNCTION("""COMPUTED_VALUE"""),2)</f>
        <v>2</v>
      </c>
      <c r="L63" s="37">
        <f ca="1">IFERROR(__xludf.DUMMYFUNCTION("""COMPUTED_VALUE"""),0)</f>
        <v>0</v>
      </c>
      <c r="M63" s="37">
        <f ca="1">IFERROR(__xludf.DUMMYFUNCTION("""COMPUTED_VALUE"""),0)</f>
        <v>0</v>
      </c>
      <c r="N63" s="39">
        <f ca="1">IFERROR(__xludf.DUMMYFUNCTION("""COMPUTED_VALUE"""),19.2)</f>
        <v>19.2</v>
      </c>
      <c r="O63" s="40">
        <f ca="1">IFERROR(__xludf.DUMMYFUNCTION("""COMPUTED_VALUE"""),1.11)</f>
        <v>1.1100000000000001</v>
      </c>
      <c r="P63" s="37">
        <f ca="1">IFERROR(__xludf.DUMMYFUNCTION("""COMPUTED_VALUE"""),1)</f>
        <v>1</v>
      </c>
      <c r="Q63" s="37">
        <f ca="1">IFERROR(__xludf.DUMMYFUNCTION("""COMPUTED_VALUE"""),1)</f>
        <v>1</v>
      </c>
      <c r="R63" s="37"/>
      <c r="S63" s="37"/>
      <c r="T63" s="37"/>
      <c r="U63" s="37"/>
      <c r="V63" s="37"/>
    </row>
    <row r="64" spans="1:22" x14ac:dyDescent="0.35">
      <c r="A64" s="37" t="str">
        <f ca="1">IFERROR(__xludf.DUMMYFUNCTION("""COMPUTED_VALUE"""),"5681")</f>
        <v>5681</v>
      </c>
      <c r="B64" s="37" t="str">
        <f ca="1">IFERROR(__xludf.DUMMYFUNCTION("""COMPUTED_VALUE"""),"Intraclastic grainstone")</f>
        <v>Intraclastic grainstone</v>
      </c>
      <c r="C64" s="37">
        <f ca="1">IFERROR(__xludf.DUMMYFUNCTION("""COMPUTED_VALUE"""),8)</f>
        <v>8</v>
      </c>
      <c r="D64" s="37">
        <f ca="1">IFERROR(__xludf.DUMMYFUNCTION("""COMPUTED_VALUE"""),69)</f>
        <v>69</v>
      </c>
      <c r="E64" s="37">
        <f ca="1">IFERROR(__xludf.DUMMYFUNCTION("""COMPUTED_VALUE"""),14)</f>
        <v>14</v>
      </c>
      <c r="F64" s="37">
        <f ca="1">IFERROR(__xludf.DUMMYFUNCTION("""COMPUTED_VALUE"""),0)</f>
        <v>0</v>
      </c>
      <c r="G64" s="37">
        <f ca="1">IFERROR(__xludf.DUMMYFUNCTION("""COMPUTED_VALUE"""),6)</f>
        <v>6</v>
      </c>
      <c r="H64" s="37">
        <f ca="1">IFERROR(__xludf.DUMMYFUNCTION("""COMPUTED_VALUE"""),0)</f>
        <v>0</v>
      </c>
      <c r="I64" s="37">
        <f ca="1">IFERROR(__xludf.DUMMYFUNCTION("""COMPUTED_VALUE"""),1)</f>
        <v>1</v>
      </c>
      <c r="J64" s="37">
        <f ca="1">IFERROR(__xludf.DUMMYFUNCTION("""COMPUTED_VALUE"""),9)</f>
        <v>9</v>
      </c>
      <c r="K64" s="37">
        <f ca="1">IFERROR(__xludf.DUMMYFUNCTION("""COMPUTED_VALUE"""),2)</f>
        <v>2</v>
      </c>
      <c r="L64" s="37">
        <f ca="1">IFERROR(__xludf.DUMMYFUNCTION("""COMPUTED_VALUE"""),0)</f>
        <v>0</v>
      </c>
      <c r="M64" s="37">
        <f ca="1">IFERROR(__xludf.DUMMYFUNCTION("""COMPUTED_VALUE"""),0)</f>
        <v>0</v>
      </c>
      <c r="N64" s="39">
        <f ca="1">IFERROR(__xludf.DUMMYFUNCTION("""COMPUTED_VALUE"""),13.3)</f>
        <v>13.3</v>
      </c>
      <c r="O64" s="40">
        <f ca="1">IFERROR(__xludf.DUMMYFUNCTION("""COMPUTED_VALUE"""),2.57)</f>
        <v>2.57</v>
      </c>
      <c r="P64" s="37">
        <f ca="1">IFERROR(__xludf.DUMMYFUNCTION("""COMPUTED_VALUE"""),1)</f>
        <v>1</v>
      </c>
      <c r="Q64" s="37">
        <f ca="1">IFERROR(__xludf.DUMMYFUNCTION("""COMPUTED_VALUE"""),1)</f>
        <v>1</v>
      </c>
      <c r="R64" s="37"/>
      <c r="S64" s="37"/>
      <c r="T64" s="37"/>
      <c r="U64" s="37"/>
      <c r="V64" s="37"/>
    </row>
    <row r="65" spans="1:22" x14ac:dyDescent="0.35">
      <c r="A65" s="37" t="str">
        <f ca="1">IFERROR(__xludf.DUMMYFUNCTION("""COMPUTED_VALUE"""),"5690")</f>
        <v>5690</v>
      </c>
      <c r="B65" s="37" t="str">
        <f ca="1">IFERROR(__xludf.DUMMYFUNCTION("""COMPUTED_VALUE"""),"Intraclastic packstone")</f>
        <v>Intraclastic packstone</v>
      </c>
      <c r="C65" s="37">
        <f ca="1">IFERROR(__xludf.DUMMYFUNCTION("""COMPUTED_VALUE"""),9)</f>
        <v>9</v>
      </c>
      <c r="D65" s="37">
        <f ca="1">IFERROR(__xludf.DUMMYFUNCTION("""COMPUTED_VALUE"""),51)</f>
        <v>51</v>
      </c>
      <c r="E65" s="37">
        <f ca="1">IFERROR(__xludf.DUMMYFUNCTION("""COMPUTED_VALUE"""),12)</f>
        <v>12</v>
      </c>
      <c r="F65" s="37">
        <f ca="1">IFERROR(__xludf.DUMMYFUNCTION("""COMPUTED_VALUE"""),30)</f>
        <v>30</v>
      </c>
      <c r="G65" s="37">
        <f ca="1">IFERROR(__xludf.DUMMYFUNCTION("""COMPUTED_VALUE"""),2)</f>
        <v>2</v>
      </c>
      <c r="H65" s="37">
        <f ca="1">IFERROR(__xludf.DUMMYFUNCTION("""COMPUTED_VALUE"""),0)</f>
        <v>0</v>
      </c>
      <c r="I65" s="37">
        <f ca="1">IFERROR(__xludf.DUMMYFUNCTION("""COMPUTED_VALUE"""),1)</f>
        <v>1</v>
      </c>
      <c r="J65" s="37">
        <f ca="1">IFERROR(__xludf.DUMMYFUNCTION("""COMPUTED_VALUE"""),3)</f>
        <v>3</v>
      </c>
      <c r="K65" s="37">
        <f ca="1">IFERROR(__xludf.DUMMYFUNCTION("""COMPUTED_VALUE"""),2)</f>
        <v>2</v>
      </c>
      <c r="L65" s="37">
        <f ca="1">IFERROR(__xludf.DUMMYFUNCTION("""COMPUTED_VALUE"""),0)</f>
        <v>0</v>
      </c>
      <c r="M65" s="37">
        <f ca="1">IFERROR(__xludf.DUMMYFUNCTION("""COMPUTED_VALUE"""),0)</f>
        <v>0</v>
      </c>
      <c r="N65" s="39">
        <f ca="1">IFERROR(__xludf.DUMMYFUNCTION("""COMPUTED_VALUE"""),7.4)</f>
        <v>7.4</v>
      </c>
      <c r="O65" s="40">
        <f ca="1">IFERROR(__xludf.DUMMYFUNCTION("""COMPUTED_VALUE"""),0.078)</f>
        <v>7.8E-2</v>
      </c>
      <c r="P65" s="37">
        <f ca="1">IFERROR(__xludf.DUMMYFUNCTION("""COMPUTED_VALUE"""),1)</f>
        <v>1</v>
      </c>
      <c r="Q65" s="37">
        <f ca="1">IFERROR(__xludf.DUMMYFUNCTION("""COMPUTED_VALUE"""),1)</f>
        <v>1</v>
      </c>
      <c r="R65" s="37"/>
      <c r="S65" s="37"/>
      <c r="T65" s="37"/>
      <c r="U65" s="37"/>
      <c r="V65" s="37"/>
    </row>
    <row r="66" spans="1:22" x14ac:dyDescent="0.35">
      <c r="A66" s="37" t="str">
        <f ca="1">IFERROR(__xludf.DUMMYFUNCTION("""COMPUTED_VALUE"""),"5700")</f>
        <v>5700</v>
      </c>
      <c r="B66" s="37" t="str">
        <f ca="1">IFERROR(__xludf.DUMMYFUNCTION("""COMPUTED_VALUE"""),"Mudstone")</f>
        <v>Mudstone</v>
      </c>
      <c r="C66" s="37">
        <f ca="1">IFERROR(__xludf.DUMMYFUNCTION("""COMPUTED_VALUE"""),3)</f>
        <v>3</v>
      </c>
      <c r="D66" s="37">
        <f ca="1">IFERROR(__xludf.DUMMYFUNCTION("""COMPUTED_VALUE"""),0)</f>
        <v>0</v>
      </c>
      <c r="E66" s="37">
        <f ca="1">IFERROR(__xludf.DUMMYFUNCTION("""COMPUTED_VALUE"""),7)</f>
        <v>7</v>
      </c>
      <c r="F66" s="37">
        <f ca="1">IFERROR(__xludf.DUMMYFUNCTION("""COMPUTED_VALUE"""),85)</f>
        <v>85</v>
      </c>
      <c r="G66" s="37">
        <f ca="1">IFERROR(__xludf.DUMMYFUNCTION("""COMPUTED_VALUE"""),2)</f>
        <v>2</v>
      </c>
      <c r="H66" s="37">
        <f ca="1">IFERROR(__xludf.DUMMYFUNCTION("""COMPUTED_VALUE"""),0)</f>
        <v>0</v>
      </c>
      <c r="I66" s="37">
        <f ca="1">IFERROR(__xludf.DUMMYFUNCTION("""COMPUTED_VALUE"""),1)</f>
        <v>1</v>
      </c>
      <c r="J66" s="37">
        <f ca="1">IFERROR(__xludf.DUMMYFUNCTION("""COMPUTED_VALUE"""),1)</f>
        <v>1</v>
      </c>
      <c r="K66" s="37">
        <f ca="1">IFERROR(__xludf.DUMMYFUNCTION("""COMPUTED_VALUE"""),5)</f>
        <v>5</v>
      </c>
      <c r="L66" s="37">
        <f ca="1">IFERROR(__xludf.DUMMYFUNCTION("""COMPUTED_VALUE"""),0)</f>
        <v>0</v>
      </c>
      <c r="M66" s="37">
        <f ca="1">IFERROR(__xludf.DUMMYFUNCTION("""COMPUTED_VALUE"""),0)</f>
        <v>0</v>
      </c>
      <c r="N66" s="39">
        <f ca="1">IFERROR(__xludf.DUMMYFUNCTION("""COMPUTED_VALUE"""),8.7)</f>
        <v>8.6999999999999993</v>
      </c>
      <c r="O66" s="40">
        <f ca="1">IFERROR(__xludf.DUMMYFUNCTION("""COMPUTED_VALUE"""),0.071)</f>
        <v>7.0999999999999994E-2</v>
      </c>
      <c r="P66" s="37">
        <f ca="1">IFERROR(__xludf.DUMMYFUNCTION("""COMPUTED_VALUE"""),1)</f>
        <v>1</v>
      </c>
      <c r="Q66" s="37">
        <f ca="1">IFERROR(__xludf.DUMMYFUNCTION("""COMPUTED_VALUE"""),1)</f>
        <v>1</v>
      </c>
      <c r="R66" s="37"/>
      <c r="S66" s="37"/>
      <c r="T66" s="37"/>
      <c r="U66" s="37"/>
      <c r="V66" s="37"/>
    </row>
    <row r="67" spans="1:22" x14ac:dyDescent="0.35">
      <c r="A67" s="37" t="str">
        <f ca="1">IFERROR(__xludf.DUMMYFUNCTION("""COMPUTED_VALUE"""),"5705")</f>
        <v>5705</v>
      </c>
      <c r="B67" s="37" t="str">
        <f ca="1">IFERROR(__xludf.DUMMYFUNCTION("""COMPUTED_VALUE"""),"Mudstone")</f>
        <v>Mudstone</v>
      </c>
      <c r="C67" s="37">
        <f ca="1">IFERROR(__xludf.DUMMYFUNCTION("""COMPUTED_VALUE"""),3)</f>
        <v>3</v>
      </c>
      <c r="D67" s="37">
        <f ca="1">IFERROR(__xludf.DUMMYFUNCTION("""COMPUTED_VALUE"""),0)</f>
        <v>0</v>
      </c>
      <c r="E67" s="37">
        <f ca="1">IFERROR(__xludf.DUMMYFUNCTION("""COMPUTED_VALUE"""),3)</f>
        <v>3</v>
      </c>
      <c r="F67" s="37">
        <f ca="1">IFERROR(__xludf.DUMMYFUNCTION("""COMPUTED_VALUE"""),96)</f>
        <v>96</v>
      </c>
      <c r="G67" s="37">
        <f ca="1">IFERROR(__xludf.DUMMYFUNCTION("""COMPUTED_VALUE"""),1)</f>
        <v>1</v>
      </c>
      <c r="H67" s="37">
        <f ca="1">IFERROR(__xludf.DUMMYFUNCTION("""COMPUTED_VALUE"""),0)</f>
        <v>0</v>
      </c>
      <c r="I67" s="37">
        <f ca="1">IFERROR(__xludf.DUMMYFUNCTION("""COMPUTED_VALUE"""),1)</f>
        <v>1</v>
      </c>
      <c r="J67" s="37">
        <f ca="1">IFERROR(__xludf.DUMMYFUNCTION("""COMPUTED_VALUE"""),0)</f>
        <v>0</v>
      </c>
      <c r="K67" s="37">
        <f ca="1">IFERROR(__xludf.DUMMYFUNCTION("""COMPUTED_VALUE"""),0)</f>
        <v>0</v>
      </c>
      <c r="L67" s="37">
        <f ca="1">IFERROR(__xludf.DUMMYFUNCTION("""COMPUTED_VALUE"""),0)</f>
        <v>0</v>
      </c>
      <c r="M67" s="37">
        <f ca="1">IFERROR(__xludf.DUMMYFUNCTION("""COMPUTED_VALUE"""),0)</f>
        <v>0</v>
      </c>
      <c r="N67" s="39">
        <f ca="1">IFERROR(__xludf.DUMMYFUNCTION("""COMPUTED_VALUE"""),7.2)</f>
        <v>7.2</v>
      </c>
      <c r="O67" s="40">
        <f ca="1">IFERROR(__xludf.DUMMYFUNCTION("""COMPUTED_VALUE"""),0.008)</f>
        <v>8.0000000000000002E-3</v>
      </c>
      <c r="P67" s="37">
        <f ca="1">IFERROR(__xludf.DUMMYFUNCTION("""COMPUTED_VALUE"""),1)</f>
        <v>1</v>
      </c>
      <c r="Q67" s="37">
        <f ca="1">IFERROR(__xludf.DUMMYFUNCTION("""COMPUTED_VALUE"""),1)</f>
        <v>1</v>
      </c>
      <c r="R67" s="37"/>
      <c r="S67" s="37"/>
      <c r="T67" s="37"/>
      <c r="U67" s="37"/>
      <c r="V67" s="37"/>
    </row>
    <row r="68" spans="1:22" x14ac:dyDescent="0.35">
      <c r="A68" s="37" t="str">
        <f ca="1">IFERROR(__xludf.DUMMYFUNCTION("""COMPUTED_VALUE"""),"5711")</f>
        <v>5711</v>
      </c>
      <c r="B68" s="37" t="str">
        <f ca="1">IFERROR(__xludf.DUMMYFUNCTION("""COMPUTED_VALUE"""),"Mudstone")</f>
        <v>Mudstone</v>
      </c>
      <c r="C68" s="37">
        <f ca="1">IFERROR(__xludf.DUMMYFUNCTION("""COMPUTED_VALUE"""),3)</f>
        <v>3</v>
      </c>
      <c r="D68" s="37">
        <f ca="1">IFERROR(__xludf.DUMMYFUNCTION("""COMPUTED_VALUE"""),0)</f>
        <v>0</v>
      </c>
      <c r="E68" s="37">
        <f ca="1">IFERROR(__xludf.DUMMYFUNCTION("""COMPUTED_VALUE"""),6)</f>
        <v>6</v>
      </c>
      <c r="F68" s="37">
        <f ca="1">IFERROR(__xludf.DUMMYFUNCTION("""COMPUTED_VALUE"""),92)</f>
        <v>92</v>
      </c>
      <c r="G68" s="37">
        <f ca="1">IFERROR(__xludf.DUMMYFUNCTION("""COMPUTED_VALUE"""),1)</f>
        <v>1</v>
      </c>
      <c r="H68" s="37">
        <f ca="1">IFERROR(__xludf.DUMMYFUNCTION("""COMPUTED_VALUE"""),0)</f>
        <v>0</v>
      </c>
      <c r="I68" s="37">
        <f ca="1">IFERROR(__xludf.DUMMYFUNCTION("""COMPUTED_VALUE"""),1)</f>
        <v>1</v>
      </c>
      <c r="J68" s="37">
        <f ca="1">IFERROR(__xludf.DUMMYFUNCTION("""COMPUTED_VALUE"""),1)</f>
        <v>1</v>
      </c>
      <c r="K68" s="37">
        <f ca="1">IFERROR(__xludf.DUMMYFUNCTION("""COMPUTED_VALUE"""),0)</f>
        <v>0</v>
      </c>
      <c r="L68" s="37">
        <f ca="1">IFERROR(__xludf.DUMMYFUNCTION("""COMPUTED_VALUE"""),0)</f>
        <v>0</v>
      </c>
      <c r="M68" s="37">
        <f ca="1">IFERROR(__xludf.DUMMYFUNCTION("""COMPUTED_VALUE"""),0)</f>
        <v>0</v>
      </c>
      <c r="N68" s="39">
        <f ca="1">IFERROR(__xludf.DUMMYFUNCTION("""COMPUTED_VALUE"""),10.4)</f>
        <v>10.4</v>
      </c>
      <c r="O68" s="40">
        <f ca="1">IFERROR(__xludf.DUMMYFUNCTION("""COMPUTED_VALUE"""),0.405)</f>
        <v>0.40500000000000003</v>
      </c>
      <c r="P68" s="37">
        <f ca="1">IFERROR(__xludf.DUMMYFUNCTION("""COMPUTED_VALUE"""),1)</f>
        <v>1</v>
      </c>
      <c r="Q68" s="37">
        <f ca="1">IFERROR(__xludf.DUMMYFUNCTION("""COMPUTED_VALUE"""),1)</f>
        <v>1</v>
      </c>
      <c r="R68" s="37"/>
      <c r="S68" s="37"/>
      <c r="T68" s="37"/>
      <c r="U68" s="37"/>
      <c r="V68" s="37"/>
    </row>
    <row r="69" spans="1:22" x14ac:dyDescent="0.35">
      <c r="A69" s="37" t="str">
        <f ca="1">IFERROR(__xludf.DUMMYFUNCTION("""COMPUTED_VALUE"""),"5725")</f>
        <v>5725</v>
      </c>
      <c r="B69" s="37" t="str">
        <f ca="1">IFERROR(__xludf.DUMMYFUNCTION("""COMPUTED_VALUE"""),"Mudstone")</f>
        <v>Mudstone</v>
      </c>
      <c r="C69" s="37">
        <f ca="1">IFERROR(__xludf.DUMMYFUNCTION("""COMPUTED_VALUE"""),3)</f>
        <v>3</v>
      </c>
      <c r="D69" s="37">
        <f ca="1">IFERROR(__xludf.DUMMYFUNCTION("""COMPUTED_VALUE"""),0)</f>
        <v>0</v>
      </c>
      <c r="E69" s="37">
        <f ca="1">IFERROR(__xludf.DUMMYFUNCTION("""COMPUTED_VALUE"""),35)</f>
        <v>35</v>
      </c>
      <c r="F69" s="37">
        <f ca="1">IFERROR(__xludf.DUMMYFUNCTION("""COMPUTED_VALUE"""),50)</f>
        <v>50</v>
      </c>
      <c r="G69" s="37">
        <f ca="1">IFERROR(__xludf.DUMMYFUNCTION("""COMPUTED_VALUE"""),0)</f>
        <v>0</v>
      </c>
      <c r="H69" s="37">
        <f ca="1">IFERROR(__xludf.DUMMYFUNCTION("""COMPUTED_VALUE"""),0)</f>
        <v>0</v>
      </c>
      <c r="I69" s="37">
        <f ca="1">IFERROR(__xludf.DUMMYFUNCTION("""COMPUTED_VALUE"""),1)</f>
        <v>1</v>
      </c>
      <c r="J69" s="37">
        <f ca="1">IFERROR(__xludf.DUMMYFUNCTION("""COMPUTED_VALUE"""),2)</f>
        <v>2</v>
      </c>
      <c r="K69" s="37">
        <f ca="1">IFERROR(__xludf.DUMMYFUNCTION("""COMPUTED_VALUE"""),13)</f>
        <v>13</v>
      </c>
      <c r="L69" s="37">
        <f ca="1">IFERROR(__xludf.DUMMYFUNCTION("""COMPUTED_VALUE"""),0)</f>
        <v>0</v>
      </c>
      <c r="M69" s="37">
        <f ca="1">IFERROR(__xludf.DUMMYFUNCTION("""COMPUTED_VALUE"""),0)</f>
        <v>0</v>
      </c>
      <c r="N69" s="39">
        <f ca="1">IFERROR(__xludf.DUMMYFUNCTION("""COMPUTED_VALUE"""),18.3)</f>
        <v>18.3</v>
      </c>
      <c r="O69" s="40">
        <f ca="1">IFERROR(__xludf.DUMMYFUNCTION("""COMPUTED_VALUE"""),1.22)</f>
        <v>1.22</v>
      </c>
      <c r="P69" s="37">
        <f ca="1">IFERROR(__xludf.DUMMYFUNCTION("""COMPUTED_VALUE"""),1)</f>
        <v>1</v>
      </c>
      <c r="Q69" s="37">
        <f ca="1">IFERROR(__xludf.DUMMYFUNCTION("""COMPUTED_VALUE"""),1)</f>
        <v>1</v>
      </c>
      <c r="R69" s="37"/>
      <c r="S69" s="37"/>
      <c r="T69" s="37"/>
      <c r="U69" s="37"/>
      <c r="V69" s="37"/>
    </row>
    <row r="70" spans="1:22" x14ac:dyDescent="0.35">
      <c r="A70" s="37" t="str">
        <f ca="1">IFERROR(__xludf.DUMMYFUNCTION("""COMPUTED_VALUE"""),"5730")</f>
        <v>5730</v>
      </c>
      <c r="B70" s="37" t="str">
        <f ca="1">IFERROR(__xludf.DUMMYFUNCTION("""COMPUTED_VALUE"""),"Mudstone")</f>
        <v>Mudstone</v>
      </c>
      <c r="C70" s="37">
        <f ca="1">IFERROR(__xludf.DUMMYFUNCTION("""COMPUTED_VALUE"""),3)</f>
        <v>3</v>
      </c>
      <c r="D70" s="37">
        <f ca="1">IFERROR(__xludf.DUMMYFUNCTION("""COMPUTED_VALUE"""),0)</f>
        <v>0</v>
      </c>
      <c r="E70" s="37">
        <f ca="1">IFERROR(__xludf.DUMMYFUNCTION("""COMPUTED_VALUE"""),23)</f>
        <v>23</v>
      </c>
      <c r="F70" s="37">
        <f ca="1">IFERROR(__xludf.DUMMYFUNCTION("""COMPUTED_VALUE"""),60)</f>
        <v>60</v>
      </c>
      <c r="G70" s="37">
        <f ca="1">IFERROR(__xludf.DUMMYFUNCTION("""COMPUTED_VALUE"""),0)</f>
        <v>0</v>
      </c>
      <c r="H70" s="37">
        <f ca="1">IFERROR(__xludf.DUMMYFUNCTION("""COMPUTED_VALUE"""),0)</f>
        <v>0</v>
      </c>
      <c r="I70" s="37">
        <f ca="1">IFERROR(__xludf.DUMMYFUNCTION("""COMPUTED_VALUE"""),1)</f>
        <v>1</v>
      </c>
      <c r="J70" s="37">
        <f ca="1">IFERROR(__xludf.DUMMYFUNCTION("""COMPUTED_VALUE"""),5)</f>
        <v>5</v>
      </c>
      <c r="K70" s="37">
        <f ca="1">IFERROR(__xludf.DUMMYFUNCTION("""COMPUTED_VALUE"""),12)</f>
        <v>12</v>
      </c>
      <c r="L70" s="37">
        <f ca="1">IFERROR(__xludf.DUMMYFUNCTION("""COMPUTED_VALUE"""),0)</f>
        <v>0</v>
      </c>
      <c r="M70" s="37">
        <f ca="1">IFERROR(__xludf.DUMMYFUNCTION("""COMPUTED_VALUE"""),0)</f>
        <v>0</v>
      </c>
      <c r="N70" s="39">
        <f ca="1">IFERROR(__xludf.DUMMYFUNCTION("""COMPUTED_VALUE"""),17.1)</f>
        <v>17.100000000000001</v>
      </c>
      <c r="O70" s="40">
        <f ca="1">IFERROR(__xludf.DUMMYFUNCTION("""COMPUTED_VALUE"""),0.286)</f>
        <v>0.28599999999999998</v>
      </c>
      <c r="P70" s="37">
        <f ca="1">IFERROR(__xludf.DUMMYFUNCTION("""COMPUTED_VALUE"""),1)</f>
        <v>1</v>
      </c>
      <c r="Q70" s="37">
        <f ca="1">IFERROR(__xludf.DUMMYFUNCTION("""COMPUTED_VALUE"""),1)</f>
        <v>1</v>
      </c>
      <c r="R70" s="37"/>
      <c r="S70" s="37"/>
      <c r="T70" s="37"/>
      <c r="U70" s="37"/>
      <c r="V70" s="37"/>
    </row>
    <row r="71" spans="1:22" x14ac:dyDescent="0.35">
      <c r="A71" s="37" t="str">
        <f ca="1">IFERROR(__xludf.DUMMYFUNCTION("""COMPUTED_VALUE"""),"5737")</f>
        <v>5737</v>
      </c>
      <c r="B71" s="37" t="str">
        <f ca="1">IFERROR(__xludf.DUMMYFUNCTION("""COMPUTED_VALUE"""),"Mudstone")</f>
        <v>Mudstone</v>
      </c>
      <c r="C71" s="37">
        <f ca="1">IFERROR(__xludf.DUMMYFUNCTION("""COMPUTED_VALUE"""),3)</f>
        <v>3</v>
      </c>
      <c r="D71" s="37">
        <f ca="1">IFERROR(__xludf.DUMMYFUNCTION("""COMPUTED_VALUE"""),0)</f>
        <v>0</v>
      </c>
      <c r="E71" s="37">
        <f ca="1">IFERROR(__xludf.DUMMYFUNCTION("""COMPUTED_VALUE"""),0)</f>
        <v>0</v>
      </c>
      <c r="F71" s="37">
        <f ca="1">IFERROR(__xludf.DUMMYFUNCTION("""COMPUTED_VALUE"""),90)</f>
        <v>90</v>
      </c>
      <c r="G71" s="37">
        <f ca="1">IFERROR(__xludf.DUMMYFUNCTION("""COMPUTED_VALUE"""),0)</f>
        <v>0</v>
      </c>
      <c r="H71" s="37">
        <f ca="1">IFERROR(__xludf.DUMMYFUNCTION("""COMPUTED_VALUE"""),0)</f>
        <v>0</v>
      </c>
      <c r="I71" s="37">
        <f ca="1">IFERROR(__xludf.DUMMYFUNCTION("""COMPUTED_VALUE"""),1)</f>
        <v>1</v>
      </c>
      <c r="J71" s="37">
        <f ca="1">IFERROR(__xludf.DUMMYFUNCTION("""COMPUTED_VALUE"""),2)</f>
        <v>2</v>
      </c>
      <c r="K71" s="37">
        <f ca="1">IFERROR(__xludf.DUMMYFUNCTION("""COMPUTED_VALUE"""),8)</f>
        <v>8</v>
      </c>
      <c r="L71" s="37">
        <f ca="1">IFERROR(__xludf.DUMMYFUNCTION("""COMPUTED_VALUE"""),0)</f>
        <v>0</v>
      </c>
      <c r="M71" s="37">
        <f ca="1">IFERROR(__xludf.DUMMYFUNCTION("""COMPUTED_VALUE"""),0)</f>
        <v>0</v>
      </c>
      <c r="N71" s="39">
        <f ca="1">IFERROR(__xludf.DUMMYFUNCTION("""COMPUTED_VALUE"""),11.6)</f>
        <v>11.6</v>
      </c>
      <c r="O71" s="40">
        <f ca="1">IFERROR(__xludf.DUMMYFUNCTION("""COMPUTED_VALUE"""),0.154)</f>
        <v>0.154</v>
      </c>
      <c r="P71" s="37">
        <f ca="1">IFERROR(__xludf.DUMMYFUNCTION("""COMPUTED_VALUE"""),1)</f>
        <v>1</v>
      </c>
      <c r="Q71" s="37">
        <f ca="1">IFERROR(__xludf.DUMMYFUNCTION("""COMPUTED_VALUE"""),1)</f>
        <v>1</v>
      </c>
      <c r="R71" s="37"/>
      <c r="S71" s="37"/>
      <c r="T71" s="37"/>
      <c r="U71" s="37"/>
      <c r="V71" s="37"/>
    </row>
    <row r="72" spans="1:22" x14ac:dyDescent="0.35">
      <c r="A72" s="37" t="str">
        <f ca="1">IFERROR(__xludf.DUMMYFUNCTION("""COMPUTED_VALUE"""),"5740")</f>
        <v>5740</v>
      </c>
      <c r="B72" s="37" t="str">
        <f ca="1">IFERROR(__xludf.DUMMYFUNCTION("""COMPUTED_VALUE"""),"Mudstone")</f>
        <v>Mudstone</v>
      </c>
      <c r="C72" s="37">
        <f ca="1">IFERROR(__xludf.DUMMYFUNCTION("""COMPUTED_VALUE"""),3)</f>
        <v>3</v>
      </c>
      <c r="D72" s="37">
        <f ca="1">IFERROR(__xludf.DUMMYFUNCTION("""COMPUTED_VALUE"""),0)</f>
        <v>0</v>
      </c>
      <c r="E72" s="37">
        <f ca="1">IFERROR(__xludf.DUMMYFUNCTION("""COMPUTED_VALUE"""),0)</f>
        <v>0</v>
      </c>
      <c r="F72" s="37">
        <f ca="1">IFERROR(__xludf.DUMMYFUNCTION("""COMPUTED_VALUE"""),98)</f>
        <v>98</v>
      </c>
      <c r="G72" s="37">
        <f ca="1">IFERROR(__xludf.DUMMYFUNCTION("""COMPUTED_VALUE"""),0)</f>
        <v>0</v>
      </c>
      <c r="H72" s="37">
        <f ca="1">IFERROR(__xludf.DUMMYFUNCTION("""COMPUTED_VALUE"""),0)</f>
        <v>0</v>
      </c>
      <c r="I72" s="37">
        <f ca="1">IFERROR(__xludf.DUMMYFUNCTION("""COMPUTED_VALUE"""),1)</f>
        <v>1</v>
      </c>
      <c r="J72" s="37">
        <f ca="1">IFERROR(__xludf.DUMMYFUNCTION("""COMPUTED_VALUE"""),2)</f>
        <v>2</v>
      </c>
      <c r="K72" s="37">
        <f ca="1">IFERROR(__xludf.DUMMYFUNCTION("""COMPUTED_VALUE"""),0)</f>
        <v>0</v>
      </c>
      <c r="L72" s="37">
        <f ca="1">IFERROR(__xludf.DUMMYFUNCTION("""COMPUTED_VALUE"""),0)</f>
        <v>0</v>
      </c>
      <c r="M72" s="37">
        <f ca="1">IFERROR(__xludf.DUMMYFUNCTION("""COMPUTED_VALUE"""),0)</f>
        <v>0</v>
      </c>
      <c r="N72" s="39">
        <f ca="1">IFERROR(__xludf.DUMMYFUNCTION("""COMPUTED_VALUE"""),11.7)</f>
        <v>11.7</v>
      </c>
      <c r="O72" s="40">
        <f ca="1">IFERROR(__xludf.DUMMYFUNCTION("""COMPUTED_VALUE"""),0.097)</f>
        <v>9.7000000000000003E-2</v>
      </c>
      <c r="P72" s="37">
        <f ca="1">IFERROR(__xludf.DUMMYFUNCTION("""COMPUTED_VALUE"""),1)</f>
        <v>1</v>
      </c>
      <c r="Q72" s="37">
        <f ca="1">IFERROR(__xludf.DUMMYFUNCTION("""COMPUTED_VALUE"""),1)</f>
        <v>1</v>
      </c>
      <c r="R72" s="37"/>
      <c r="S72" s="37"/>
      <c r="T72" s="37"/>
      <c r="U72" s="37"/>
      <c r="V72" s="37"/>
    </row>
    <row r="73" spans="1:22" x14ac:dyDescent="0.35">
      <c r="A73" s="37" t="str">
        <f ca="1">IFERROR(__xludf.DUMMYFUNCTION("""COMPUTED_VALUE"""),"5767")</f>
        <v>5767</v>
      </c>
      <c r="B73" s="37" t="str">
        <f ca="1">IFERROR(__xludf.DUMMYFUNCTION("""COMPUTED_VALUE"""),"Intraclastic packstone")</f>
        <v>Intraclastic packstone</v>
      </c>
      <c r="C73" s="37">
        <f ca="1">IFERROR(__xludf.DUMMYFUNCTION("""COMPUTED_VALUE"""),9)</f>
        <v>9</v>
      </c>
      <c r="D73" s="37">
        <f ca="1">IFERROR(__xludf.DUMMYFUNCTION("""COMPUTED_VALUE"""),34)</f>
        <v>34</v>
      </c>
      <c r="E73" s="37">
        <f ca="1">IFERROR(__xludf.DUMMYFUNCTION("""COMPUTED_VALUE"""),30)</f>
        <v>30</v>
      </c>
      <c r="F73" s="37">
        <f ca="1">IFERROR(__xludf.DUMMYFUNCTION("""COMPUTED_VALUE"""),20)</f>
        <v>20</v>
      </c>
      <c r="G73" s="37">
        <f ca="1">IFERROR(__xludf.DUMMYFUNCTION("""COMPUTED_VALUE"""),1)</f>
        <v>1</v>
      </c>
      <c r="H73" s="37">
        <f ca="1">IFERROR(__xludf.DUMMYFUNCTION("""COMPUTED_VALUE"""),0)</f>
        <v>0</v>
      </c>
      <c r="I73" s="37">
        <f ca="1">IFERROR(__xludf.DUMMYFUNCTION("""COMPUTED_VALUE"""),1)</f>
        <v>1</v>
      </c>
      <c r="J73" s="37">
        <f ca="1">IFERROR(__xludf.DUMMYFUNCTION("""COMPUTED_VALUE"""),4)</f>
        <v>4</v>
      </c>
      <c r="K73" s="37">
        <f ca="1">IFERROR(__xludf.DUMMYFUNCTION("""COMPUTED_VALUE"""),11)</f>
        <v>11</v>
      </c>
      <c r="L73" s="37">
        <f ca="1">IFERROR(__xludf.DUMMYFUNCTION("""COMPUTED_VALUE"""),0)</f>
        <v>0</v>
      </c>
      <c r="M73" s="37">
        <f ca="1">IFERROR(__xludf.DUMMYFUNCTION("""COMPUTED_VALUE"""),0)</f>
        <v>0</v>
      </c>
      <c r="N73" s="39">
        <f ca="1">IFERROR(__xludf.DUMMYFUNCTION("""COMPUTED_VALUE"""),18.8)</f>
        <v>18.8</v>
      </c>
      <c r="O73" s="40">
        <f ca="1">IFERROR(__xludf.DUMMYFUNCTION("""COMPUTED_VALUE"""),3.07)</f>
        <v>3.07</v>
      </c>
      <c r="P73" s="37">
        <f ca="1">IFERROR(__xludf.DUMMYFUNCTION("""COMPUTED_VALUE"""),1)</f>
        <v>1</v>
      </c>
      <c r="Q73" s="37">
        <f ca="1">IFERROR(__xludf.DUMMYFUNCTION("""COMPUTED_VALUE"""),1)</f>
        <v>1</v>
      </c>
      <c r="R73" s="37"/>
      <c r="S73" s="37"/>
      <c r="T73" s="37"/>
      <c r="U73" s="37"/>
      <c r="V73" s="37"/>
    </row>
    <row r="74" spans="1:22" x14ac:dyDescent="0.35">
      <c r="A74" s="37" t="str">
        <f ca="1">IFERROR(__xludf.DUMMYFUNCTION("""COMPUTED_VALUE"""),"5780")</f>
        <v>5780</v>
      </c>
      <c r="B74" s="37" t="str">
        <f ca="1">IFERROR(__xludf.DUMMYFUNCTION("""COMPUTED_VALUE"""),"Intraclastic packstone")</f>
        <v>Intraclastic packstone</v>
      </c>
      <c r="C74" s="37">
        <f ca="1">IFERROR(__xludf.DUMMYFUNCTION("""COMPUTED_VALUE"""),9)</f>
        <v>9</v>
      </c>
      <c r="D74" s="37">
        <f ca="1">IFERROR(__xludf.DUMMYFUNCTION("""COMPUTED_VALUE"""),48)</f>
        <v>48</v>
      </c>
      <c r="E74" s="37">
        <f ca="1">IFERROR(__xludf.DUMMYFUNCTION("""COMPUTED_VALUE"""),20)</f>
        <v>20</v>
      </c>
      <c r="F74" s="37">
        <f ca="1">IFERROR(__xludf.DUMMYFUNCTION("""COMPUTED_VALUE"""),16)</f>
        <v>16</v>
      </c>
      <c r="G74" s="37">
        <f ca="1">IFERROR(__xludf.DUMMYFUNCTION("""COMPUTED_VALUE"""),2)</f>
        <v>2</v>
      </c>
      <c r="H74" s="37">
        <f ca="1">IFERROR(__xludf.DUMMYFUNCTION("""COMPUTED_VALUE"""),0)</f>
        <v>0</v>
      </c>
      <c r="I74" s="37">
        <f ca="1">IFERROR(__xludf.DUMMYFUNCTION("""COMPUTED_VALUE"""),1)</f>
        <v>1</v>
      </c>
      <c r="J74" s="37">
        <f ca="1">IFERROR(__xludf.DUMMYFUNCTION("""COMPUTED_VALUE"""),6)</f>
        <v>6</v>
      </c>
      <c r="K74" s="37">
        <f ca="1">IFERROR(__xludf.DUMMYFUNCTION("""COMPUTED_VALUE"""),8)</f>
        <v>8</v>
      </c>
      <c r="L74" s="37">
        <f ca="1">IFERROR(__xludf.DUMMYFUNCTION("""COMPUTED_VALUE"""),0)</f>
        <v>0</v>
      </c>
      <c r="M74" s="37">
        <f ca="1">IFERROR(__xludf.DUMMYFUNCTION("""COMPUTED_VALUE"""),0)</f>
        <v>0</v>
      </c>
      <c r="N74" s="39">
        <f ca="1">IFERROR(__xludf.DUMMYFUNCTION("""COMPUTED_VALUE"""),15)</f>
        <v>15</v>
      </c>
      <c r="O74" s="40">
        <f ca="1">IFERROR(__xludf.DUMMYFUNCTION("""COMPUTED_VALUE"""),0.824)</f>
        <v>0.82399999999999995</v>
      </c>
      <c r="P74" s="37">
        <f ca="1">IFERROR(__xludf.DUMMYFUNCTION("""COMPUTED_VALUE"""),1)</f>
        <v>1</v>
      </c>
      <c r="Q74" s="37">
        <f ca="1">IFERROR(__xludf.DUMMYFUNCTION("""COMPUTED_VALUE"""),1)</f>
        <v>1</v>
      </c>
      <c r="R74" s="37"/>
      <c r="S74" s="37"/>
      <c r="T74" s="37"/>
      <c r="U74" s="37"/>
      <c r="V74" s="37"/>
    </row>
    <row r="75" spans="1:22" x14ac:dyDescent="0.35">
      <c r="A75" s="37" t="str">
        <f ca="1">IFERROR(__xludf.DUMMYFUNCTION("""COMPUTED_VALUE"""),"5785")</f>
        <v>5785</v>
      </c>
      <c r="B75" s="37" t="str">
        <f ca="1">IFERROR(__xludf.DUMMYFUNCTION("""COMPUTED_VALUE"""),"Intraclastic packstone")</f>
        <v>Intraclastic packstone</v>
      </c>
      <c r="C75" s="37">
        <f ca="1">IFERROR(__xludf.DUMMYFUNCTION("""COMPUTED_VALUE"""),9)</f>
        <v>9</v>
      </c>
      <c r="D75" s="37">
        <f ca="1">IFERROR(__xludf.DUMMYFUNCTION("""COMPUTED_VALUE"""),46)</f>
        <v>46</v>
      </c>
      <c r="E75" s="37">
        <f ca="1">IFERROR(__xludf.DUMMYFUNCTION("""COMPUTED_VALUE"""),22)</f>
        <v>22</v>
      </c>
      <c r="F75" s="37">
        <f ca="1">IFERROR(__xludf.DUMMYFUNCTION("""COMPUTED_VALUE"""),18)</f>
        <v>18</v>
      </c>
      <c r="G75" s="37">
        <f ca="1">IFERROR(__xludf.DUMMYFUNCTION("""COMPUTED_VALUE"""),3)</f>
        <v>3</v>
      </c>
      <c r="H75" s="37">
        <f ca="1">IFERROR(__xludf.DUMMYFUNCTION("""COMPUTED_VALUE"""),0)</f>
        <v>0</v>
      </c>
      <c r="I75" s="37">
        <f ca="1">IFERROR(__xludf.DUMMYFUNCTION("""COMPUTED_VALUE"""),1)</f>
        <v>1</v>
      </c>
      <c r="J75" s="37">
        <f ca="1">IFERROR(__xludf.DUMMYFUNCTION("""COMPUTED_VALUE"""),4)</f>
        <v>4</v>
      </c>
      <c r="K75" s="37">
        <f ca="1">IFERROR(__xludf.DUMMYFUNCTION("""COMPUTED_VALUE"""),7)</f>
        <v>7</v>
      </c>
      <c r="L75" s="37">
        <f ca="1">IFERROR(__xludf.DUMMYFUNCTION("""COMPUTED_VALUE"""),0)</f>
        <v>0</v>
      </c>
      <c r="M75" s="37">
        <f ca="1">IFERROR(__xludf.DUMMYFUNCTION("""COMPUTED_VALUE"""),0)</f>
        <v>0</v>
      </c>
      <c r="N75" s="39">
        <f ca="1">IFERROR(__xludf.DUMMYFUNCTION("""COMPUTED_VALUE"""),10.3)</f>
        <v>10.3</v>
      </c>
      <c r="O75" s="40">
        <f ca="1">IFERROR(__xludf.DUMMYFUNCTION("""COMPUTED_VALUE"""),0.206)</f>
        <v>0.20599999999999999</v>
      </c>
      <c r="P75" s="37">
        <f ca="1">IFERROR(__xludf.DUMMYFUNCTION("""COMPUTED_VALUE"""),1)</f>
        <v>1</v>
      </c>
      <c r="Q75" s="37">
        <f ca="1">IFERROR(__xludf.DUMMYFUNCTION("""COMPUTED_VALUE"""),1)</f>
        <v>1</v>
      </c>
      <c r="R75" s="37"/>
      <c r="S75" s="37"/>
      <c r="T75" s="37"/>
      <c r="U75" s="37"/>
      <c r="V75" s="37"/>
    </row>
    <row r="76" spans="1:22" x14ac:dyDescent="0.35">
      <c r="A76" s="37" t="str">
        <f ca="1">IFERROR(__xludf.DUMMYFUNCTION("""COMPUTED_VALUE"""),"5790")</f>
        <v>5790</v>
      </c>
      <c r="B76" s="37" t="str">
        <f ca="1">IFERROR(__xludf.DUMMYFUNCTION("""COMPUTED_VALUE"""),"Mudstone")</f>
        <v>Mudstone</v>
      </c>
      <c r="C76" s="37">
        <f ca="1">IFERROR(__xludf.DUMMYFUNCTION("""COMPUTED_VALUE"""),3)</f>
        <v>3</v>
      </c>
      <c r="D76" s="37">
        <f ca="1">IFERROR(__xludf.DUMMYFUNCTION("""COMPUTED_VALUE"""),3)</f>
        <v>3</v>
      </c>
      <c r="E76" s="37">
        <f ca="1">IFERROR(__xludf.DUMMYFUNCTION("""COMPUTED_VALUE"""),49)</f>
        <v>49</v>
      </c>
      <c r="F76" s="37">
        <f ca="1">IFERROR(__xludf.DUMMYFUNCTION("""COMPUTED_VALUE"""),38)</f>
        <v>38</v>
      </c>
      <c r="G76" s="37">
        <f ca="1">IFERROR(__xludf.DUMMYFUNCTION("""COMPUTED_VALUE"""),0)</f>
        <v>0</v>
      </c>
      <c r="H76" s="37">
        <f ca="1">IFERROR(__xludf.DUMMYFUNCTION("""COMPUTED_VALUE"""),0)</f>
        <v>0</v>
      </c>
      <c r="I76" s="37">
        <f ca="1">IFERROR(__xludf.DUMMYFUNCTION("""COMPUTED_VALUE"""),1)</f>
        <v>1</v>
      </c>
      <c r="J76" s="37">
        <f ca="1">IFERROR(__xludf.DUMMYFUNCTION("""COMPUTED_VALUE"""),3)</f>
        <v>3</v>
      </c>
      <c r="K76" s="37">
        <f ca="1">IFERROR(__xludf.DUMMYFUNCTION("""COMPUTED_VALUE"""),7)</f>
        <v>7</v>
      </c>
      <c r="L76" s="37">
        <f ca="1">IFERROR(__xludf.DUMMYFUNCTION("""COMPUTED_VALUE"""),0)</f>
        <v>0</v>
      </c>
      <c r="M76" s="37">
        <f ca="1">IFERROR(__xludf.DUMMYFUNCTION("""COMPUTED_VALUE"""),0)</f>
        <v>0</v>
      </c>
      <c r="N76" s="39">
        <f ca="1">IFERROR(__xludf.DUMMYFUNCTION("""COMPUTED_VALUE"""),12.8)</f>
        <v>12.8</v>
      </c>
      <c r="O76" s="40">
        <f ca="1">IFERROR(__xludf.DUMMYFUNCTION("""COMPUTED_VALUE"""),0.459)</f>
        <v>0.45900000000000002</v>
      </c>
      <c r="P76" s="37">
        <f ca="1">IFERROR(__xludf.DUMMYFUNCTION("""COMPUTED_VALUE"""),1)</f>
        <v>1</v>
      </c>
      <c r="Q76" s="37">
        <f ca="1">IFERROR(__xludf.DUMMYFUNCTION("""COMPUTED_VALUE"""),1)</f>
        <v>1</v>
      </c>
      <c r="R76" s="37"/>
      <c r="S76" s="37"/>
      <c r="T76" s="37"/>
      <c r="U76" s="37"/>
      <c r="V76" s="37"/>
    </row>
    <row r="77" spans="1:22" x14ac:dyDescent="0.35">
      <c r="A77" s="37" t="str">
        <f ca="1">IFERROR(__xludf.DUMMYFUNCTION("""COMPUTED_VALUE"""),"5800")</f>
        <v>5800</v>
      </c>
      <c r="B77" s="37" t="str">
        <f ca="1">IFERROR(__xludf.DUMMYFUNCTION("""COMPUTED_VALUE"""),"Intraclastic packstone")</f>
        <v>Intraclastic packstone</v>
      </c>
      <c r="C77" s="37">
        <f ca="1">IFERROR(__xludf.DUMMYFUNCTION("""COMPUTED_VALUE"""),9)</f>
        <v>9</v>
      </c>
      <c r="D77" s="37">
        <f ca="1">IFERROR(__xludf.DUMMYFUNCTION("""COMPUTED_VALUE"""),41)</f>
        <v>41</v>
      </c>
      <c r="E77" s="37">
        <f ca="1">IFERROR(__xludf.DUMMYFUNCTION("""COMPUTED_VALUE"""),28)</f>
        <v>28</v>
      </c>
      <c r="F77" s="37">
        <f ca="1">IFERROR(__xludf.DUMMYFUNCTION("""COMPUTED_VALUE"""),19)</f>
        <v>19</v>
      </c>
      <c r="G77" s="37">
        <f ca="1">IFERROR(__xludf.DUMMYFUNCTION("""COMPUTED_VALUE"""),2)</f>
        <v>2</v>
      </c>
      <c r="H77" s="37">
        <f ca="1">IFERROR(__xludf.DUMMYFUNCTION("""COMPUTED_VALUE"""),0)</f>
        <v>0</v>
      </c>
      <c r="I77" s="37">
        <f ca="1">IFERROR(__xludf.DUMMYFUNCTION("""COMPUTED_VALUE"""),1)</f>
        <v>1</v>
      </c>
      <c r="J77" s="37">
        <f ca="1">IFERROR(__xludf.DUMMYFUNCTION("""COMPUTED_VALUE"""),4)</f>
        <v>4</v>
      </c>
      <c r="K77" s="37">
        <f ca="1">IFERROR(__xludf.DUMMYFUNCTION("""COMPUTED_VALUE"""),6)</f>
        <v>6</v>
      </c>
      <c r="L77" s="37">
        <f ca="1">IFERROR(__xludf.DUMMYFUNCTION("""COMPUTED_VALUE"""),0)</f>
        <v>0</v>
      </c>
      <c r="M77" s="37">
        <f ca="1">IFERROR(__xludf.DUMMYFUNCTION("""COMPUTED_VALUE"""),0)</f>
        <v>0</v>
      </c>
      <c r="N77" s="39">
        <f ca="1">IFERROR(__xludf.DUMMYFUNCTION("""COMPUTED_VALUE"""),11.3)</f>
        <v>11.3</v>
      </c>
      <c r="O77" s="40">
        <f ca="1">IFERROR(__xludf.DUMMYFUNCTION("""COMPUTED_VALUE"""),0.231)</f>
        <v>0.23100000000000001</v>
      </c>
      <c r="P77" s="37">
        <f ca="1">IFERROR(__xludf.DUMMYFUNCTION("""COMPUTED_VALUE"""),2)</f>
        <v>2</v>
      </c>
      <c r="Q77" s="37">
        <f ca="1">IFERROR(__xludf.DUMMYFUNCTION("""COMPUTED_VALUE"""),1)</f>
        <v>1</v>
      </c>
      <c r="R77" s="37"/>
      <c r="S77" s="37"/>
      <c r="T77" s="37"/>
      <c r="U77" s="37"/>
      <c r="V77" s="37"/>
    </row>
    <row r="78" spans="1:22" x14ac:dyDescent="0.35">
      <c r="A78" s="37" t="str">
        <f ca="1">IFERROR(__xludf.DUMMYFUNCTION("""COMPUTED_VALUE"""),"5810")</f>
        <v>5810</v>
      </c>
      <c r="B78" s="37" t="str">
        <f ca="1">IFERROR(__xludf.DUMMYFUNCTION("""COMPUTED_VALUE"""),"Mudstone")</f>
        <v>Mudstone</v>
      </c>
      <c r="C78" s="37">
        <f ca="1">IFERROR(__xludf.DUMMYFUNCTION("""COMPUTED_VALUE"""),3)</f>
        <v>3</v>
      </c>
      <c r="D78" s="37">
        <f ca="1">IFERROR(__xludf.DUMMYFUNCTION("""COMPUTED_VALUE"""),0)</f>
        <v>0</v>
      </c>
      <c r="E78" s="37">
        <f ca="1">IFERROR(__xludf.DUMMYFUNCTION("""COMPUTED_VALUE"""),10)</f>
        <v>10</v>
      </c>
      <c r="F78" s="37">
        <f ca="1">IFERROR(__xludf.DUMMYFUNCTION("""COMPUTED_VALUE"""),89)</f>
        <v>89</v>
      </c>
      <c r="G78" s="37">
        <f ca="1">IFERROR(__xludf.DUMMYFUNCTION("""COMPUTED_VALUE"""),1)</f>
        <v>1</v>
      </c>
      <c r="H78" s="37">
        <f ca="1">IFERROR(__xludf.DUMMYFUNCTION("""COMPUTED_VALUE"""),0)</f>
        <v>0</v>
      </c>
      <c r="I78" s="37">
        <f ca="1">IFERROR(__xludf.DUMMYFUNCTION("""COMPUTED_VALUE"""),1)</f>
        <v>1</v>
      </c>
      <c r="J78" s="37">
        <f ca="1">IFERROR(__xludf.DUMMYFUNCTION("""COMPUTED_VALUE"""),0)</f>
        <v>0</v>
      </c>
      <c r="K78" s="37">
        <f ca="1">IFERROR(__xludf.DUMMYFUNCTION("""COMPUTED_VALUE"""),0)</f>
        <v>0</v>
      </c>
      <c r="L78" s="37">
        <f ca="1">IFERROR(__xludf.DUMMYFUNCTION("""COMPUTED_VALUE"""),0)</f>
        <v>0</v>
      </c>
      <c r="M78" s="37">
        <f ca="1">IFERROR(__xludf.DUMMYFUNCTION("""COMPUTED_VALUE"""),0)</f>
        <v>0</v>
      </c>
      <c r="N78" s="39">
        <f ca="1">IFERROR(__xludf.DUMMYFUNCTION("""COMPUTED_VALUE"""),5.3)</f>
        <v>5.3</v>
      </c>
      <c r="O78" s="40">
        <f ca="1">IFERROR(__xludf.DUMMYFUNCTION("""COMPUTED_VALUE"""),0)</f>
        <v>0</v>
      </c>
      <c r="P78" s="37">
        <f ca="1">IFERROR(__xludf.DUMMYFUNCTION("""COMPUTED_VALUE"""),1)</f>
        <v>1</v>
      </c>
      <c r="Q78" s="37">
        <f ca="1">IFERROR(__xludf.DUMMYFUNCTION("""COMPUTED_VALUE"""),1)</f>
        <v>1</v>
      </c>
      <c r="R78" s="37"/>
      <c r="S78" s="37"/>
      <c r="T78" s="37"/>
      <c r="U78" s="37"/>
      <c r="V78" s="37"/>
    </row>
    <row r="79" spans="1:22" x14ac:dyDescent="0.35">
      <c r="A79" s="37" t="str">
        <f ca="1">IFERROR(__xludf.DUMMYFUNCTION("""COMPUTED_VALUE"""),"5820")</f>
        <v>5820</v>
      </c>
      <c r="B79" s="37" t="str">
        <f ca="1">IFERROR(__xludf.DUMMYFUNCTION("""COMPUTED_VALUE"""),"Mudstone")</f>
        <v>Mudstone</v>
      </c>
      <c r="C79" s="37">
        <f ca="1">IFERROR(__xludf.DUMMYFUNCTION("""COMPUTED_VALUE"""),3)</f>
        <v>3</v>
      </c>
      <c r="D79" s="37">
        <f ca="1">IFERROR(__xludf.DUMMYFUNCTION("""COMPUTED_VALUE"""),0)</f>
        <v>0</v>
      </c>
      <c r="E79" s="37">
        <f ca="1">IFERROR(__xludf.DUMMYFUNCTION("""COMPUTED_VALUE"""),0)</f>
        <v>0</v>
      </c>
      <c r="F79" s="37">
        <f ca="1">IFERROR(__xludf.DUMMYFUNCTION("""COMPUTED_VALUE"""),97)</f>
        <v>97</v>
      </c>
      <c r="G79" s="37">
        <f ca="1">IFERROR(__xludf.DUMMYFUNCTION("""COMPUTED_VALUE"""),3)</f>
        <v>3</v>
      </c>
      <c r="H79" s="37">
        <f ca="1">IFERROR(__xludf.DUMMYFUNCTION("""COMPUTED_VALUE"""),0)</f>
        <v>0</v>
      </c>
      <c r="I79" s="37">
        <f ca="1">IFERROR(__xludf.DUMMYFUNCTION("""COMPUTED_VALUE"""),1)</f>
        <v>1</v>
      </c>
      <c r="J79" s="37">
        <f ca="1">IFERROR(__xludf.DUMMYFUNCTION("""COMPUTED_VALUE"""),0)</f>
        <v>0</v>
      </c>
      <c r="K79" s="37">
        <f ca="1">IFERROR(__xludf.DUMMYFUNCTION("""COMPUTED_VALUE"""),0)</f>
        <v>0</v>
      </c>
      <c r="L79" s="37">
        <f ca="1">IFERROR(__xludf.DUMMYFUNCTION("""COMPUTED_VALUE"""),0)</f>
        <v>0</v>
      </c>
      <c r="M79" s="37">
        <f ca="1">IFERROR(__xludf.DUMMYFUNCTION("""COMPUTED_VALUE"""),0)</f>
        <v>0</v>
      </c>
      <c r="N79" s="39">
        <f ca="1">IFERROR(__xludf.DUMMYFUNCTION("""COMPUTED_VALUE"""),3)</f>
        <v>3</v>
      </c>
      <c r="O79" s="40">
        <f ca="1">IFERROR(__xludf.DUMMYFUNCTION("""COMPUTED_VALUE"""),0.001)</f>
        <v>1E-3</v>
      </c>
      <c r="P79" s="37">
        <f ca="1">IFERROR(__xludf.DUMMYFUNCTION("""COMPUTED_VALUE"""),1)</f>
        <v>1</v>
      </c>
      <c r="Q79" s="37">
        <f ca="1">IFERROR(__xludf.DUMMYFUNCTION("""COMPUTED_VALUE"""),1)</f>
        <v>1</v>
      </c>
      <c r="R79" s="37"/>
      <c r="S79" s="37"/>
      <c r="T79" s="37"/>
      <c r="U79" s="37"/>
      <c r="V79" s="37"/>
    </row>
    <row r="80" spans="1:22" x14ac:dyDescent="0.35">
      <c r="A80" s="37" t="str">
        <f ca="1">IFERROR(__xludf.DUMMYFUNCTION("""COMPUTED_VALUE"""),"5990")</f>
        <v>5990</v>
      </c>
      <c r="B80" s="37" t="str">
        <f ca="1">IFERROR(__xludf.DUMMYFUNCTION("""COMPUTED_VALUE"""),"Mudstone")</f>
        <v>Mudstone</v>
      </c>
      <c r="C80" s="37">
        <f ca="1">IFERROR(__xludf.DUMMYFUNCTION("""COMPUTED_VALUE"""),3)</f>
        <v>3</v>
      </c>
      <c r="D80" s="37">
        <f ca="1">IFERROR(__xludf.DUMMYFUNCTION("""COMPUTED_VALUE"""),0)</f>
        <v>0</v>
      </c>
      <c r="E80" s="37">
        <f ca="1">IFERROR(__xludf.DUMMYFUNCTION("""COMPUTED_VALUE"""),60)</f>
        <v>60</v>
      </c>
      <c r="F80" s="37">
        <f ca="1">IFERROR(__xludf.DUMMYFUNCTION("""COMPUTED_VALUE"""),38)</f>
        <v>38</v>
      </c>
      <c r="G80" s="37">
        <f ca="1">IFERROR(__xludf.DUMMYFUNCTION("""COMPUTED_VALUE"""),2)</f>
        <v>2</v>
      </c>
      <c r="H80" s="37">
        <f ca="1">IFERROR(__xludf.DUMMYFUNCTION("""COMPUTED_VALUE"""),0)</f>
        <v>0</v>
      </c>
      <c r="I80" s="37">
        <f ca="1">IFERROR(__xludf.DUMMYFUNCTION("""COMPUTED_VALUE"""),1)</f>
        <v>1</v>
      </c>
      <c r="J80" s="37">
        <f ca="1">IFERROR(__xludf.DUMMYFUNCTION("""COMPUTED_VALUE"""),0)</f>
        <v>0</v>
      </c>
      <c r="K80" s="37">
        <f ca="1">IFERROR(__xludf.DUMMYFUNCTION("""COMPUTED_VALUE"""),0)</f>
        <v>0</v>
      </c>
      <c r="L80" s="37">
        <f ca="1">IFERROR(__xludf.DUMMYFUNCTION("""COMPUTED_VALUE"""),0)</f>
        <v>0</v>
      </c>
      <c r="M80" s="37">
        <f ca="1">IFERROR(__xludf.DUMMYFUNCTION("""COMPUTED_VALUE"""),0)</f>
        <v>0</v>
      </c>
      <c r="N80" s="39">
        <f ca="1">IFERROR(__xludf.DUMMYFUNCTION("""COMPUTED_VALUE"""),5.5)</f>
        <v>5.5</v>
      </c>
      <c r="O80" s="40">
        <f ca="1">IFERROR(__xludf.DUMMYFUNCTION("""COMPUTED_VALUE"""),0)</f>
        <v>0</v>
      </c>
      <c r="P80" s="37">
        <f ca="1">IFERROR(__xludf.DUMMYFUNCTION("""COMPUTED_VALUE"""),1)</f>
        <v>1</v>
      </c>
      <c r="Q80" s="37">
        <f ca="1">IFERROR(__xludf.DUMMYFUNCTION("""COMPUTED_VALUE"""),1)</f>
        <v>1</v>
      </c>
      <c r="R80" s="37"/>
      <c r="S80" s="37"/>
      <c r="T80" s="37"/>
      <c r="U80" s="37"/>
      <c r="V80" s="37"/>
    </row>
    <row r="81" spans="1:22" x14ac:dyDescent="0.35">
      <c r="A81" s="37" t="str">
        <f ca="1">IFERROR(__xludf.DUMMYFUNCTION("""COMPUTED_VALUE"""),"5995")</f>
        <v>5995</v>
      </c>
      <c r="B81" s="37" t="str">
        <f ca="1">IFERROR(__xludf.DUMMYFUNCTION("""COMPUTED_VALUE"""),"Intraclastic packstone")</f>
        <v>Intraclastic packstone</v>
      </c>
      <c r="C81" s="37">
        <f ca="1">IFERROR(__xludf.DUMMYFUNCTION("""COMPUTED_VALUE"""),9)</f>
        <v>9</v>
      </c>
      <c r="D81" s="37">
        <f ca="1">IFERROR(__xludf.DUMMYFUNCTION("""COMPUTED_VALUE"""),38)</f>
        <v>38</v>
      </c>
      <c r="E81" s="37">
        <f ca="1">IFERROR(__xludf.DUMMYFUNCTION("""COMPUTED_VALUE"""),26)</f>
        <v>26</v>
      </c>
      <c r="F81" s="37">
        <f ca="1">IFERROR(__xludf.DUMMYFUNCTION("""COMPUTED_VALUE"""),10)</f>
        <v>10</v>
      </c>
      <c r="G81" s="37">
        <f ca="1">IFERROR(__xludf.DUMMYFUNCTION("""COMPUTED_VALUE"""),6)</f>
        <v>6</v>
      </c>
      <c r="H81" s="37">
        <f ca="1">IFERROR(__xludf.DUMMYFUNCTION("""COMPUTED_VALUE"""),0)</f>
        <v>0</v>
      </c>
      <c r="I81" s="37">
        <f ca="1">IFERROR(__xludf.DUMMYFUNCTION("""COMPUTED_VALUE"""),1)</f>
        <v>1</v>
      </c>
      <c r="J81" s="37">
        <f ca="1">IFERROR(__xludf.DUMMYFUNCTION("""COMPUTED_VALUE"""),5)</f>
        <v>5</v>
      </c>
      <c r="K81" s="37">
        <f ca="1">IFERROR(__xludf.DUMMYFUNCTION("""COMPUTED_VALUE"""),15)</f>
        <v>15</v>
      </c>
      <c r="L81" s="37">
        <f ca="1">IFERROR(__xludf.DUMMYFUNCTION("""COMPUTED_VALUE"""),0)</f>
        <v>0</v>
      </c>
      <c r="M81" s="37">
        <f ca="1">IFERROR(__xludf.DUMMYFUNCTION("""COMPUTED_VALUE"""),0)</f>
        <v>0</v>
      </c>
      <c r="N81" s="39">
        <f ca="1">IFERROR(__xludf.DUMMYFUNCTION("""COMPUTED_VALUE"""),21.8)</f>
        <v>21.8</v>
      </c>
      <c r="O81" s="40">
        <f ca="1">IFERROR(__xludf.DUMMYFUNCTION("""COMPUTED_VALUE"""),59.5)</f>
        <v>59.5</v>
      </c>
      <c r="P81" s="37">
        <f ca="1">IFERROR(__xludf.DUMMYFUNCTION("""COMPUTED_VALUE"""),1)</f>
        <v>1</v>
      </c>
      <c r="Q81" s="37">
        <f ca="1">IFERROR(__xludf.DUMMYFUNCTION("""COMPUTED_VALUE"""),2)</f>
        <v>2</v>
      </c>
      <c r="R81" s="37"/>
      <c r="S81" s="37"/>
      <c r="T81" s="37"/>
      <c r="U81" s="37"/>
      <c r="V81" s="37"/>
    </row>
    <row r="82" spans="1:22" x14ac:dyDescent="0.35">
      <c r="A82" s="37" t="str">
        <f ca="1">IFERROR(__xludf.DUMMYFUNCTION("""COMPUTED_VALUE"""),"5998")</f>
        <v>5998</v>
      </c>
      <c r="B82" s="37" t="str">
        <f ca="1">IFERROR(__xludf.DUMMYFUNCTION("""COMPUTED_VALUE"""),"Mudstone")</f>
        <v>Mudstone</v>
      </c>
      <c r="C82" s="37">
        <f ca="1">IFERROR(__xludf.DUMMYFUNCTION("""COMPUTED_VALUE"""),3)</f>
        <v>3</v>
      </c>
      <c r="D82" s="37">
        <f ca="1">IFERROR(__xludf.DUMMYFUNCTION("""COMPUTED_VALUE"""),0)</f>
        <v>0</v>
      </c>
      <c r="E82" s="37">
        <f ca="1">IFERROR(__xludf.DUMMYFUNCTION("""COMPUTED_VALUE"""),80)</f>
        <v>80</v>
      </c>
      <c r="F82" s="37">
        <f ca="1">IFERROR(__xludf.DUMMYFUNCTION("""COMPUTED_VALUE"""),1)</f>
        <v>1</v>
      </c>
      <c r="G82" s="37">
        <f ca="1">IFERROR(__xludf.DUMMYFUNCTION("""COMPUTED_VALUE"""),1)</f>
        <v>1</v>
      </c>
      <c r="H82" s="37">
        <f ca="1">IFERROR(__xludf.DUMMYFUNCTION("""COMPUTED_VALUE"""),0)</f>
        <v>0</v>
      </c>
      <c r="I82" s="37">
        <f ca="1">IFERROR(__xludf.DUMMYFUNCTION("""COMPUTED_VALUE"""),1)</f>
        <v>1</v>
      </c>
      <c r="J82" s="37">
        <f ca="1">IFERROR(__xludf.DUMMYFUNCTION("""COMPUTED_VALUE"""),2)</f>
        <v>2</v>
      </c>
      <c r="K82" s="37">
        <f ca="1">IFERROR(__xludf.DUMMYFUNCTION("""COMPUTED_VALUE"""),16)</f>
        <v>16</v>
      </c>
      <c r="L82" s="37">
        <f ca="1">IFERROR(__xludf.DUMMYFUNCTION("""COMPUTED_VALUE"""),0)</f>
        <v>0</v>
      </c>
      <c r="M82" s="37">
        <f ca="1">IFERROR(__xludf.DUMMYFUNCTION("""COMPUTED_VALUE"""),0)</f>
        <v>0</v>
      </c>
      <c r="N82" s="39">
        <f ca="1">IFERROR(__xludf.DUMMYFUNCTION("""COMPUTED_VALUE"""),20.7)</f>
        <v>20.7</v>
      </c>
      <c r="O82" s="40">
        <f ca="1">IFERROR(__xludf.DUMMYFUNCTION("""COMPUTED_VALUE"""),20.7)</f>
        <v>20.7</v>
      </c>
      <c r="P82" s="37">
        <f ca="1">IFERROR(__xludf.DUMMYFUNCTION("""COMPUTED_VALUE"""),1)</f>
        <v>1</v>
      </c>
      <c r="Q82" s="37">
        <f ca="1">IFERROR(__xludf.DUMMYFUNCTION("""COMPUTED_VALUE"""),1)</f>
        <v>1</v>
      </c>
      <c r="R82" s="37"/>
      <c r="S82" s="37"/>
      <c r="T82" s="37"/>
      <c r="U82" s="37"/>
      <c r="V82" s="37"/>
    </row>
    <row r="83" spans="1:22" x14ac:dyDescent="0.35">
      <c r="A83" s="37" t="str">
        <f ca="1">IFERROR(__xludf.DUMMYFUNCTION("""COMPUTED_VALUE"""),"6000")</f>
        <v>6000</v>
      </c>
      <c r="B83" s="37" t="str">
        <f ca="1">IFERROR(__xludf.DUMMYFUNCTION("""COMPUTED_VALUE"""),"Mudstone")</f>
        <v>Mudstone</v>
      </c>
      <c r="C83" s="37">
        <f ca="1">IFERROR(__xludf.DUMMYFUNCTION("""COMPUTED_VALUE"""),3)</f>
        <v>3</v>
      </c>
      <c r="D83" s="37">
        <f ca="1">IFERROR(__xludf.DUMMYFUNCTION("""COMPUTED_VALUE"""),0)</f>
        <v>0</v>
      </c>
      <c r="E83" s="37">
        <f ca="1">IFERROR(__xludf.DUMMYFUNCTION("""COMPUTED_VALUE"""),75)</f>
        <v>75</v>
      </c>
      <c r="F83" s="37">
        <f ca="1">IFERROR(__xludf.DUMMYFUNCTION("""COMPUTED_VALUE"""),2)</f>
        <v>2</v>
      </c>
      <c r="G83" s="37">
        <f ca="1">IFERROR(__xludf.DUMMYFUNCTION("""COMPUTED_VALUE"""),1)</f>
        <v>1</v>
      </c>
      <c r="H83" s="37">
        <f ca="1">IFERROR(__xludf.DUMMYFUNCTION("""COMPUTED_VALUE"""),0)</f>
        <v>0</v>
      </c>
      <c r="I83" s="37">
        <f ca="1">IFERROR(__xludf.DUMMYFUNCTION("""COMPUTED_VALUE"""),1)</f>
        <v>1</v>
      </c>
      <c r="J83" s="37">
        <f ca="1">IFERROR(__xludf.DUMMYFUNCTION("""COMPUTED_VALUE"""),10)</f>
        <v>10</v>
      </c>
      <c r="K83" s="37">
        <f ca="1">IFERROR(__xludf.DUMMYFUNCTION("""COMPUTED_VALUE"""),12)</f>
        <v>12</v>
      </c>
      <c r="L83" s="37">
        <f ca="1">IFERROR(__xludf.DUMMYFUNCTION("""COMPUTED_VALUE"""),0)</f>
        <v>0</v>
      </c>
      <c r="M83" s="37">
        <f ca="1">IFERROR(__xludf.DUMMYFUNCTION("""COMPUTED_VALUE"""),0)</f>
        <v>0</v>
      </c>
      <c r="N83" s="39">
        <f ca="1">IFERROR(__xludf.DUMMYFUNCTION("""COMPUTED_VALUE"""),23.4)</f>
        <v>23.4</v>
      </c>
      <c r="O83" s="40">
        <f ca="1">IFERROR(__xludf.DUMMYFUNCTION("""COMPUTED_VALUE"""),13)</f>
        <v>13</v>
      </c>
      <c r="P83" s="37">
        <f ca="1">IFERROR(__xludf.DUMMYFUNCTION("""COMPUTED_VALUE"""),1)</f>
        <v>1</v>
      </c>
      <c r="Q83" s="37">
        <f ca="1">IFERROR(__xludf.DUMMYFUNCTION("""COMPUTED_VALUE"""),1)</f>
        <v>1</v>
      </c>
      <c r="R83" s="37"/>
      <c r="S83" s="37"/>
      <c r="T83" s="37"/>
      <c r="U83" s="37"/>
      <c r="V83" s="3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Completa</vt:lpstr>
      <vt:lpstr>P1</vt:lpstr>
      <vt:lpstr>P2</vt:lpstr>
      <vt:lpstr>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Fabiane Guasina de Oliveira</dc:creator>
  <cp:lastModifiedBy>Luciano Garim Garcia</cp:lastModifiedBy>
  <dcterms:created xsi:type="dcterms:W3CDTF">2022-10-05T13:32:32Z</dcterms:created>
  <dcterms:modified xsi:type="dcterms:W3CDTF">2024-02-29T19:08:49Z</dcterms:modified>
</cp:coreProperties>
</file>