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ía\Documents\MUBC\Prácticas y TFM\TFM-Github\Results\DBSCAN ParameterCombination\"/>
    </mc:Choice>
  </mc:AlternateContent>
  <xr:revisionPtr revIDLastSave="0" documentId="13_ncr:1_{7EAAC3B9-106A-4605-AB72-69EA9DEC99D0}" xr6:coauthVersionLast="43" xr6:coauthVersionMax="43" xr10:uidLastSave="{00000000-0000-0000-0000-000000000000}"/>
  <bookViews>
    <workbookView xWindow="-108" yWindow="-108" windowWidth="23256" windowHeight="13176" activeTab="2" xr2:uid="{0F6A11DB-3967-42B0-B826-416A31B86DA6}"/>
  </bookViews>
  <sheets>
    <sheet name="anatomical entity" sheetId="4" r:id="rId1"/>
    <sheet name="cellular proliferation" sheetId="5" r:id="rId2"/>
    <sheet name="genetic" sheetId="1" r:id="rId3"/>
    <sheet name="infectious" sheetId="2" r:id="rId4"/>
    <sheet name="bacterial" sheetId="7" r:id="rId5"/>
    <sheet name="metabolism" sheetId="6" r:id="rId6"/>
    <sheet name="rare" sheetId="3" r:id="rId7"/>
  </sheets>
  <definedNames>
    <definedName name="_Toc10242998" localSheetId="0">'anatomical entity'!$O$3</definedName>
    <definedName name="DatosExternos_1" localSheetId="0" hidden="1">'anatomical entity'!$A$3:$M$15</definedName>
    <definedName name="DatosExternos_1" localSheetId="4" hidden="1">bacterial!$A$3:$M$15</definedName>
    <definedName name="DatosExternos_1" localSheetId="1" hidden="1">'cellular proliferation'!$A$3:$M$15</definedName>
    <definedName name="DatosExternos_1" localSheetId="2" hidden="1">genetic!$A$3:$M$15</definedName>
    <definedName name="DatosExternos_1" localSheetId="3" hidden="1">infectious!$A$3:$M$15</definedName>
    <definedName name="DatosExternos_1" localSheetId="5" hidden="1">metabolism!$A$3:$M$15</definedName>
    <definedName name="DatosExternos_1" localSheetId="6" hidden="1">rare!$A$3:$M$15</definedName>
    <definedName name="DatosExternos_2" localSheetId="0" hidden="1">'anatomical entity'!$O$3:$AA$15</definedName>
    <definedName name="DatosExternos_2" localSheetId="4" hidden="1">bacterial!$O$3:$AA$15</definedName>
    <definedName name="DatosExternos_2" localSheetId="1" hidden="1">'cellular proliferation'!$O$3:$AA$15</definedName>
    <definedName name="DatosExternos_2" localSheetId="2" hidden="1">genetic!$O$3:$AA$15</definedName>
    <definedName name="DatosExternos_2" localSheetId="3" hidden="1">infectious!$O$3:$AA$15</definedName>
    <definedName name="DatosExternos_2" localSheetId="5" hidden="1">metabolism!$O$3:$AA$15</definedName>
    <definedName name="DatosExternos_2" localSheetId="6" hidden="1">rare!$O$3:$AA$15</definedName>
    <definedName name="DatosExternos_3" localSheetId="0" hidden="1">'anatomical entity'!$A$20:$M$32</definedName>
    <definedName name="DatosExternos_3" localSheetId="4" hidden="1">bacterial!$A$20:$M$32</definedName>
    <definedName name="DatosExternos_3" localSheetId="1" hidden="1">'cellular proliferation'!$A$20:$M$32</definedName>
    <definedName name="DatosExternos_3" localSheetId="2" hidden="1">genetic!$A$20:$M$32</definedName>
    <definedName name="DatosExternos_3" localSheetId="3" hidden="1">infectious!$A$20:$M$32</definedName>
    <definedName name="DatosExternos_3" localSheetId="5" hidden="1">metabolism!$A$20:$M$32</definedName>
    <definedName name="DatosExternos_3" localSheetId="6" hidden="1">rare!$A$20:$M$32</definedName>
    <definedName name="DatosExternos_4" localSheetId="0" hidden="1">'anatomical entity'!$O$20:$AA$32</definedName>
    <definedName name="DatosExternos_4" localSheetId="4" hidden="1">bacterial!$O$20:$AA$32</definedName>
    <definedName name="DatosExternos_4" localSheetId="1" hidden="1">'cellular proliferation'!$O$20:$AA$32</definedName>
    <definedName name="DatosExternos_4" localSheetId="2" hidden="1">genetic!$O$20:$AA$32</definedName>
    <definedName name="DatosExternos_4" localSheetId="3" hidden="1">infectious!$O$20:$AA$32</definedName>
    <definedName name="DatosExternos_4" localSheetId="5" hidden="1">metabolism!$O$20:$AA$32</definedName>
    <definedName name="DatosExternos_4" localSheetId="6" hidden="1">rare!$O$20:$AA$32</definedName>
    <definedName name="DatosExternos_5" localSheetId="0" hidden="1">'anatomical entity'!$A$37:$M$49</definedName>
    <definedName name="DatosExternos_5" localSheetId="4" hidden="1">bacterial!$A$37:$M$49</definedName>
    <definedName name="DatosExternos_5" localSheetId="1" hidden="1">'cellular proliferation'!$A$37:$M$49</definedName>
    <definedName name="DatosExternos_5" localSheetId="2" hidden="1">genetic!$A$37:$M$49</definedName>
    <definedName name="DatosExternos_5" localSheetId="3" hidden="1">infectious!$A$37:$M$49</definedName>
    <definedName name="DatosExternos_5" localSheetId="5" hidden="1">metabolism!$A$37:$M$49</definedName>
    <definedName name="DatosExternos_5" localSheetId="6" hidden="1">rare!$A$37:$M$49</definedName>
    <definedName name="DatosExternos_6" localSheetId="0" hidden="1">'anatomical entity'!$O$37:$AA$49</definedName>
    <definedName name="DatosExternos_6" localSheetId="4" hidden="1">bacterial!$O$37:$AA$49</definedName>
    <definedName name="DatosExternos_6" localSheetId="1" hidden="1">'cellular proliferation'!$O$37:$AA$49</definedName>
    <definedName name="DatosExternos_6" localSheetId="2" hidden="1">genetic!$O$37:$AA$49</definedName>
    <definedName name="DatosExternos_6" localSheetId="3" hidden="1">infectious!$O$37:$AA$49</definedName>
    <definedName name="DatosExternos_6" localSheetId="5" hidden="1">metabolism!$O$37:$AA$49</definedName>
    <definedName name="DatosExternos_6" localSheetId="6" hidden="1">rare!$O$37:$AA$49</definedName>
    <definedName name="DatosExternos_7" localSheetId="0" hidden="1">'anatomical entity'!$A$54:$M$66</definedName>
    <definedName name="DatosExternos_7" localSheetId="4" hidden="1">bacterial!$A$54:$M$66</definedName>
    <definedName name="DatosExternos_7" localSheetId="1" hidden="1">'cellular proliferation'!$A$54:$M$66</definedName>
    <definedName name="DatosExternos_7" localSheetId="2" hidden="1">genetic!$A$54:$M$66</definedName>
    <definedName name="DatosExternos_7" localSheetId="3" hidden="1">infectious!$A$54:$M$66</definedName>
    <definedName name="DatosExternos_7" localSheetId="5" hidden="1">metabolism!$A$54:$M$66</definedName>
    <definedName name="DatosExternos_7" localSheetId="6" hidden="1">rare!$A$54:$M$66</definedName>
    <definedName name="DatosExternos_8" localSheetId="0" hidden="1">'anatomical entity'!$O$54:$AA$66</definedName>
    <definedName name="DatosExternos_8" localSheetId="4" hidden="1">bacterial!$O$54:$AA$66</definedName>
    <definedName name="DatosExternos_8" localSheetId="1" hidden="1">'cellular proliferation'!$O$54:$AA$66</definedName>
    <definedName name="DatosExternos_8" localSheetId="2" hidden="1">genetic!$O$54:$AA$66</definedName>
    <definedName name="DatosExternos_8" localSheetId="3" hidden="1">infectious!$O$54:$AA$66</definedName>
    <definedName name="DatosExternos_8" localSheetId="5" hidden="1">metabolism!$O$54:$AA$66</definedName>
    <definedName name="DatosExternos_8" localSheetId="6" hidden="1">rare!$O$54:$AA$66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1" i="1" l="1"/>
  <c r="L71" i="1"/>
  <c r="K71" i="1"/>
  <c r="J71" i="1"/>
  <c r="I71" i="1"/>
  <c r="H71" i="1"/>
  <c r="G71" i="1"/>
  <c r="F71" i="1"/>
  <c r="E71" i="1"/>
  <c r="D71" i="1"/>
  <c r="C71" i="1"/>
  <c r="B71" i="1"/>
  <c r="B71" i="2"/>
  <c r="M71" i="2"/>
  <c r="L71" i="2"/>
  <c r="K71" i="2"/>
  <c r="J71" i="2"/>
  <c r="I71" i="2"/>
  <c r="H71" i="2"/>
  <c r="G71" i="2"/>
  <c r="F71" i="2"/>
  <c r="E71" i="2"/>
  <c r="D71" i="2"/>
  <c r="C71" i="2"/>
  <c r="B71" i="7"/>
  <c r="M71" i="7"/>
  <c r="L71" i="7"/>
  <c r="K71" i="7"/>
  <c r="J71" i="7"/>
  <c r="I71" i="7"/>
  <c r="H71" i="7"/>
  <c r="G71" i="7"/>
  <c r="F71" i="7"/>
  <c r="E71" i="7"/>
  <c r="D71" i="7"/>
  <c r="C71" i="7"/>
  <c r="B72" i="7"/>
  <c r="C71" i="6"/>
  <c r="M71" i="6"/>
  <c r="L71" i="6"/>
  <c r="K71" i="6"/>
  <c r="J71" i="6"/>
  <c r="I71" i="6"/>
  <c r="H71" i="6"/>
  <c r="G71" i="6"/>
  <c r="F71" i="6"/>
  <c r="E71" i="6"/>
  <c r="D71" i="6"/>
  <c r="B71" i="6"/>
  <c r="B71" i="3"/>
  <c r="M71" i="3"/>
  <c r="L71" i="3"/>
  <c r="K71" i="3"/>
  <c r="J71" i="3"/>
  <c r="I71" i="3"/>
  <c r="H71" i="3"/>
  <c r="G71" i="3"/>
  <c r="F71" i="3"/>
  <c r="E71" i="3"/>
  <c r="D71" i="3"/>
  <c r="C71" i="3"/>
  <c r="B72" i="3"/>
  <c r="B72" i="6"/>
  <c r="M72" i="6"/>
  <c r="L72" i="6"/>
  <c r="K72" i="6"/>
  <c r="J72" i="6"/>
  <c r="I72" i="6"/>
  <c r="H72" i="6"/>
  <c r="G72" i="6"/>
  <c r="F72" i="6"/>
  <c r="E72" i="6"/>
  <c r="D72" i="6"/>
  <c r="C72" i="6"/>
  <c r="M72" i="7"/>
  <c r="L72" i="7"/>
  <c r="K72" i="7"/>
  <c r="J72" i="7"/>
  <c r="I72" i="7"/>
  <c r="H72" i="7"/>
  <c r="G72" i="7"/>
  <c r="F72" i="7"/>
  <c r="E72" i="7"/>
  <c r="D72" i="7"/>
  <c r="C72" i="7"/>
  <c r="B72" i="2"/>
  <c r="M72" i="2"/>
  <c r="L72" i="2"/>
  <c r="K72" i="2"/>
  <c r="J72" i="2"/>
  <c r="I72" i="2"/>
  <c r="H72" i="2"/>
  <c r="G72" i="2"/>
  <c r="F72" i="2"/>
  <c r="E72" i="2"/>
  <c r="D72" i="2"/>
  <c r="C72" i="2"/>
  <c r="B72" i="1"/>
  <c r="C72" i="1"/>
  <c r="M72" i="1"/>
  <c r="L72" i="1"/>
  <c r="K72" i="1"/>
  <c r="J72" i="1"/>
  <c r="I72" i="1"/>
  <c r="H72" i="1"/>
  <c r="G72" i="1"/>
  <c r="F72" i="1"/>
  <c r="E72" i="1"/>
  <c r="D72" i="1"/>
  <c r="M72" i="3"/>
  <c r="L72" i="3"/>
  <c r="K72" i="3"/>
  <c r="J72" i="3"/>
  <c r="I72" i="3"/>
  <c r="H72" i="3"/>
  <c r="G72" i="3"/>
  <c r="F72" i="3"/>
  <c r="E72" i="3"/>
  <c r="D72" i="3"/>
  <c r="C72" i="3"/>
  <c r="M74" i="3"/>
  <c r="B74" i="3"/>
  <c r="L74" i="3"/>
  <c r="K74" i="3"/>
  <c r="J74" i="3"/>
  <c r="I74" i="3"/>
  <c r="H74" i="3"/>
  <c r="G74" i="3"/>
  <c r="F74" i="3"/>
  <c r="E74" i="3"/>
  <c r="D74" i="3"/>
  <c r="C74" i="3"/>
  <c r="M74" i="6"/>
  <c r="L74" i="6"/>
  <c r="K74" i="6"/>
  <c r="J74" i="6"/>
  <c r="I74" i="6"/>
  <c r="H74" i="6"/>
  <c r="G74" i="6"/>
  <c r="F74" i="6"/>
  <c r="E74" i="6"/>
  <c r="D74" i="6"/>
  <c r="C74" i="6"/>
  <c r="M74" i="7"/>
  <c r="L74" i="7"/>
  <c r="K74" i="7"/>
  <c r="J74" i="7"/>
  <c r="I74" i="7"/>
  <c r="H74" i="7"/>
  <c r="G74" i="7"/>
  <c r="F74" i="7"/>
  <c r="E74" i="7"/>
  <c r="D74" i="7"/>
  <c r="C74" i="7"/>
  <c r="M74" i="2"/>
  <c r="L74" i="2"/>
  <c r="K74" i="2"/>
  <c r="J74" i="2"/>
  <c r="I74" i="2"/>
  <c r="H74" i="2"/>
  <c r="G74" i="2"/>
  <c r="F74" i="2"/>
  <c r="E74" i="2"/>
  <c r="D74" i="2"/>
  <c r="C74" i="2"/>
  <c r="B74" i="6"/>
  <c r="B74" i="7"/>
  <c r="B74" i="2"/>
  <c r="B74" i="1"/>
  <c r="M74" i="1"/>
  <c r="L74" i="1"/>
  <c r="K74" i="1"/>
  <c r="J74" i="1"/>
  <c r="I74" i="1"/>
  <c r="H74" i="1"/>
  <c r="G74" i="1"/>
  <c r="F74" i="1"/>
  <c r="E74" i="1"/>
  <c r="D74" i="1"/>
  <c r="C74" i="1"/>
  <c r="B75" i="5"/>
  <c r="M75" i="5"/>
  <c r="L75" i="5"/>
  <c r="K75" i="5"/>
  <c r="J75" i="5"/>
  <c r="I75" i="5"/>
  <c r="H75" i="5"/>
  <c r="G75" i="5"/>
  <c r="F75" i="5"/>
  <c r="E75" i="5"/>
  <c r="D75" i="5"/>
  <c r="C75" i="5"/>
  <c r="H73" i="5" l="1"/>
  <c r="G73" i="5"/>
  <c r="E73" i="5"/>
  <c r="M73" i="3"/>
  <c r="L73" i="3"/>
  <c r="K73" i="3"/>
  <c r="J73" i="3"/>
  <c r="I73" i="3"/>
  <c r="H73" i="3"/>
  <c r="G73" i="3"/>
  <c r="F73" i="3"/>
  <c r="E73" i="3"/>
  <c r="D73" i="3"/>
  <c r="C73" i="3"/>
  <c r="B73" i="3"/>
  <c r="M73" i="6"/>
  <c r="L73" i="6"/>
  <c r="K73" i="6"/>
  <c r="J73" i="6"/>
  <c r="I73" i="6"/>
  <c r="H73" i="6"/>
  <c r="G73" i="6"/>
  <c r="F73" i="6"/>
  <c r="E73" i="6"/>
  <c r="D73" i="6"/>
  <c r="C73" i="6"/>
  <c r="B73" i="6"/>
  <c r="M73" i="7"/>
  <c r="L73" i="7"/>
  <c r="K73" i="7"/>
  <c r="J73" i="7"/>
  <c r="I73" i="7"/>
  <c r="H73" i="7"/>
  <c r="G73" i="7"/>
  <c r="F73" i="7"/>
  <c r="E73" i="7"/>
  <c r="D73" i="7"/>
  <c r="C73" i="7"/>
  <c r="B73" i="7"/>
  <c r="B73" i="2"/>
  <c r="M73" i="2"/>
  <c r="L73" i="2"/>
  <c r="K73" i="2"/>
  <c r="J73" i="2"/>
  <c r="I73" i="2"/>
  <c r="H73" i="2"/>
  <c r="G73" i="2"/>
  <c r="F73" i="2"/>
  <c r="E73" i="2"/>
  <c r="D73" i="2"/>
  <c r="C73" i="2"/>
  <c r="M73" i="1"/>
  <c r="L73" i="1"/>
  <c r="K73" i="1"/>
  <c r="J73" i="1"/>
  <c r="I73" i="1"/>
  <c r="H73" i="1"/>
  <c r="G73" i="1"/>
  <c r="F73" i="1"/>
  <c r="E73" i="1"/>
  <c r="D73" i="1"/>
  <c r="C73" i="1"/>
  <c r="B73" i="1"/>
  <c r="D73" i="5"/>
  <c r="M73" i="5"/>
  <c r="L73" i="5"/>
  <c r="K73" i="5"/>
  <c r="J73" i="5"/>
  <c r="I73" i="5"/>
  <c r="F73" i="5"/>
  <c r="C73" i="5"/>
  <c r="Q45" i="2" l="1"/>
  <c r="R43" i="2"/>
  <c r="P43" i="2"/>
  <c r="R42" i="2"/>
  <c r="P42" i="2"/>
  <c r="P41" i="2"/>
  <c r="P40" i="2"/>
  <c r="T39" i="2"/>
  <c r="W38" i="2"/>
  <c r="U38" i="2"/>
  <c r="S38" i="2"/>
  <c r="Q25" i="2"/>
  <c r="Q24" i="2"/>
  <c r="Q23" i="2"/>
  <c r="T22" i="2"/>
  <c r="R22" i="2"/>
  <c r="P22" i="2"/>
  <c r="W21" i="2"/>
  <c r="U21" i="2"/>
  <c r="T21" i="2"/>
  <c r="S21" i="2"/>
  <c r="P21" i="2"/>
  <c r="T5" i="2"/>
  <c r="P5" i="2"/>
  <c r="W4" i="2"/>
  <c r="U4" i="2"/>
  <c r="T4" i="2"/>
  <c r="S4" i="2"/>
  <c r="R4" i="2"/>
  <c r="P4" i="2"/>
  <c r="W57" i="1"/>
  <c r="W39" i="1"/>
  <c r="X38" i="1"/>
  <c r="W38" i="1"/>
  <c r="V38" i="1"/>
  <c r="W22" i="1"/>
  <c r="X21" i="1"/>
  <c r="W21" i="1"/>
  <c r="V21" i="1"/>
  <c r="W4" i="1"/>
  <c r="Q63" i="4"/>
  <c r="R61" i="4"/>
  <c r="P60" i="4"/>
  <c r="T57" i="4"/>
  <c r="Y56" i="4"/>
  <c r="U56" i="4"/>
  <c r="S56" i="4"/>
  <c r="Y55" i="4"/>
  <c r="W55" i="4"/>
  <c r="U55" i="4"/>
  <c r="S55" i="4"/>
  <c r="R45" i="4"/>
  <c r="Q45" i="4"/>
  <c r="R44" i="4"/>
  <c r="Q44" i="4"/>
  <c r="P44" i="4"/>
  <c r="Y43" i="4"/>
  <c r="S43" i="4"/>
  <c r="R43" i="4"/>
  <c r="Q43" i="4"/>
  <c r="P43" i="4"/>
  <c r="Y42" i="4"/>
  <c r="R42" i="4"/>
  <c r="Q42" i="4"/>
  <c r="P42" i="4"/>
  <c r="R41" i="4"/>
  <c r="Q41" i="4"/>
  <c r="P41" i="4"/>
  <c r="Y40" i="4"/>
  <c r="T40" i="4"/>
  <c r="R40" i="4"/>
  <c r="P40" i="4"/>
  <c r="U39" i="4"/>
  <c r="T39" i="4"/>
  <c r="S39" i="4"/>
  <c r="R39" i="4"/>
  <c r="P39" i="4"/>
  <c r="AA38" i="4"/>
  <c r="W38" i="4"/>
  <c r="U38" i="4"/>
  <c r="T38" i="4"/>
  <c r="S38" i="4"/>
  <c r="P38" i="4"/>
  <c r="Q30" i="4"/>
  <c r="Z29" i="4"/>
  <c r="U28" i="4"/>
  <c r="R28" i="4"/>
  <c r="AA27" i="4"/>
  <c r="R27" i="4"/>
  <c r="AA26" i="4"/>
  <c r="Y26" i="4"/>
  <c r="S26" i="4"/>
  <c r="P26" i="4"/>
  <c r="Y25" i="4"/>
  <c r="S25" i="4"/>
  <c r="P25" i="4"/>
  <c r="AA24" i="4"/>
  <c r="Y24" i="4"/>
  <c r="P24" i="4"/>
  <c r="Y23" i="4"/>
  <c r="P23" i="4"/>
  <c r="Y22" i="4"/>
  <c r="V22" i="4"/>
  <c r="T22" i="4"/>
  <c r="S22" i="4"/>
  <c r="P22" i="4"/>
  <c r="Y21" i="4"/>
  <c r="W21" i="4"/>
  <c r="U21" i="4"/>
  <c r="T21" i="4"/>
  <c r="S21" i="4"/>
  <c r="P21" i="4"/>
  <c r="Q13" i="4"/>
  <c r="Z12" i="4"/>
  <c r="Y11" i="4"/>
  <c r="U11" i="4"/>
  <c r="R11" i="4"/>
  <c r="P11" i="4"/>
  <c r="AA10" i="4"/>
  <c r="Y10" i="4"/>
  <c r="U10" i="4"/>
  <c r="S10" i="4"/>
  <c r="R10" i="4"/>
  <c r="P10" i="4"/>
  <c r="AA9" i="4"/>
  <c r="Y9" i="4"/>
  <c r="S9" i="4"/>
  <c r="P9" i="4"/>
  <c r="AA8" i="4"/>
  <c r="Y8" i="4"/>
  <c r="S8" i="4"/>
  <c r="P8" i="4"/>
  <c r="AA7" i="4"/>
  <c r="Y7" i="4"/>
  <c r="S7" i="4"/>
  <c r="Y6" i="4"/>
  <c r="X6" i="4"/>
  <c r="V6" i="4"/>
  <c r="Y5" i="4"/>
  <c r="X5" i="4"/>
  <c r="V5" i="4"/>
  <c r="S5" i="4"/>
  <c r="P5" i="4"/>
  <c r="Y4" i="4"/>
  <c r="V4" i="4"/>
  <c r="U4" i="4"/>
  <c r="T4" i="4"/>
  <c r="S4" i="4"/>
  <c r="R4" i="4"/>
  <c r="P4" i="4"/>
  <c r="V56" i="6"/>
  <c r="W39" i="6"/>
  <c r="X38" i="6"/>
  <c r="W38" i="6"/>
  <c r="W21" i="6"/>
  <c r="V6" i="6"/>
  <c r="P61" i="3"/>
  <c r="W56" i="3"/>
  <c r="U56" i="3"/>
  <c r="S56" i="3"/>
  <c r="P44" i="3"/>
  <c r="P43" i="3"/>
  <c r="W41" i="3"/>
  <c r="R40" i="3"/>
  <c r="P40" i="3"/>
  <c r="X39" i="3"/>
  <c r="W39" i="3"/>
  <c r="V39" i="3"/>
  <c r="T39" i="3"/>
  <c r="S39" i="3"/>
  <c r="R39" i="3"/>
  <c r="P39" i="3"/>
  <c r="AA38" i="3"/>
  <c r="X38" i="3"/>
  <c r="W38" i="3"/>
  <c r="V38" i="3"/>
  <c r="U38" i="3"/>
  <c r="T38" i="3"/>
  <c r="S38" i="3"/>
  <c r="P38" i="3"/>
  <c r="S27" i="3"/>
  <c r="P27" i="3"/>
  <c r="Y26" i="3"/>
  <c r="W25" i="3"/>
  <c r="X23" i="3"/>
  <c r="V23" i="3"/>
  <c r="V22" i="3"/>
  <c r="P22" i="3"/>
  <c r="W21" i="3"/>
  <c r="V21" i="3"/>
  <c r="U21" i="3"/>
  <c r="T21" i="3"/>
  <c r="S21" i="3"/>
  <c r="P21" i="3"/>
  <c r="Y10" i="3"/>
  <c r="S10" i="3"/>
  <c r="P10" i="3"/>
  <c r="Y9" i="3"/>
  <c r="W9" i="3"/>
  <c r="Y8" i="3"/>
  <c r="W8" i="3"/>
  <c r="W7" i="3"/>
  <c r="X6" i="3"/>
  <c r="V6" i="3"/>
  <c r="X5" i="3"/>
  <c r="V5" i="3"/>
  <c r="R43" i="7"/>
  <c r="U38" i="7"/>
  <c r="S38" i="7"/>
  <c r="W21" i="7"/>
  <c r="U21" i="7"/>
  <c r="W4" i="7"/>
  <c r="T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89AE35-280E-46F3-A6F5-7D5B53046D9F}" keepAlive="1" name="Consulta - Num_clusters (10)" description="Conexión a la consulta 'Num_clusters (10)' en el libro." type="5" refreshedVersion="6" background="1" saveData="1">
    <dbPr connection="Provider=Microsoft.Mashup.OleDb.1;Data Source=$Workbook$;Location=&quot;Num_clusters (10)&quot;;Extended Properties=&quot;&quot;" command="SELECT * FROM [Num_clusters (10)]"/>
  </connection>
  <connection id="2" xr16:uid="{18BC1FFF-46FE-4000-B379-D8DD1A0A4873}" keepAlive="1" name="Consulta - Num_clusters (11)" description="Conexión a la consulta 'Num_clusters (11)' en el libro." type="5" refreshedVersion="6" background="1" saveData="1">
    <dbPr connection="Provider=Microsoft.Mashup.OleDb.1;Data Source=$Workbook$;Location=&quot;Num_clusters (11)&quot;;Extended Properties=&quot;&quot;" command="SELECT * FROM [Num_clusters (11)]"/>
  </connection>
  <connection id="3" xr16:uid="{CA351F5E-7F4A-44A3-86E1-6348F1A5A0DD}" keepAlive="1" name="Consulta - Num_clusters (12)" description="Conexión a la consulta 'Num_clusters (12)' en el libro." type="5" refreshedVersion="6" background="1" saveData="1">
    <dbPr connection="Provider=Microsoft.Mashup.OleDb.1;Data Source=$Workbook$;Location=&quot;Num_clusters (12)&quot;;Extended Properties=&quot;&quot;" command="SELECT * FROM [Num_clusters (12)]"/>
  </connection>
  <connection id="4" xr16:uid="{943F07E4-7950-4B14-925E-B79DEBDB31C9}" keepAlive="1" name="Consulta - Num_clusters (13)" description="Conexión a la consulta 'Num_clusters (13)' en el libro." type="5" refreshedVersion="6" background="1" saveData="1">
    <dbPr connection="Provider=Microsoft.Mashup.OleDb.1;Data Source=$Workbook$;Location=&quot;Num_clusters (13)&quot;;Extended Properties=&quot;&quot;" command="SELECT * FROM [Num_clusters (13)]"/>
  </connection>
  <connection id="5" xr16:uid="{ADDB906C-ECDB-42D2-B563-45EC85686F08}" keepAlive="1" name="Consulta - Num_clusters (14)" description="Conexión a la consulta 'Num_clusters (14)' en el libro." type="5" refreshedVersion="6" background="1" saveData="1">
    <dbPr connection="Provider=Microsoft.Mashup.OleDb.1;Data Source=$Workbook$;Location=&quot;Num_clusters (14)&quot;;Extended Properties=&quot;&quot;" command="SELECT * FROM [Num_clusters (14)]"/>
  </connection>
  <connection id="6" xr16:uid="{618A2B7E-8175-4C7B-96B0-75F3149296B8}" keepAlive="1" name="Consulta - Num_clusters (15)" description="Conexión a la consulta 'Num_clusters (15)' en el libro." type="5" refreshedVersion="6" background="1" saveData="1">
    <dbPr connection="Provider=Microsoft.Mashup.OleDb.1;Data Source=$Workbook$;Location=&quot;Num_clusters (15)&quot;;Extended Properties=&quot;&quot;" command="SELECT * FROM [Num_clusters (15)]"/>
  </connection>
  <connection id="7" xr16:uid="{9AE447BF-B117-4991-9C2C-E7AB4B95449F}" keepAlive="1" name="Consulta - Num_clusters (16)" description="Conexión a la consulta 'Num_clusters (16)' en el libro." type="5" refreshedVersion="6" background="1" saveData="1">
    <dbPr connection="Provider=Microsoft.Mashup.OleDb.1;Data Source=$Workbook$;Location=&quot;Num_clusters (16)&quot;;Extended Properties=&quot;&quot;" command="SELECT * FROM [Num_clusters (16)]"/>
  </connection>
  <connection id="8" xr16:uid="{C88274F5-60DD-459A-A3E1-10FB21051089}" keepAlive="1" name="Consulta - Num_clusters (17)" description="Conexión a la consulta 'Num_clusters (17)' en el libro." type="5" refreshedVersion="6" background="1" saveData="1">
    <dbPr connection="Provider=Microsoft.Mashup.OleDb.1;Data Source=$Workbook$;Location=&quot;Num_clusters (17)&quot;;Extended Properties=&quot;&quot;" command="SELECT * FROM [Num_clusters (17)]"/>
  </connection>
  <connection id="9" xr16:uid="{5A3F890E-724D-4E74-9966-73745C6BEE62}" keepAlive="1" name="Consulta - Num_clusters (18)" description="Conexión a la consulta 'Num_clusters (18)' en el libro." type="5" refreshedVersion="6" background="1" saveData="1">
    <dbPr connection="Provider=Microsoft.Mashup.OleDb.1;Data Source=$Workbook$;Location=&quot;Num_clusters (18)&quot;;Extended Properties=&quot;&quot;" command="SELECT * FROM [Num_clusters (18)]"/>
  </connection>
  <connection id="10" xr16:uid="{BE2F0E3F-DA1C-48F2-859A-53CBE65D691A}" keepAlive="1" name="Consulta - Num_clusters (19)" description="Conexión a la consulta 'Num_clusters (19)' en el libro." type="5" refreshedVersion="6" background="1" saveData="1">
    <dbPr connection="Provider=Microsoft.Mashup.OleDb.1;Data Source=$Workbook$;Location=&quot;Num_clusters (19)&quot;;Extended Properties=&quot;&quot;" command="SELECT * FROM [Num_clusters (19)]"/>
  </connection>
  <connection id="11" xr16:uid="{9C70A87F-582D-4C34-93A3-5A0AD784AF88}" keepAlive="1" name="Consulta - Num_clusters (20)" description="Conexión a la consulta 'Num_clusters (20)' en el libro." type="5" refreshedVersion="6" background="1" saveData="1">
    <dbPr connection="Provider=Microsoft.Mashup.OleDb.1;Data Source=$Workbook$;Location=&quot;Num_clusters (20)&quot;;Extended Properties=&quot;&quot;" command="SELECT * FROM [Num_clusters (20)]"/>
  </connection>
  <connection id="12" xr16:uid="{1DAC98C6-DA79-407B-A8D9-B12B9C56ED4F}" keepAlive="1" name="Consulta - Num_clusters (21)" description="Conexión a la consulta 'Num_clusters (21)' en el libro." type="5" refreshedVersion="6" background="1" saveData="1">
    <dbPr connection="Provider=Microsoft.Mashup.OleDb.1;Data Source=$Workbook$;Location=&quot;Num_clusters (21)&quot;;Extended Properties=&quot;&quot;" command="SELECT * FROM [Num_clusters (21)]"/>
  </connection>
  <connection id="13" xr16:uid="{16AED8FB-9C5F-4ED2-8934-94F9F9F1437F}" keepAlive="1" name="Consulta - Num_clusters (22)" description="Conexión a la consulta 'Num_clusters (22)' en el libro." type="5" refreshedVersion="6" background="1" saveData="1">
    <dbPr connection="Provider=Microsoft.Mashup.OleDb.1;Data Source=$Workbook$;Location=&quot;Num_clusters (22)&quot;;Extended Properties=&quot;&quot;" command="SELECT * FROM [Num_clusters (22)]"/>
  </connection>
  <connection id="14" xr16:uid="{6DB0AF86-A45C-48CF-ABC8-55D54AF8DECD}" keepAlive="1" name="Consulta - Num_clusters (23)" description="Conexión a la consulta 'Num_clusters (23)' en el libro." type="5" refreshedVersion="6" background="1" saveData="1">
    <dbPr connection="Provider=Microsoft.Mashup.OleDb.1;Data Source=$Workbook$;Location=&quot;Num_clusters (23)&quot;;Extended Properties=&quot;&quot;" command="SELECT * FROM [Num_clusters (23)]"/>
  </connection>
  <connection id="15" xr16:uid="{55D9F3DD-D05A-407E-BB6B-E20FA90180BF}" keepAlive="1" name="Consulta - Num_clusters (24)" description="Conexión a la consulta 'Num_clusters (24)' en el libro." type="5" refreshedVersion="6" background="1" saveData="1">
    <dbPr connection="Provider=Microsoft.Mashup.OleDb.1;Data Source=$Workbook$;Location=&quot;Num_clusters (24)&quot;;Extended Properties=&quot;&quot;" command="SELECT * FROM [Num_clusters (24)]"/>
  </connection>
  <connection id="16" xr16:uid="{786E92EF-4261-4868-AF6C-0021E6BAF51D}" keepAlive="1" name="Consulta - Num_clusters (25)" description="Conexión a la consulta 'Num_clusters (25)' en el libro." type="5" refreshedVersion="6" background="1" saveData="1">
    <dbPr connection="Provider=Microsoft.Mashup.OleDb.1;Data Source=$Workbook$;Location=&quot;Num_clusters (25)&quot;;Extended Properties=&quot;&quot;" command="SELECT * FROM [Num_clusters (25)]"/>
  </connection>
  <connection id="17" xr16:uid="{E382832A-8C2C-4ED6-BC5A-7F8C4A5EBA93}" keepAlive="1" name="Consulta - Num_clusters (26)" description="Conexión a la consulta 'Num_clusters (26)' en el libro." type="5" refreshedVersion="6" background="1" saveData="1">
    <dbPr connection="Provider=Microsoft.Mashup.OleDb.1;Data Source=$Workbook$;Location=&quot;Num_clusters (26)&quot;;Extended Properties=&quot;&quot;" command="SELECT * FROM [Num_clusters (26)]"/>
  </connection>
  <connection id="18" xr16:uid="{C1C74508-2B70-4835-83CE-889B4FB09812}" keepAlive="1" name="Consulta - Num_clusters (27)" description="Conexión a la consulta 'Num_clusters (27)' en el libro." type="5" refreshedVersion="6" background="1" saveData="1">
    <dbPr connection="Provider=Microsoft.Mashup.OleDb.1;Data Source=$Workbook$;Location=&quot;Num_clusters (27)&quot;;Extended Properties=&quot;&quot;" command="SELECT * FROM [Num_clusters (27)]"/>
  </connection>
  <connection id="19" xr16:uid="{20707CC1-B9AE-4959-9344-B4B3242430DB}" keepAlive="1" name="Consulta - Num_clusters (28)" description="Conexión a la consulta 'Num_clusters (28)' en el libro." type="5" refreshedVersion="6" background="1" saveData="1">
    <dbPr connection="Provider=Microsoft.Mashup.OleDb.1;Data Source=$Workbook$;Location=&quot;Num_clusters (28)&quot;;Extended Properties=&quot;&quot;" command="SELECT * FROM [Num_clusters (28)]"/>
  </connection>
  <connection id="20" xr16:uid="{B469C150-DD77-4700-A143-E4CF5C3C3EC1}" keepAlive="1" name="Consulta - Num_clusters (29)" description="Conexión a la consulta 'Num_clusters (29)' en el libro." type="5" refreshedVersion="6" background="1" saveData="1">
    <dbPr connection="Provider=Microsoft.Mashup.OleDb.1;Data Source=$Workbook$;Location=&quot;Num_clusters (29)&quot;;Extended Properties=&quot;&quot;" command="SELECT * FROM [Num_clusters (29)]"/>
  </connection>
  <connection id="21" xr16:uid="{6C520263-CC6A-44AA-AEFB-575F887DF96C}" keepAlive="1" name="Consulta - Num_clusters (30)" description="Conexión a la consulta 'Num_clusters (30)' en el libro." type="5" refreshedVersion="6" background="1" saveData="1">
    <dbPr connection="Provider=Microsoft.Mashup.OleDb.1;Data Source=$Workbook$;Location=&quot;Num_clusters (30)&quot;;Extended Properties=&quot;&quot;" command="SELECT * FROM [Num_clusters (30)]"/>
  </connection>
  <connection id="22" xr16:uid="{BD83C157-D748-463C-A46E-965B36D6C794}" keepAlive="1" name="Consulta - Num_clusters (31)" description="Conexión a la consulta 'Num_clusters (31)' en el libro." type="5" refreshedVersion="6" background="1" saveData="1">
    <dbPr connection="Provider=Microsoft.Mashup.OleDb.1;Data Source=$Workbook$;Location=&quot;Num_clusters (31)&quot;;Extended Properties=&quot;&quot;" command="SELECT * FROM [Num_clusters (31)]"/>
  </connection>
  <connection id="23" xr16:uid="{94367141-CAC8-4843-9967-D8D7D30150BC}" keepAlive="1" name="Consulta - Num_clusters (32)" description="Conexión a la consulta 'Num_clusters (32)' en el libro." type="5" refreshedVersion="6" background="1" saveData="1">
    <dbPr connection="Provider=Microsoft.Mashup.OleDb.1;Data Source=$Workbook$;Location=&quot;Num_clusters (32)&quot;;Extended Properties=&quot;&quot;" command="SELECT * FROM [Num_clusters (32)]"/>
  </connection>
  <connection id="24" xr16:uid="{FF4FB497-9D72-4B18-A9CA-529196F2BEF1}" keepAlive="1" name="Consulta - Num_clusters (33)" description="Conexión a la consulta 'Num_clusters (33)' en el libro." type="5" refreshedVersion="6" background="1" saveData="1">
    <dbPr connection="Provider=Microsoft.Mashup.OleDb.1;Data Source=$Workbook$;Location=&quot;Num_clusters (33)&quot;;Extended Properties=&quot;&quot;" command="SELECT * FROM [Num_clusters (33)]"/>
  </connection>
  <connection id="25" xr16:uid="{ABDF0E79-0750-497E-9B33-8CBEFCDD2633}" keepAlive="1" name="Consulta - Num_clusters (34)" description="Conexión a la consulta 'Num_clusters (34)' en el libro." type="5" refreshedVersion="6" background="1" saveData="1">
    <dbPr connection="Provider=Microsoft.Mashup.OleDb.1;Data Source=$Workbook$;Location=&quot;Num_clusters (34)&quot;;Extended Properties=&quot;&quot;" command="SELECT * FROM [Num_clusters (34)]"/>
  </connection>
  <connection id="26" xr16:uid="{2FABAEBC-15E5-4391-9F0D-D5A398815400}" keepAlive="1" name="Consulta - Num_clusters (35)" description="Conexión a la consulta 'Num_clusters (35)' en el libro." type="5" refreshedVersion="6" background="1" saveData="1">
    <dbPr connection="Provider=Microsoft.Mashup.OleDb.1;Data Source=$Workbook$;Location=&quot;Num_clusters (35)&quot;;Extended Properties=&quot;&quot;" command="SELECT * FROM [Num_clusters (35)]"/>
  </connection>
  <connection id="27" xr16:uid="{F9908EE3-4477-4EEC-BB68-43902794524B}" keepAlive="1" name="Consulta - Num_clusters (36)" description="Conexión a la consulta 'Num_clusters (36)' en el libro." type="5" refreshedVersion="6" background="1" saveData="1">
    <dbPr connection="Provider=Microsoft.Mashup.OleDb.1;Data Source=$Workbook$;Location=&quot;Num_clusters (36)&quot;;Extended Properties=&quot;&quot;" command="SELECT * FROM [Num_clusters (36)]"/>
  </connection>
  <connection id="28" xr16:uid="{5C5D4D2D-BF19-47F9-A3B5-03B6E5D60B04}" keepAlive="1" name="Consulta - Num_clusters (37)" description="Conexión a la consulta 'Num_clusters (37)' en el libro." type="5" refreshedVersion="6" background="1" saveData="1">
    <dbPr connection="Provider=Microsoft.Mashup.OleDb.1;Data Source=$Workbook$;Location=&quot;Num_clusters (37)&quot;;Extended Properties=&quot;&quot;" command="SELECT * FROM [Num_clusters (37)]"/>
  </connection>
  <connection id="29" xr16:uid="{E4FFC4A5-03EF-453E-BE4C-1CC31359003C}" keepAlive="1" name="Consulta - Num_clusters (38)" description="Conexión a la consulta 'Num_clusters (38)' en el libro." type="5" refreshedVersion="6" background="1" saveData="1">
    <dbPr connection="Provider=Microsoft.Mashup.OleDb.1;Data Source=$Workbook$;Location=&quot;Num_clusters (38)&quot;;Extended Properties=&quot;&quot;" command="SELECT * FROM [Num_clusters (38)]"/>
  </connection>
  <connection id="30" xr16:uid="{045E95BC-D24A-4F31-89DA-F13AC3EBA278}" keepAlive="1" name="Consulta - Num_clusters (39)" description="Conexión a la consulta 'Num_clusters (39)' en el libro." type="5" refreshedVersion="6" background="1" saveData="1">
    <dbPr connection="Provider=Microsoft.Mashup.OleDb.1;Data Source=$Workbook$;Location=&quot;Num_clusters (39)&quot;;Extended Properties=&quot;&quot;" command="SELECT * FROM [Num_clusters (39)]"/>
  </connection>
  <connection id="31" xr16:uid="{47248A8D-8C3F-4A4D-8F2C-49A567FE93F4}" keepAlive="1" name="Consulta - Num_clusters (4)" description="Conexión a la consulta 'Num_clusters (4)' en el libro." type="5" refreshedVersion="6" background="1" saveData="1">
    <dbPr connection="Provider=Microsoft.Mashup.OleDb.1;Data Source=$Workbook$;Location=&quot;Num_clusters (4)&quot;;Extended Properties=&quot;&quot;" command="SELECT * FROM [Num_clusters (4)]"/>
  </connection>
  <connection id="32" xr16:uid="{7AB0CC21-C20C-44DD-90B8-C8C872CFAA85}" keepAlive="1" name="Consulta - Num_clusters (40)" description="Conexión a la consulta 'Num_clusters (40)' en el libro." type="5" refreshedVersion="6" background="1" saveData="1">
    <dbPr connection="Provider=Microsoft.Mashup.OleDb.1;Data Source=$Workbook$;Location=&quot;Num_clusters (40)&quot;;Extended Properties=&quot;&quot;" command="SELECT * FROM [Num_clusters (40)]"/>
  </connection>
  <connection id="33" xr16:uid="{695A075E-61EF-42CF-B4C7-015AEA23D222}" keepAlive="1" name="Consulta - Num_clusters (41)" description="Conexión a la consulta 'Num_clusters (41)' en el libro." type="5" refreshedVersion="6" background="1" saveData="1">
    <dbPr connection="Provider=Microsoft.Mashup.OleDb.1;Data Source=$Workbook$;Location=&quot;Num_clusters (41)&quot;;Extended Properties=&quot;&quot;" command="SELECT * FROM [Num_clusters (41)]"/>
  </connection>
  <connection id="34" xr16:uid="{0EFAFC77-1271-46A6-B8A1-C46BEB820F3C}" keepAlive="1" name="Consulta - Num_clusters (42)" description="Conexión a la consulta 'Num_clusters (42)' en el libro." type="5" refreshedVersion="6" background="1" saveData="1">
    <dbPr connection="Provider=Microsoft.Mashup.OleDb.1;Data Source=$Workbook$;Location=&quot;Num_clusters (42)&quot;;Extended Properties=&quot;&quot;" command="SELECT * FROM [Num_clusters (42)]"/>
  </connection>
  <connection id="35" xr16:uid="{60BCE181-6D7B-4CE3-84AA-833F81CDCBF3}" keepAlive="1" name="Consulta - Num_clusters (43)" description="Conexión a la consulta 'Num_clusters (43)' en el libro." type="5" refreshedVersion="6" background="1" saveData="1">
    <dbPr connection="Provider=Microsoft.Mashup.OleDb.1;Data Source=$Workbook$;Location=&quot;Num_clusters (43)&quot;;Extended Properties=&quot;&quot;" command="SELECT * FROM [Num_clusters (43)]"/>
  </connection>
  <connection id="36" xr16:uid="{5229D88E-697A-402D-AB33-187698E1C532}" keepAlive="1" name="Consulta - Num_clusters (44)" description="Conexión a la consulta 'Num_clusters (44)' en el libro." type="5" refreshedVersion="6" background="1" saveData="1">
    <dbPr connection="Provider=Microsoft.Mashup.OleDb.1;Data Source=$Workbook$;Location=&quot;Num_clusters (44)&quot;;Extended Properties=&quot;&quot;" command="SELECT * FROM [Num_clusters (44)]"/>
  </connection>
  <connection id="37" xr16:uid="{9DEE1713-FE83-41E2-A0FB-DE4E9DA6D824}" keepAlive="1" name="Consulta - Num_clusters (45)" description="Conexión a la consulta 'Num_clusters (45)' en el libro." type="5" refreshedVersion="6" background="1" saveData="1">
    <dbPr connection="Provider=Microsoft.Mashup.OleDb.1;Data Source=$Workbook$;Location=&quot;Num_clusters (45)&quot;;Extended Properties=&quot;&quot;" command="SELECT * FROM [Num_clusters (45)]"/>
  </connection>
  <connection id="38" xr16:uid="{BB5F4211-FF69-4E38-8636-65809CB2CEFF}" keepAlive="1" name="Consulta - Num_clusters (46)" description="Conexión a la consulta 'Num_clusters (46)' en el libro." type="5" refreshedVersion="6" background="1" saveData="1">
    <dbPr connection="Provider=Microsoft.Mashup.OleDb.1;Data Source=$Workbook$;Location=&quot;Num_clusters (46)&quot;;Extended Properties=&quot;&quot;" command="SELECT * FROM [Num_clusters (46)]"/>
  </connection>
  <connection id="39" xr16:uid="{1C2DDEAC-04EB-4068-AEB8-8715AE073636}" keepAlive="1" name="Consulta - Num_clusters (47)" description="Conexión a la consulta 'Num_clusters (47)' en el libro." type="5" refreshedVersion="6" background="1" saveData="1">
    <dbPr connection="Provider=Microsoft.Mashup.OleDb.1;Data Source=$Workbook$;Location=&quot;Num_clusters (47)&quot;;Extended Properties=&quot;&quot;" command="SELECT * FROM [Num_clusters (47)]"/>
  </connection>
  <connection id="40" xr16:uid="{A8240FE5-B475-4DB2-A54A-2DADF7F04B57}" keepAlive="1" name="Consulta - Num_clusters (48)" description="Conexión a la consulta 'Num_clusters (48)' en el libro." type="5" refreshedVersion="6" background="1" saveData="1">
    <dbPr connection="Provider=Microsoft.Mashup.OleDb.1;Data Source=$Workbook$;Location=&quot;Num_clusters (48)&quot;;Extended Properties=&quot;&quot;" command="SELECT * FROM [Num_clusters (48)]"/>
  </connection>
  <connection id="41" xr16:uid="{FE12C362-06C2-4625-9F85-B428D6E64FCB}" keepAlive="1" name="Consulta - Num_clusters (49)" description="Conexión a la consulta 'Num_clusters (49)' en el libro." type="5" refreshedVersion="6" background="1" saveData="1">
    <dbPr connection="Provider=Microsoft.Mashup.OleDb.1;Data Source=$Workbook$;Location=&quot;Num_clusters (49)&quot;;Extended Properties=&quot;&quot;" command="SELECT * FROM [Num_clusters (49)]"/>
  </connection>
  <connection id="42" xr16:uid="{73987F84-72F7-4747-9B54-FFED9376E350}" keepAlive="1" name="Consulta - Num_clusters (5)" description="Conexión a la consulta 'Num_clusters (5)' en el libro." type="5" refreshedVersion="6" background="1" saveData="1">
    <dbPr connection="Provider=Microsoft.Mashup.OleDb.1;Data Source=$Workbook$;Location=&quot;Num_clusters (5)&quot;;Extended Properties=&quot;&quot;" command="SELECT * FROM [Num_clusters (5)]"/>
  </connection>
  <connection id="43" xr16:uid="{BF01AC49-BACD-41D1-9ABB-84D63DC2B005}" keepAlive="1" name="Consulta - Num_clusters (50)" description="Conexión a la consulta 'Num_clusters (50)' en el libro." type="5" refreshedVersion="6" background="1" saveData="1">
    <dbPr connection="Provider=Microsoft.Mashup.OleDb.1;Data Source=$Workbook$;Location=&quot;Num_clusters (50)&quot;;Extended Properties=&quot;&quot;" command="SELECT * FROM [Num_clusters (50)]"/>
  </connection>
  <connection id="44" xr16:uid="{36EE2D1C-70BC-4A46-88CD-6579F55645DF}" keepAlive="1" name="Consulta - Num_clusters (51)" description="Conexión a la consulta 'Num_clusters (51)' en el libro." type="5" refreshedVersion="6" background="1" saveData="1">
    <dbPr connection="Provider=Microsoft.Mashup.OleDb.1;Data Source=$Workbook$;Location=&quot;Num_clusters (51)&quot;;Extended Properties=&quot;&quot;" command="SELECT * FROM [Num_clusters (51)]"/>
  </connection>
  <connection id="45" xr16:uid="{3C736BB4-7629-499D-8582-AAD65B77470D}" keepAlive="1" name="Consulta - Num_clusters (52)" description="Conexión a la consulta 'Num_clusters (52)' en el libro." type="5" refreshedVersion="6" background="1" saveData="1">
    <dbPr connection="Provider=Microsoft.Mashup.OleDb.1;Data Source=$Workbook$;Location=&quot;Num_clusters (52)&quot;;Extended Properties=&quot;&quot;" command="SELECT * FROM [Num_clusters (52)]"/>
  </connection>
  <connection id="46" xr16:uid="{0C9DBBAC-2872-4A81-9954-683DDD58790D}" keepAlive="1" name="Consulta - Num_clusters (53)" description="Conexión a la consulta 'Num_clusters (53)' en el libro." type="5" refreshedVersion="6" background="1" saveData="1">
    <dbPr connection="Provider=Microsoft.Mashup.OleDb.1;Data Source=$Workbook$;Location=&quot;Num_clusters (53)&quot;;Extended Properties=&quot;&quot;" command="SELECT * FROM [Num_clusters (53)]"/>
  </connection>
  <connection id="47" xr16:uid="{5AC0CC2F-5E93-45E8-8297-EFB2182175FB}" keepAlive="1" name="Consulta - Num_clusters (54)" description="Conexión a la consulta 'Num_clusters (54)' en el libro." type="5" refreshedVersion="6" background="1" saveData="1">
    <dbPr connection="Provider=Microsoft.Mashup.OleDb.1;Data Source=$Workbook$;Location=&quot;Num_clusters (54)&quot;;Extended Properties=&quot;&quot;" command="SELECT * FROM [Num_clusters (54)]"/>
  </connection>
  <connection id="48" xr16:uid="{36330FA6-A2F3-4FDE-AA1C-AF769228F3F9}" keepAlive="1" name="Consulta - Num_clusters (55)" description="Conexión a la consulta 'Num_clusters (55)' en el libro." type="5" refreshedVersion="6" background="1" saveData="1">
    <dbPr connection="Provider=Microsoft.Mashup.OleDb.1;Data Source=$Workbook$;Location=&quot;Num_clusters (55)&quot;;Extended Properties=&quot;&quot;" command="SELECT * FROM [Num_clusters (55)]"/>
  </connection>
  <connection id="49" xr16:uid="{12C16D15-F351-46B2-ABB6-88619B3B284F}" keepAlive="1" name="Consulta - Num_clusters (56)" description="Conexión a la consulta 'Num_clusters (56)' en el libro." type="5" refreshedVersion="6" background="1" saveData="1">
    <dbPr connection="Provider=Microsoft.Mashup.OleDb.1;Data Source=$Workbook$;Location=&quot;Num_clusters (56)&quot;;Extended Properties=&quot;&quot;" command="SELECT * FROM [Num_clusters (56)]"/>
  </connection>
  <connection id="50" xr16:uid="{F8DBF296-A5C4-4D48-8D75-2857AEC1CF1A}" keepAlive="1" name="Consulta - Num_clusters (57)" description="Conexión a la consulta 'Num_clusters (57)' en el libro." type="5" refreshedVersion="6" background="1" saveData="1">
    <dbPr connection="Provider=Microsoft.Mashup.OleDb.1;Data Source=$Workbook$;Location=&quot;Num_clusters (57)&quot;;Extended Properties=&quot;&quot;" command="SELECT * FROM [Num_clusters (57)]"/>
  </connection>
  <connection id="51" xr16:uid="{8C4AADD4-D172-4056-B130-A4AE9D077499}" keepAlive="1" name="Consulta - Num_clusters (58)" description="Conexión a la consulta 'Num_clusters (58)' en el libro." type="5" refreshedVersion="6" background="1" saveData="1">
    <dbPr connection="Provider=Microsoft.Mashup.OleDb.1;Data Source=$Workbook$;Location=&quot;Num_clusters (58)&quot;;Extended Properties=&quot;&quot;" command="SELECT * FROM [Num_clusters (58)]"/>
  </connection>
  <connection id="52" xr16:uid="{E4B68E2B-0481-4D73-9360-75F80CCFD4DC}" keepAlive="1" name="Consulta - Num_clusters (59)" description="Conexión a la consulta 'Num_clusters (59)' en el libro." type="5" refreshedVersion="6" background="1" saveData="1">
    <dbPr connection="Provider=Microsoft.Mashup.OleDb.1;Data Source=$Workbook$;Location=&quot;Num_clusters (59)&quot;;Extended Properties=&quot;&quot;" command="SELECT * FROM [Num_clusters (59)]"/>
  </connection>
  <connection id="53" xr16:uid="{774521A7-ED5A-4BB0-B5A3-64CD89B8FFB8}" keepAlive="1" name="Consulta - Num_clusters (6)" description="Conexión a la consulta 'Num_clusters (6)' en el libro." type="5" refreshedVersion="6" background="1" saveData="1">
    <dbPr connection="Provider=Microsoft.Mashup.OleDb.1;Data Source=$Workbook$;Location=&quot;Num_clusters (6)&quot;;Extended Properties=&quot;&quot;" command="SELECT * FROM [Num_clusters (6)]"/>
  </connection>
  <connection id="54" xr16:uid="{F4EF29CC-D3EC-4A2F-A961-702ECEB4AE96}" keepAlive="1" name="Consulta - Num_clusters (60)" description="Conexión a la consulta 'Num_clusters (60)' en el libro." type="5" refreshedVersion="6" background="1" saveData="1">
    <dbPr connection="Provider=Microsoft.Mashup.OleDb.1;Data Source=$Workbook$;Location=&quot;Num_clusters (60)&quot;;Extended Properties=&quot;&quot;" command="SELECT * FROM [Num_clusters (60)]"/>
  </connection>
  <connection id="55" xr16:uid="{2369BFE3-C3AC-4863-962E-B38148962397}" keepAlive="1" name="Consulta - Num_clusters (61)" description="Conexión a la consulta 'Num_clusters (61)' en el libro." type="5" refreshedVersion="6" background="1" saveData="1">
    <dbPr connection="Provider=Microsoft.Mashup.OleDb.1;Data Source=$Workbook$;Location=&quot;Num_clusters (61)&quot;;Extended Properties=&quot;&quot;" command="SELECT * FROM [Num_clusters (61)]"/>
  </connection>
  <connection id="56" xr16:uid="{CF786B83-DA7B-4E32-B0CC-D1A9E7C4BEB6}" keepAlive="1" name="Consulta - Num_clusters (62)" description="Conexión a la consulta 'Num_clusters (62)' en el libro." type="5" refreshedVersion="6" background="1" saveData="1">
    <dbPr connection="Provider=Microsoft.Mashup.OleDb.1;Data Source=$Workbook$;Location=&quot;Num_clusters (62)&quot;;Extended Properties=&quot;&quot;" command="SELECT * FROM [Num_clusters (62)]"/>
  </connection>
  <connection id="57" xr16:uid="{9D984BE0-B1F4-4006-BA12-C6317892DE1D}" keepAlive="1" name="Consulta - Num_clusters (63)" description="Conexión a la consulta 'Num_clusters (63)' en el libro." type="5" refreshedVersion="6" background="1" saveData="1">
    <dbPr connection="Provider=Microsoft.Mashup.OleDb.1;Data Source=$Workbook$;Location=&quot;Num_clusters (63)&quot;;Extended Properties=&quot;&quot;" command="SELECT * FROM [Num_clusters (63)]"/>
  </connection>
  <connection id="58" xr16:uid="{6E83E629-DA33-4EBA-9615-953102336133}" keepAlive="1" name="Consulta - Num_clusters (64)" description="Conexión a la consulta 'Num_clusters (64)' en el libro." type="5" refreshedVersion="6" background="1" saveData="1">
    <dbPr connection="Provider=Microsoft.Mashup.OleDb.1;Data Source=$Workbook$;Location=&quot;Num_clusters (64)&quot;;Extended Properties=&quot;&quot;" command="SELECT * FROM [Num_clusters (64)]"/>
  </connection>
  <connection id="59" xr16:uid="{02F5AAC6-7F14-4B27-ABC3-6E79C11DD575}" keepAlive="1" name="Consulta - Num_clusters (65)" description="Conexión a la consulta 'Num_clusters (65)' en el libro." type="5" refreshedVersion="6" background="1" saveData="1">
    <dbPr connection="Provider=Microsoft.Mashup.OleDb.1;Data Source=$Workbook$;Location=&quot;Num_clusters (65)&quot;;Extended Properties=&quot;&quot;" command="SELECT * FROM [Num_clusters (65)]"/>
  </connection>
  <connection id="60" xr16:uid="{19AB393A-489F-42D3-B39E-95255FF62920}" keepAlive="1" name="Consulta - Num_clusters (66)" description="Conexión a la consulta 'Num_clusters (66)' en el libro." type="5" refreshedVersion="6" background="1" saveData="1">
    <dbPr connection="Provider=Microsoft.Mashup.OleDb.1;Data Source=$Workbook$;Location=&quot;Num_clusters (66)&quot;;Extended Properties=&quot;&quot;" command="SELECT * FROM [Num_clusters (66)]"/>
  </connection>
  <connection id="61" xr16:uid="{3DA87E67-067A-41E1-B934-11F6DBB141D3}" keepAlive="1" name="Consulta - Num_clusters (67)" description="Conexión a la consulta 'Num_clusters (67)' en el libro." type="5" refreshedVersion="6" background="1" saveData="1">
    <dbPr connection="Provider=Microsoft.Mashup.OleDb.1;Data Source=$Workbook$;Location=&quot;Num_clusters (67)&quot;;Extended Properties=&quot;&quot;" command="SELECT * FROM [Num_clusters (67)]"/>
  </connection>
  <connection id="62" xr16:uid="{2CA3F1E4-E88B-4425-AA89-7647D8D9C32A}" keepAlive="1" name="Consulta - Num_clusters (7)" description="Conexión a la consulta 'Num_clusters (7)' en el libro." type="5" refreshedVersion="6" background="1" saveData="1">
    <dbPr connection="Provider=Microsoft.Mashup.OleDb.1;Data Source=$Workbook$;Location=&quot;Num_clusters (7)&quot;;Extended Properties=&quot;&quot;" command="SELECT * FROM [Num_clusters (7)]"/>
  </connection>
  <connection id="63" xr16:uid="{E44659CF-17B3-40E7-8E61-E4782135C3DA}" keepAlive="1" name="Consulta - Num_clusters (8)" description="Conexión a la consulta 'Num_clusters (8)' en el libro." type="5" refreshedVersion="6" background="1" saveData="1">
    <dbPr connection="Provider=Microsoft.Mashup.OleDb.1;Data Source=$Workbook$;Location=&quot;Num_clusters (8)&quot;;Extended Properties=&quot;&quot;" command="SELECT * FROM [Num_clusters (8)]"/>
  </connection>
  <connection id="64" xr16:uid="{93D06275-736B-43F5-90B4-CF1A33372477}" keepAlive="1" name="Consulta - Num_clusters (9)" description="Conexión a la consulta 'Num_clusters (9)' en el libro." type="5" refreshedVersion="6" background="1" saveData="1">
    <dbPr connection="Provider=Microsoft.Mashup.OleDb.1;Data Source=$Workbook$;Location=&quot;Num_clusters (9)&quot;;Extended Properties=&quot;&quot;" command="SELECT * FROM [Num_clusters (9)]"/>
  </connection>
</connections>
</file>

<file path=xl/sharedStrings.xml><?xml version="1.0" encoding="utf-8"?>
<sst xmlns="http://schemas.openxmlformats.org/spreadsheetml/2006/main" count="1068" uniqueCount="101">
  <si>
    <t>Epsilon</t>
  </si>
  <si>
    <t>gen_cos</t>
  </si>
  <si>
    <t>gen_jac</t>
  </si>
  <si>
    <t>gen_dic</t>
  </si>
  <si>
    <t>prot_cos</t>
  </si>
  <si>
    <t>prot_dic</t>
  </si>
  <si>
    <t>path_cos</t>
  </si>
  <si>
    <t>path_jac</t>
  </si>
  <si>
    <t>path_dice</t>
  </si>
  <si>
    <t>ppi_cos</t>
  </si>
  <si>
    <t>ppi_jac</t>
  </si>
  <si>
    <t>ppi_dice</t>
  </si>
  <si>
    <t>MS = 2</t>
  </si>
  <si>
    <t>Silhouette_coefficient</t>
  </si>
  <si>
    <t>MS = 3</t>
  </si>
  <si>
    <t>MS = 5</t>
  </si>
  <si>
    <t>MS = 30</t>
  </si>
  <si>
    <t>Gene Cosine</t>
  </si>
  <si>
    <t>Gene Jaccard</t>
  </si>
  <si>
    <t>Gene Dice</t>
  </si>
  <si>
    <t>Protein Cosine</t>
  </si>
  <si>
    <t>Protein Jaccard</t>
  </si>
  <si>
    <t>Protein Dice</t>
  </si>
  <si>
    <t>Pathway Cosine</t>
  </si>
  <si>
    <t>Pathway Jaccard</t>
  </si>
  <si>
    <t>Pathway Dice</t>
  </si>
  <si>
    <t>PPI Cosine</t>
  </si>
  <si>
    <t>PPI Jaccard</t>
  </si>
  <si>
    <t>PPI Dice</t>
  </si>
  <si>
    <t>Minimum cluster size</t>
  </si>
  <si>
    <t>Silhouette</t>
  </si>
  <si>
    <t>prot_jac</t>
  </si>
  <si>
    <t>Number of clusters</t>
  </si>
  <si>
    <t>MS = 10 (In this case, we used 10, as the number of diseases is 37)</t>
  </si>
  <si>
    <t>0.0928</t>
  </si>
  <si>
    <t>0.0877</t>
  </si>
  <si>
    <t>0.0935</t>
  </si>
  <si>
    <t>0.0930</t>
  </si>
  <si>
    <t>0.0879</t>
  </si>
  <si>
    <t>0.0938</t>
  </si>
  <si>
    <t>0.1070</t>
  </si>
  <si>
    <t>0.1286</t>
  </si>
  <si>
    <t>0.1455</t>
  </si>
  <si>
    <t>0.0970</t>
  </si>
  <si>
    <t>0.0888</t>
  </si>
  <si>
    <t>0.0955</t>
  </si>
  <si>
    <t>0.1680</t>
  </si>
  <si>
    <t>0.0819</t>
  </si>
  <si>
    <t>0.2078</t>
  </si>
  <si>
    <t>0.2289</t>
  </si>
  <si>
    <t>0.1613</t>
  </si>
  <si>
    <t>0.2462</t>
  </si>
  <si>
    <t>0.2541</t>
  </si>
  <si>
    <t>0.1862</t>
  </si>
  <si>
    <t>0.2488</t>
  </si>
  <si>
    <t>0.2075</t>
  </si>
  <si>
    <t>0.1010</t>
  </si>
  <si>
    <t>0.1017</t>
  </si>
  <si>
    <t>0.1030</t>
  </si>
  <si>
    <t>0.2595</t>
  </si>
  <si>
    <t>0.1022</t>
  </si>
  <si>
    <t>0.2657</t>
  </si>
  <si>
    <t>0.1738</t>
  </si>
  <si>
    <t>0.2498</t>
  </si>
  <si>
    <t>0.0876</t>
  </si>
  <si>
    <t>0.0985</t>
  </si>
  <si>
    <t>0.0995</t>
  </si>
  <si>
    <t>0.0988</t>
  </si>
  <si>
    <t>0.0999</t>
  </si>
  <si>
    <t>0.2400</t>
  </si>
  <si>
    <t>0.1045</t>
  </si>
  <si>
    <t>0.0908</t>
  </si>
  <si>
    <t>0.0934</t>
  </si>
  <si>
    <t>0.0939</t>
  </si>
  <si>
    <t>0.2347</t>
  </si>
  <si>
    <t>0.1053</t>
  </si>
  <si>
    <t>0.1031</t>
  </si>
  <si>
    <t>0.0381</t>
  </si>
  <si>
    <t>0.0924</t>
  </si>
  <si>
    <t>0.1060</t>
  </si>
  <si>
    <t>0.0342</t>
  </si>
  <si>
    <t>0.0927</t>
  </si>
  <si>
    <t>0.1129</t>
  </si>
  <si>
    <t>0.2476</t>
  </si>
  <si>
    <t>0.1655</t>
  </si>
  <si>
    <t>0.0360</t>
  </si>
  <si>
    <t>0.1076</t>
  </si>
  <si>
    <t>0.0256</t>
  </si>
  <si>
    <t>0.0978</t>
  </si>
  <si>
    <t>0.0991</t>
  </si>
  <si>
    <t>0.1608</t>
  </si>
  <si>
    <t>0.0953</t>
  </si>
  <si>
    <t>0.0251</t>
  </si>
  <si>
    <t>0.0153</t>
  </si>
  <si>
    <t>0.0208</t>
  </si>
  <si>
    <t>0.0155</t>
  </si>
  <si>
    <t>0.0213</t>
  </si>
  <si>
    <t>0.1460</t>
  </si>
  <si>
    <t>0.2154</t>
  </si>
  <si>
    <t>0.0189</t>
  </si>
  <si>
    <t>0.0292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</si>
</sst>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1" applyNumberFormat="0" applyFill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3" fontId="0" fillId="0" borderId="0" xfId="0" applyNumberFormat="1"/>
    <xf numFmtId="0" fontId="3" fillId="3" borderId="0" xfId="2"/>
    <xf numFmtId="0" fontId="2" fillId="4" borderId="0" xfId="3"/>
    <xf numFmtId="0" fontId="4" fillId="0" borderId="1" xfId="4"/>
    <xf numFmtId="0" fontId="1" fillId="5" borderId="0" xfId="5"/>
    <xf numFmtId="0" fontId="0" fillId="0" borderId="0" xfId="0" applyNumberFormat="1"/>
    <xf numFmtId="0" fontId="1" fillId="2" borderId="0" xfId="1" applyNumberFormat="1"/>
    <xf numFmtId="0" fontId="3" fillId="3" borderId="0" xfId="2" applyNumberFormat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ill="1" applyBorder="1"/>
  </cellXfs>
  <cellStyles count="6">
    <cellStyle name="20% - Énfasis6" xfId="3" builtinId="50"/>
    <cellStyle name="Bueno" xfId="2" builtinId="26"/>
    <cellStyle name="Énfasis5" xfId="5" builtinId="45"/>
    <cellStyle name="Énfasis6" xfId="1" builtinId="49"/>
    <cellStyle name="Normal" xfId="0" builtinId="0"/>
    <cellStyle name="Título 3" xfId="4" builtinId="18"/>
  </cellStyles>
  <dxfs count="3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6" xr16:uid="{BA989752-B0E4-4C8D-B4E7-0DCEC554CE69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7" xr16:uid="{682F078D-0F05-4494-AE44-222D3B89160C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8" xr16:uid="{4C3D0199-FA25-4367-BC7F-A86B75BB0D9E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9" xr16:uid="{3C55E7D9-A715-427F-B351-214647D2FA04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0" xr16:uid="{E70680CB-EE00-49BD-A45F-95D483F70771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1" xr16:uid="{C255F485-9BA5-4BE4-88B0-A83D1AD3BCAE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43" xr16:uid="{C698DF68-A7A6-4A6C-BEDA-D5EA5423FEB1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44" xr16:uid="{76A4BC4C-742A-4F96-9FFA-C06C694A20F5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1" xr16:uid="{43376D13-29D2-419B-8AD7-336CEBD4180C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2" xr16:uid="{8F0151F8-A73C-48AB-9A51-1C34BEFBA6D2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3" xr16:uid="{B7BEE248-286A-4407-BFA4-0C8A82EFB9B5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5" xr16:uid="{7CB108FB-D2E2-48A3-BAD3-AAFBB0D72C5A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2" xr16:uid="{4B11BCDD-C2F2-427C-B61D-728057B10F34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297883B4-298D-4F86-AD5B-4DBAB9E80811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4" xr16:uid="{71C545E0-0088-4A26-819D-4863E7978394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" xr16:uid="{89E03D5D-52D6-4E0D-9362-7EE2CB84955D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" xr16:uid="{FE714A07-9711-460E-AD57-53679BE947A9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32466208-DFAC-4E25-AEDF-6C47F4AC09DA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743E338B-6339-4941-87DD-4D311DE7EF51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427A1D11-C482-4841-9AAC-6E038365BC5B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" xr16:uid="{16859636-923B-4488-9007-99F620FB8B34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570BF2BA-A702-4FBB-8350-713EE8F18762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4" xr16:uid="{D8E47B9D-B612-41DF-9C93-129DC7EF24A0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" xr16:uid="{55C0FC2A-F1EE-4C94-8B66-84017AF59624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4" xr16:uid="{F264D74C-935F-4079-9848-08471A3A1D31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3" xr16:uid="{147676F7-361F-481D-9BD0-A3BB65D885E8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1" xr16:uid="{0762A4CD-1A59-4647-B106-D2E09EE4F0EA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0" xr16:uid="{66135314-363B-43C4-9F03-25841197AAC1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9" xr16:uid="{D9C73198-DC91-4B21-8B36-7C2248EE9B7A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8" xr16:uid="{03D86C7E-4F7D-4F99-96DE-ED7A5E63B1AD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7" xr16:uid="{8D71653C-FB77-4DCC-AB72-FAF0ED47529E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6" xr16:uid="{F4DDCED4-816A-42D9-BA5B-2F7CA47D048F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5" xr16:uid="{32964ACB-F4B7-4955-88F0-7C7D8050CF0D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3" xr16:uid="{6FE128CD-CC30-4D93-B7A7-A50776CC0583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54" xr16:uid="{3F69A062-BD35-4C58-B71C-56D512FDB7D0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5" xr16:uid="{30221BDF-D21C-4A37-8F21-B39D3ADCC667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6" xr16:uid="{E0C7D243-EB8C-440B-852E-2B6E832BE6F1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7" xr16:uid="{0C859A25-13B3-4B1C-91AB-9C5CAD0ACCEF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8" xr16:uid="{649B8FF1-57F6-4432-A189-3F21D5646860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9" xr16:uid="{04259620-6A40-4954-9AFC-7DCEA25B8F3F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0" xr16:uid="{F9036CA5-9263-427D-A52A-10470A9C49C5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1" xr16:uid="{817A0E7F-D829-4D48-85E3-E1DF81FDBBAF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52" xr16:uid="{85CBD8D5-7759-4EAB-A29C-63B641B01DBA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D642FF4C-22EF-481D-BA0A-C6A5BF4F4175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2" xr16:uid="{90965FD8-A7DF-4E41-85A7-38AF84AC6BBF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7" xr16:uid="{BB11D6CD-1296-4268-8241-A9A715C2A989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6" xr16:uid="{89861663-6E99-4DB2-8A0B-9AE3059CB85F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5" xr16:uid="{48F4E790-6562-4D15-A59C-877EBB888D52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4" xr16:uid="{2F69483F-BFF5-49DB-A66C-8A38D9565BF0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3" xr16:uid="{C322302C-5DCC-4365-A07A-6C73AEBA66B8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2" xr16:uid="{55B7557E-FCB8-4E1C-B218-2CB5E4A14C20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1" xr16:uid="{4DCDDD3C-C3ED-411F-A626-F14B17D40A1D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1" xr16:uid="{7F90A08F-0143-4CBF-8DB5-7345B6F888B2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0" xr16:uid="{3EC40443-F1F1-4252-A42C-59DC59C83803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9" xr16:uid="{5256113C-70C7-4E42-ADB8-0C31B5085C3C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6" xr16:uid="{CF9899D0-EF62-430E-B445-E74668EBE819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DE6EA4D-B381-44B0-B1DE-6B0B70DD96B4}" name="Num_clusters6926" displayName="Num_clusters6926" ref="A3:M15" tableType="queryTable" totalsRowShown="0">
  <autoFilter ref="A3:M15" xr:uid="{E87533C2-587D-40B5-900E-DC922EB812B9}"/>
  <tableColumns count="13">
    <tableColumn id="1" xr3:uid="{E33FEB26-E1E4-491A-9D45-D6E2045B1486}" uniqueName="1" name="Epsilon" queryTableFieldId="1" dataCellStyle="Énfasis6"/>
    <tableColumn id="2" xr3:uid="{DC583F67-6CE5-4456-B569-2E50708DB894}" uniqueName="2" name="gen_cos" queryTableFieldId="2" dataCellStyle="Normal"/>
    <tableColumn id="3" xr3:uid="{51C3ECF2-853D-430E-B59F-C0D51FB897F2}" uniqueName="3" name="gen_jac" queryTableFieldId="3" dataCellStyle="Normal"/>
    <tableColumn id="4" xr3:uid="{6F0A2937-6FE3-496E-BB45-F6FD32B8A347}" uniqueName="4" name="gen_dic" queryTableFieldId="4" dataCellStyle="Normal"/>
    <tableColumn id="5" xr3:uid="{B5557F39-32E1-4EB7-BBFE-B4B98DFCC7F8}" uniqueName="5" name="prot_cos" queryTableFieldId="5" dataCellStyle="Normal"/>
    <tableColumn id="6" xr3:uid="{B264EF6B-FD56-4938-9F9F-2FCBA0480EFB}" uniqueName="6" name="prot_jac" queryTableFieldId="6" dataCellStyle="Normal"/>
    <tableColumn id="7" xr3:uid="{91819616-D8C1-4030-8AC4-9CBA0E7B0A93}" uniqueName="7" name="prot_dic" queryTableFieldId="7" dataCellStyle="Normal"/>
    <tableColumn id="8" xr3:uid="{261EFE3C-BCDE-4FDC-B6F3-4EB380645E3B}" uniqueName="8" name="path_cos" queryTableFieldId="8" dataCellStyle="Normal"/>
    <tableColumn id="9" xr3:uid="{A1CFDD0F-A4E0-4909-ABE2-21EE274150BE}" uniqueName="9" name="path_jac" queryTableFieldId="9" dataCellStyle="Normal"/>
    <tableColumn id="10" xr3:uid="{E5159AEE-287B-4489-A731-2112E66D43F3}" uniqueName="10" name="path_dice" queryTableFieldId="10" dataCellStyle="Normal"/>
    <tableColumn id="11" xr3:uid="{2E412817-EA58-4E43-B89B-668A0B98FFF8}" uniqueName="11" name="ppi_cos" queryTableFieldId="11" dataCellStyle="Normal"/>
    <tableColumn id="12" xr3:uid="{3F2BDEB6-57E3-414E-B05D-356E290C52C6}" uniqueName="12" name="ppi_jac" queryTableFieldId="12" dataCellStyle="Normal"/>
    <tableColumn id="13" xr3:uid="{8D0C0105-3BEB-4354-A3EC-16D1EA63096E}" uniqueName="13" name="ppi_dice" queryTableFieldId="13" dataCellStyle="Normal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9F1162C-8418-43C7-899C-77D8BC325CF9}" name="Num_clusters6932743" displayName="Num_clusters6932743" ref="O3:AA15" tableType="queryTable" totalsRowShown="0">
  <autoFilter ref="O3:AA15" xr:uid="{BF4B3B04-7059-4A68-BBF2-97D6BAAFD567}"/>
  <tableColumns count="13">
    <tableColumn id="1" xr3:uid="{DE32CACA-DA52-4D3A-ACCF-133985032464}" uniqueName="1" name="Epsilon" queryTableFieldId="1" dataCellStyle="Énfasis6"/>
    <tableColumn id="2" xr3:uid="{10DF5E96-F761-482C-B4A9-4F5876A5087B}" uniqueName="2" name="gen_cos" queryTableFieldId="2" dataCellStyle="Normal"/>
    <tableColumn id="3" xr3:uid="{5A2CD3D0-5CD0-4F11-B65E-520F784A98AB}" uniqueName="3" name="gen_jac" queryTableFieldId="3" dataCellStyle="Normal"/>
    <tableColumn id="4" xr3:uid="{85B073EA-38AB-437F-87B0-6503FE563A7C}" uniqueName="4" name="gen_dic" queryTableFieldId="4" dataCellStyle="Normal"/>
    <tableColumn id="5" xr3:uid="{DF41D3A6-A5A9-4C4E-8185-1406A6D22D6A}" uniqueName="5" name="prot_cos" queryTableFieldId="5" dataCellStyle="Normal"/>
    <tableColumn id="6" xr3:uid="{781EE39A-2871-488A-B832-8ED758F0E456}" uniqueName="6" name="prot_jac" queryTableFieldId="6" dataCellStyle="Normal"/>
    <tableColumn id="7" xr3:uid="{7F1D3082-910F-4092-B56C-27F9C978BDD4}" uniqueName="7" name="prot_dic" queryTableFieldId="7" dataCellStyle="Normal"/>
    <tableColumn id="8" xr3:uid="{414CC8DA-5737-4F43-B6ED-E7B31415DB7C}" uniqueName="8" name="path_cos" queryTableFieldId="8" dataCellStyle="20% - Énfasis6"/>
    <tableColumn id="9" xr3:uid="{BF2014AB-5A5A-4CF2-8137-5C5859BF29BB}" uniqueName="9" name="path_jac" queryTableFieldId="9" dataCellStyle="Normal"/>
    <tableColumn id="10" xr3:uid="{89FE4B99-F4E6-4126-9CF4-2D190DACE64A}" uniqueName="10" name="path_dice" queryTableFieldId="10" dataCellStyle="Normal"/>
    <tableColumn id="11" xr3:uid="{1D246A33-78FD-4CFE-9F77-3B7E5A0D371E}" uniqueName="11" name="ppi_cos" queryTableFieldId="11" dataCellStyle="Normal"/>
    <tableColumn id="12" xr3:uid="{BD6EB214-149A-4118-B498-A372A12B8D22}" uniqueName="12" name="ppi_jac" queryTableFieldId="12" dataCellStyle="Normal"/>
    <tableColumn id="13" xr3:uid="{407A9EFF-8904-415E-BBCC-82D900A633FB}" uniqueName="13" name="ppi_dice" queryTableFieldId="13" dataCellStyle="Normal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F6BDD9D-9EB2-41F7-8B35-571C45F0B3AF}" name="Num_clusters6942844" displayName="Num_clusters6942844" ref="A20:M32" tableType="queryTable" totalsRowShown="0">
  <autoFilter ref="A20:M32" xr:uid="{41C52AEC-169B-4BC0-AFBC-0BEACAC8F9DF}"/>
  <tableColumns count="13">
    <tableColumn id="1" xr3:uid="{467066E2-B57B-44AE-9599-6F1FF5CA3EE1}" uniqueName="1" name="Epsilon" queryTableFieldId="1" dataCellStyle="Énfasis6"/>
    <tableColumn id="2" xr3:uid="{96900547-ED37-4850-A8DD-8949908323C4}" uniqueName="2" name="gen_cos" queryTableFieldId="2" dataCellStyle="Normal"/>
    <tableColumn id="3" xr3:uid="{F72497BC-AAF9-46B0-BD93-A5B76A451AFB}" uniqueName="3" name="gen_jac" queryTableFieldId="3" dataCellStyle="Normal"/>
    <tableColumn id="4" xr3:uid="{0EA3DA26-BB49-465E-BB21-300631C393E6}" uniqueName="4" name="gen_dic" queryTableFieldId="4" dataCellStyle="Normal"/>
    <tableColumn id="5" xr3:uid="{D95EA819-9FF6-417C-A05B-257FFA90DF53}" uniqueName="5" name="prot_cos" queryTableFieldId="5" dataCellStyle="Normal"/>
    <tableColumn id="6" xr3:uid="{696F5937-69D3-4019-A54E-0142E83775CF}" uniqueName="6" name="prot_jac" queryTableFieldId="6" dataCellStyle="Normal"/>
    <tableColumn id="7" xr3:uid="{7C4FAC68-6830-48EB-8261-2AA0A85F986B}" uniqueName="7" name="prot_dic" queryTableFieldId="7" dataCellStyle="Normal"/>
    <tableColumn id="8" xr3:uid="{473A1764-5987-4425-8279-41AA05FCB924}" uniqueName="8" name="path_cos" queryTableFieldId="8" dataCellStyle="Normal"/>
    <tableColumn id="9" xr3:uid="{72680741-AA2A-4148-BA0A-26D88D836BA2}" uniqueName="9" name="path_jac" queryTableFieldId="9" dataCellStyle="Normal"/>
    <tableColumn id="10" xr3:uid="{0F8A4F4D-CFB7-4571-BBE2-018EF3859F0E}" uniqueName="10" name="path_dice" queryTableFieldId="10" dataCellStyle="Normal"/>
    <tableColumn id="11" xr3:uid="{DA7175DA-C5B2-4C67-B10F-101E580423F0}" uniqueName="11" name="ppi_cos" queryTableFieldId="11" dataCellStyle="Normal"/>
    <tableColumn id="12" xr3:uid="{03F69E0B-5F74-4589-9C99-C75AF1F7FC19}" uniqueName="12" name="ppi_jac" queryTableFieldId="12" dataCellStyle="Normal"/>
    <tableColumn id="13" xr3:uid="{0AFBEE87-24D7-454E-8944-1E4F4612AE95}" uniqueName="13" name="ppi_dice" queryTableFieldId="13" dataCellStyle="Normal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3C8C048-BBB5-49B9-AD3F-272F5D70B1A9}" name="Num_clusters6952945" displayName="Num_clusters6952945" ref="O20:AA32" tableType="queryTable" totalsRowShown="0">
  <autoFilter ref="O20:AA32" xr:uid="{8EA2C5AC-8C86-4398-B0A3-278463F0586A}"/>
  <tableColumns count="13">
    <tableColumn id="1" xr3:uid="{DE7F3418-1188-424A-A102-8FCED25EAD0D}" uniqueName="1" name="Epsilon" queryTableFieldId="1" dataCellStyle="Énfasis6"/>
    <tableColumn id="2" xr3:uid="{50DC5DD0-A7E1-4A9C-8807-E8CD6BC373D5}" uniqueName="2" name="gen_cos" queryTableFieldId="2" dataCellStyle="Normal"/>
    <tableColumn id="3" xr3:uid="{907095F0-466D-4757-BE58-DEDC2410BACA}" uniqueName="3" name="gen_jac" queryTableFieldId="3" dataCellStyle="Normal"/>
    <tableColumn id="4" xr3:uid="{06D60409-D2E9-4E52-8A44-55A3431DCD9E}" uniqueName="4" name="gen_dic" queryTableFieldId="4" dataCellStyle="Normal"/>
    <tableColumn id="5" xr3:uid="{0A4A12BA-BFCD-4EE7-AF04-00BC33DC0915}" uniqueName="5" name="prot_cos" queryTableFieldId="5" dataCellStyle="Normal"/>
    <tableColumn id="6" xr3:uid="{26B59A55-446D-49A4-AC15-3EFD3A19E7B8}" uniqueName="6" name="prot_jac" queryTableFieldId="6" dataCellStyle="Normal"/>
    <tableColumn id="7" xr3:uid="{433929F2-9234-43B6-B7F7-2896821325C8}" uniqueName="7" name="prot_dic" queryTableFieldId="7" dataCellStyle="Normal"/>
    <tableColumn id="8" xr3:uid="{B8640641-7F5E-4BB6-A4F6-503332F2EC7B}" uniqueName="8" name="path_cos" queryTableFieldId="8" dataCellStyle="Normal"/>
    <tableColumn id="9" xr3:uid="{E1627D49-C9D5-4227-86B6-6F94D0F3DF41}" uniqueName="9" name="path_jac" queryTableFieldId="9" dataCellStyle="Normal"/>
    <tableColumn id="10" xr3:uid="{20A08A40-B4FA-4AE9-9C2C-CDEE21BEA7CE}" uniqueName="10" name="path_dice" queryTableFieldId="10" dataCellStyle="Normal"/>
    <tableColumn id="11" xr3:uid="{F4BE4A43-F360-445E-923A-487DBF457403}" uniqueName="11" name="ppi_cos" queryTableFieldId="11" dataCellStyle="Normal"/>
    <tableColumn id="12" xr3:uid="{5A64F24D-D6B5-4A6B-A972-722E8F89C4FA}" uniqueName="12" name="ppi_jac" queryTableFieldId="12" dataCellStyle="Normal"/>
    <tableColumn id="13" xr3:uid="{123B0D0E-5BB2-458D-881A-3E840091AC01}" uniqueName="13" name="ppi_dice" queryTableFieldId="13" dataCellStyle="Normal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C6D5FDE-4C07-459D-817C-287A8826B60A}" name="Num_clusters69463046" displayName="Num_clusters69463046" ref="A37:M49" tableType="queryTable" totalsRowShown="0">
  <autoFilter ref="A37:M49" xr:uid="{26BE17B1-4F62-43D7-84AE-A447E469D557}"/>
  <tableColumns count="13">
    <tableColumn id="1" xr3:uid="{560385F1-1CC0-4BB2-9F76-E7D1716545AA}" uniqueName="1" name="Epsilon" queryTableFieldId="1" dataCellStyle="Énfasis6"/>
    <tableColumn id="2" xr3:uid="{FAD71D18-3B46-48B4-B88D-0456183EB85A}" uniqueName="2" name="gen_cos" queryTableFieldId="2" dataCellStyle="Normal"/>
    <tableColumn id="3" xr3:uid="{C562EB68-C8CF-4371-98A2-7A46F4573F74}" uniqueName="3" name="gen_jac" queryTableFieldId="3" dataCellStyle="Normal"/>
    <tableColumn id="4" xr3:uid="{EB111E57-251B-472B-81CC-6114570EF0EA}" uniqueName="4" name="gen_dic" queryTableFieldId="4" dataCellStyle="Normal"/>
    <tableColumn id="5" xr3:uid="{91AAE87C-8ABF-42E9-AE19-F6602E0B0ED8}" uniqueName="5" name="prot_cos" queryTableFieldId="5" dataCellStyle="Normal"/>
    <tableColumn id="6" xr3:uid="{CB056CFA-3B27-4392-935D-76AF980ACA7E}" uniqueName="6" name="prot_jac" queryTableFieldId="6" dataCellStyle="Normal"/>
    <tableColumn id="7" xr3:uid="{FD0190DE-BA66-44D7-B8E1-89D95C0DA3C8}" uniqueName="7" name="prot_dic" queryTableFieldId="7" dataCellStyle="Normal"/>
    <tableColumn id="8" xr3:uid="{F19CFFEB-4412-494D-B493-65275A7C6EE7}" uniqueName="8" name="path_cos" queryTableFieldId="8" dataCellStyle="Normal"/>
    <tableColumn id="9" xr3:uid="{B4095BCF-C02C-47C0-9542-B2312DBCD664}" uniqueName="9" name="path_jac" queryTableFieldId="9" dataCellStyle="Normal"/>
    <tableColumn id="10" xr3:uid="{C7F8C0F1-8FDA-4B2B-A6C7-EDF49E3AFDF5}" uniqueName="10" name="path_dice" queryTableFieldId="10" dataCellStyle="Normal"/>
    <tableColumn id="11" xr3:uid="{E212B462-0125-4C28-AC14-4B4EB472F506}" uniqueName="11" name="ppi_cos" queryTableFieldId="11" dataCellStyle="Normal"/>
    <tableColumn id="12" xr3:uid="{F83DC944-DD97-48DF-98B9-3E3D21EE85D5}" uniqueName="12" name="ppi_jac" queryTableFieldId="12" dataCellStyle="Normal"/>
    <tableColumn id="13" xr3:uid="{CB2CAE5A-8DD0-478B-A81A-AB537C2E4B4D}" uniqueName="13" name="ppi_dice" queryTableFieldId="13" dataCellStyle="Normal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F0D8B1E-66B5-488A-B920-7CB6C3ED660A}" name="Num_clusters69473147" displayName="Num_clusters69473147" ref="O37:AA49" tableType="queryTable" totalsRowShown="0">
  <autoFilter ref="O37:AA49" xr:uid="{0C82294C-6588-4089-A8AE-FEBB304E8978}"/>
  <tableColumns count="13">
    <tableColumn id="1" xr3:uid="{DC8A12AA-7786-4D97-8888-88569C96C45E}" uniqueName="1" name="Epsilon" queryTableFieldId="1" dataCellStyle="Énfasis6"/>
    <tableColumn id="2" xr3:uid="{23AD7D5A-9F97-4544-AC0A-FE0B3068A85A}" uniqueName="2" name="gen_cos" queryTableFieldId="2" dataCellStyle="Normal"/>
    <tableColumn id="3" xr3:uid="{36A02826-2700-4AF7-9ECC-3E8DAB17C802}" uniqueName="3" name="gen_jac" queryTableFieldId="3" dataCellStyle="Normal"/>
    <tableColumn id="4" xr3:uid="{C44F1F5C-701D-44D9-B4AC-13D34492BCAE}" uniqueName="4" name="gen_dic" queryTableFieldId="4" dataCellStyle="Normal"/>
    <tableColumn id="5" xr3:uid="{650F7BF4-2B12-4EA5-8937-6208E37C7AF5}" uniqueName="5" name="prot_cos" queryTableFieldId="5" dataCellStyle="Normal"/>
    <tableColumn id="6" xr3:uid="{189BB111-7066-4C1C-B08C-B82D4C901952}" uniqueName="6" name="prot_jac" queryTableFieldId="6" dataCellStyle="Normal"/>
    <tableColumn id="7" xr3:uid="{28C59FF2-12A9-4163-8BD6-E632EB223906}" uniqueName="7" name="prot_dic" queryTableFieldId="7" dataCellStyle="Normal"/>
    <tableColumn id="8" xr3:uid="{8C26A8B1-4C27-469E-A450-FEB5C9519770}" uniqueName="8" name="path_cos" queryTableFieldId="8" dataCellStyle="Normal"/>
    <tableColumn id="9" xr3:uid="{848FD059-370B-474B-9568-043A8D82182F}" uniqueName="9" name="path_jac" queryTableFieldId="9" dataCellStyle="Normal"/>
    <tableColumn id="10" xr3:uid="{9FEB9FEF-69D4-472F-9D62-5B551074B1AA}" uniqueName="10" name="path_dice" queryTableFieldId="10" dataCellStyle="Normal"/>
    <tableColumn id="11" xr3:uid="{31D3A7C6-2CC4-49ED-91A7-9C590293EE77}" uniqueName="11" name="ppi_cos" queryTableFieldId="11" dataCellStyle="Normal"/>
    <tableColumn id="12" xr3:uid="{06439069-0CDD-45BF-858D-F7292EAD5FAD}" uniqueName="12" name="ppi_jac" queryTableFieldId="12" dataCellStyle="Normal"/>
    <tableColumn id="13" xr3:uid="{9F0C2102-D797-4A42-829E-1928A6FC46E4}" uniqueName="13" name="ppi_dice" queryTableFieldId="13" dataCellStyle="Normal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FBAECFA-F4F1-401A-A9B8-42B5EBBF0873}" name="Num_clusters694683248" displayName="Num_clusters694683248" ref="A54:M66" tableType="queryTable" totalsRowShown="0">
  <autoFilter ref="A54:M66" xr:uid="{17A88301-A603-42DB-8244-1EFC53E12084}"/>
  <tableColumns count="13">
    <tableColumn id="1" xr3:uid="{4776F79E-7B99-4CF2-91F9-AE5AD092852D}" uniqueName="1" name="Epsilon" queryTableFieldId="1" dataCellStyle="Énfasis6"/>
    <tableColumn id="2" xr3:uid="{EA2B88E9-1D08-4CC7-AC90-A76FF20FE678}" uniqueName="2" name="gen_cos" queryTableFieldId="2" dataCellStyle="Normal"/>
    <tableColumn id="3" xr3:uid="{2C14CEB7-974A-48CD-945C-AA5D37FB5DBD}" uniqueName="3" name="gen_jac" queryTableFieldId="3" dataCellStyle="Normal"/>
    <tableColumn id="4" xr3:uid="{4F3E5F7C-5DF6-43DB-A0EF-5F9BD590CE4F}" uniqueName="4" name="gen_dic" queryTableFieldId="4" dataCellStyle="Normal"/>
    <tableColumn id="5" xr3:uid="{3BE71A4C-E7E6-49FB-8017-0EF9B3BDDD0F}" uniqueName="5" name="prot_cos" queryTableFieldId="5" dataCellStyle="Normal"/>
    <tableColumn id="6" xr3:uid="{7F73AD94-8377-491F-AD0E-0460B1493CEB}" uniqueName="6" name="prot_jac" queryTableFieldId="6" dataCellStyle="Normal"/>
    <tableColumn id="7" xr3:uid="{17758716-4EE5-48CA-B0CD-D93A6039B66C}" uniqueName="7" name="prot_dic" queryTableFieldId="7" dataCellStyle="Normal"/>
    <tableColumn id="8" xr3:uid="{DF804839-C0A0-4E82-BCC2-1DB44291FF4D}" uniqueName="8" name="path_cos" queryTableFieldId="8" dataCellStyle="Normal"/>
    <tableColumn id="9" xr3:uid="{47E1F1C9-9FC6-4AB0-BF67-85F5DC192BDB}" uniqueName="9" name="path_jac" queryTableFieldId="9" dataCellStyle="Normal"/>
    <tableColumn id="10" xr3:uid="{DD1C7929-BF32-4F12-BC8E-10145F4B81FA}" uniqueName="10" name="path_dice" queryTableFieldId="10" dataCellStyle="Normal"/>
    <tableColumn id="11" xr3:uid="{3922AE48-F56E-40F9-BB0D-9BF50C39B4C3}" uniqueName="11" name="ppi_cos" queryTableFieldId="11" dataCellStyle="Normal"/>
    <tableColumn id="12" xr3:uid="{D1318AC5-6987-4F33-820D-93D5800AEB4F}" uniqueName="12" name="ppi_jac" queryTableFieldId="12" dataCellStyle="Normal"/>
    <tableColumn id="13" xr3:uid="{41AD5F41-902F-4B96-BB4F-2B165C028280}" uniqueName="13" name="ppi_dice" queryTableFieldId="13" dataCellStyle="Normal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5991098-6EF2-4306-ADAC-C2216F49CFBD}" name="Num_clusters694793349" displayName="Num_clusters694793349" ref="O54:AA66" tableType="queryTable" totalsRowShown="0">
  <autoFilter ref="O54:AA66" xr:uid="{833D6AD2-F77D-4343-8016-30E654FE80BF}"/>
  <tableColumns count="13">
    <tableColumn id="1" xr3:uid="{B09CC6BB-690A-41EF-A701-61E6BA3AA16D}" uniqueName="1" name="Epsilon" queryTableFieldId="1" dataCellStyle="Énfasis6"/>
    <tableColumn id="2" xr3:uid="{18D40057-E639-4F41-A5EE-87A3D0040E75}" uniqueName="2" name="gen_cos" queryTableFieldId="2" dataCellStyle="Normal"/>
    <tableColumn id="3" xr3:uid="{9683C135-C507-4115-8675-D2CF2F910C6D}" uniqueName="3" name="gen_jac" queryTableFieldId="3" dataCellStyle="Normal"/>
    <tableColumn id="4" xr3:uid="{7E3C21B5-C138-412A-A37C-01166C8CD747}" uniqueName="4" name="gen_dic" queryTableFieldId="4" dataCellStyle="Normal"/>
    <tableColumn id="5" xr3:uid="{118230D0-4142-4B8E-B3CA-17395A133CF9}" uniqueName="5" name="prot_cos" queryTableFieldId="5" dataCellStyle="Normal"/>
    <tableColumn id="6" xr3:uid="{121E840A-5E0E-4051-BC21-DE123537C2DC}" uniqueName="6" name="prot_jac" queryTableFieldId="6" dataCellStyle="Normal"/>
    <tableColumn id="7" xr3:uid="{D1AB96D9-5359-432E-9364-3C9A1F6B75F3}" uniqueName="7" name="prot_dic" queryTableFieldId="7" dataCellStyle="Normal"/>
    <tableColumn id="8" xr3:uid="{D7B77575-064A-42AE-B033-212A596687A3}" uniqueName="8" name="path_cos" queryTableFieldId="8" dataCellStyle="Normal"/>
    <tableColumn id="9" xr3:uid="{732CD9B6-3EC0-4B71-9DAA-50407D1708BA}" uniqueName="9" name="path_jac" queryTableFieldId="9" dataCellStyle="Normal"/>
    <tableColumn id="10" xr3:uid="{A4B8C930-93C3-4E57-B3C3-7B22BF6616E5}" uniqueName="10" name="path_dice" queryTableFieldId="10" dataCellStyle="Normal"/>
    <tableColumn id="11" xr3:uid="{890B6EEE-02C1-495B-839B-0CA8DCEEA25D}" uniqueName="11" name="ppi_cos" queryTableFieldId="11" dataCellStyle="Normal"/>
    <tableColumn id="12" xr3:uid="{E97CD298-C431-4E41-9408-FD55F9176D11}" uniqueName="12" name="ppi_jac" queryTableFieldId="12" dataCellStyle="Normal"/>
    <tableColumn id="13" xr3:uid="{6498A7FE-99F8-43B8-85FA-7C9339E37028}" uniqueName="13" name="ppi_dice" queryTableFieldId="13" dataCellStyle="Normal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BEF91-F828-430A-A94E-69D96778F76A}" name="Num_clusters69" displayName="Num_clusters69" ref="A3:M15" tableType="queryTable" totalsRowShown="0" headerRowDxfId="359" dataDxfId="358">
  <autoFilter ref="A3:M15" xr:uid="{92B78432-041B-4B3A-A093-C9F8AE7A7547}"/>
  <tableColumns count="13">
    <tableColumn id="1" xr3:uid="{47ACB322-DFF0-4FCF-BDDA-A4CF958F61A4}" uniqueName="1" name="Epsilon" queryTableFieldId="1" dataDxfId="357" dataCellStyle="Énfasis6"/>
    <tableColumn id="2" xr3:uid="{6D228773-8A60-4719-B3FA-2052A32B2E23}" uniqueName="2" name="gen_cos" queryTableFieldId="2" dataDxfId="356" dataCellStyle="Normal"/>
    <tableColumn id="3" xr3:uid="{07E43EE7-4B5D-4536-93D6-2467C2FC4A8A}" uniqueName="3" name="gen_jac" queryTableFieldId="3" dataDxfId="355" dataCellStyle="Normal"/>
    <tableColumn id="4" xr3:uid="{5B941ECD-B0FF-4FCF-8E03-E176C3E85DB1}" uniqueName="4" name="gen_dic" queryTableFieldId="4" dataDxfId="354" dataCellStyle="Normal"/>
    <tableColumn id="5" xr3:uid="{2C884C2D-639A-41A8-9951-95A613C3F110}" uniqueName="5" name="prot_cos" queryTableFieldId="5" dataDxfId="353" dataCellStyle="Normal"/>
    <tableColumn id="6" xr3:uid="{C542DA97-6B2C-4D0E-8B5A-9E6CBD2089AB}" uniqueName="6" name="prot_jac" queryTableFieldId="6" dataDxfId="352" dataCellStyle="Normal"/>
    <tableColumn id="7" xr3:uid="{FF806B8F-7AD9-4F2D-951E-8FD5A7810BA5}" uniqueName="7" name="prot_dic" queryTableFieldId="7" dataDxfId="351" dataCellStyle="Normal"/>
    <tableColumn id="8" xr3:uid="{4044C7E2-B3CE-4E89-90F1-9680E11457A2}" uniqueName="8" name="path_cos" queryTableFieldId="8" dataDxfId="350" dataCellStyle="Normal"/>
    <tableColumn id="9" xr3:uid="{CA6734F9-6CFD-44FA-9468-500E3A84ABC5}" uniqueName="9" name="path_jac" queryTableFieldId="9" dataDxfId="349" dataCellStyle="Normal"/>
    <tableColumn id="10" xr3:uid="{D2102D68-97A8-47F1-84CE-95DD01FAF57F}" uniqueName="10" name="path_dice" queryTableFieldId="10" dataDxfId="348" dataCellStyle="Normal"/>
    <tableColumn id="11" xr3:uid="{DF63C96B-5CD0-4821-842D-757866B6C768}" uniqueName="11" name="ppi_cos" queryTableFieldId="11" dataDxfId="347" dataCellStyle="Normal"/>
    <tableColumn id="12" xr3:uid="{33EEBBE1-9873-4F03-8AAC-4453A3846DEE}" uniqueName="12" name="ppi_jac" queryTableFieldId="12" dataDxfId="346" dataCellStyle="Normal"/>
    <tableColumn id="13" xr3:uid="{6155BE9A-04CD-491B-81B1-87E6B4082516}" uniqueName="13" name="ppi_dice" queryTableFieldId="13" dataDxfId="345" dataCellStyle="Normal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1D05D-59CE-4014-8F6B-1EF99721F292}" name="Num_clusters693" displayName="Num_clusters693" ref="O3:AA15" tableType="queryTable" totalsRowShown="0" headerRowDxfId="344" dataDxfId="343">
  <autoFilter ref="O3:AA15" xr:uid="{AB81827F-0576-4F16-ABB6-BFC974E6F105}"/>
  <tableColumns count="13">
    <tableColumn id="1" xr3:uid="{05F2C7BF-EE1B-40B5-B452-9FBF04F29D96}" uniqueName="1" name="Epsilon" queryTableFieldId="1" dataDxfId="342" dataCellStyle="Énfasis6"/>
    <tableColumn id="2" xr3:uid="{1C966CCF-4318-4091-826E-75B594323BF1}" uniqueName="2" name="gen_cos" queryTableFieldId="2" dataDxfId="341" dataCellStyle="Normal"/>
    <tableColumn id="3" xr3:uid="{84B80E7E-A826-424F-9227-A969781AF44A}" uniqueName="3" name="gen_jac" queryTableFieldId="3" dataDxfId="340" dataCellStyle="Normal"/>
    <tableColumn id="4" xr3:uid="{454C172E-CDB2-4AC9-98D7-F8447DD9B834}" uniqueName="4" name="gen_dic" queryTableFieldId="4" dataDxfId="339" dataCellStyle="Normal"/>
    <tableColumn id="5" xr3:uid="{A25B414A-3214-4CFD-9E1D-F65AA5717C45}" uniqueName="5" name="prot_cos" queryTableFieldId="5" dataDxfId="338" dataCellStyle="Normal"/>
    <tableColumn id="6" xr3:uid="{DA4E69E2-68F3-4461-9E75-380DE616EDBA}" uniqueName="6" name="prot_jac" queryTableFieldId="6" dataDxfId="337" dataCellStyle="Normal"/>
    <tableColumn id="7" xr3:uid="{68267E26-33E1-4BCB-B4C3-B3C556BA8F5D}" uniqueName="7" name="prot_dic" queryTableFieldId="7" dataDxfId="336" dataCellStyle="Normal"/>
    <tableColumn id="8" xr3:uid="{34B3AEA7-8769-4315-9783-E13827328668}" uniqueName="8" name="path_cos" queryTableFieldId="8" dataDxfId="335" dataCellStyle="Normal"/>
    <tableColumn id="9" xr3:uid="{AB2C9ED7-7B05-4382-AA66-68297F13BDD4}" uniqueName="9" name="path_jac" queryTableFieldId="9" dataDxfId="334" dataCellStyle="Normal"/>
    <tableColumn id="10" xr3:uid="{C17C9D9B-2ABE-459B-9217-E13BD2D0CE72}" uniqueName="10" name="path_dice" queryTableFieldId="10" dataDxfId="333" dataCellStyle="Normal"/>
    <tableColumn id="11" xr3:uid="{7F14F070-7CAE-40CF-BB04-53B2927C812C}" uniqueName="11" name="ppi_cos" queryTableFieldId="11" dataDxfId="332" dataCellStyle="Normal"/>
    <tableColumn id="12" xr3:uid="{8C6BAB23-3F1F-4B80-8C34-4D105F3760CA}" uniqueName="12" name="ppi_jac" queryTableFieldId="12" dataDxfId="331" dataCellStyle="Normal"/>
    <tableColumn id="13" xr3:uid="{AA94E169-A1B8-4BF8-B6FD-2B7E6A922654}" uniqueName="13" name="ppi_dice" queryTableFieldId="13" dataDxfId="330" dataCellStyle="Normal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9EDB50-C535-4400-A7FD-76799B0D3807}" name="Num_clusters694" displayName="Num_clusters694" ref="A20:M32" tableType="queryTable" totalsRowShown="0" headerRowDxfId="329" dataDxfId="328">
  <autoFilter ref="A20:M32" xr:uid="{15CE4546-1058-4644-BFAE-EC29FBD2B633}"/>
  <tableColumns count="13">
    <tableColumn id="1" xr3:uid="{B1CF0F6B-7539-41D9-A0C3-225D57B5243F}" uniqueName="1" name="Epsilon" queryTableFieldId="1" dataDxfId="327" dataCellStyle="Énfasis6"/>
    <tableColumn id="2" xr3:uid="{CBEFC4BF-11CB-40E8-A0D8-F001CCD43F6B}" uniqueName="2" name="gen_cos" queryTableFieldId="2" dataDxfId="326" dataCellStyle="Normal"/>
    <tableColumn id="3" xr3:uid="{A0172224-C888-477B-A97C-99670C0ED93C}" uniqueName="3" name="gen_jac" queryTableFieldId="3" dataDxfId="325" dataCellStyle="Normal"/>
    <tableColumn id="4" xr3:uid="{DB91D21C-33AE-44D6-96C9-CBDB29F30A96}" uniqueName="4" name="gen_dic" queryTableFieldId="4" dataDxfId="324" dataCellStyle="Normal"/>
    <tableColumn id="5" xr3:uid="{526072B4-895F-4A07-8EF0-F222FE651600}" uniqueName="5" name="prot_cos" queryTableFieldId="5" dataDxfId="323" dataCellStyle="Normal"/>
    <tableColumn id="6" xr3:uid="{56ECF2CB-679D-4B4B-AA8C-7D0A40E07581}" uniqueName="6" name="prot_jac" queryTableFieldId="6" dataDxfId="322" dataCellStyle="Normal"/>
    <tableColumn id="7" xr3:uid="{F179792F-C841-4C14-8E41-9CE5F0CCA3F4}" uniqueName="7" name="prot_dic" queryTableFieldId="7" dataDxfId="321" dataCellStyle="Normal"/>
    <tableColumn id="8" xr3:uid="{DC48438D-795C-447A-9DF1-A8C5E845CC4F}" uniqueName="8" name="path_cos" queryTableFieldId="8" dataDxfId="320" dataCellStyle="Normal"/>
    <tableColumn id="9" xr3:uid="{03A01E1F-A940-41A0-966C-8CDDCACEFF40}" uniqueName="9" name="path_jac" queryTableFieldId="9" dataDxfId="319" dataCellStyle="Normal"/>
    <tableColumn id="10" xr3:uid="{2F5E9E6A-5EE0-4A25-BFEF-A9381DF2A3BC}" uniqueName="10" name="path_dice" queryTableFieldId="10" dataDxfId="318" dataCellStyle="Normal"/>
    <tableColumn id="11" xr3:uid="{5CC30673-2874-4188-8468-7445C03541A4}" uniqueName="11" name="ppi_cos" queryTableFieldId="11" dataDxfId="317" dataCellStyle="Normal"/>
    <tableColumn id="12" xr3:uid="{3F78E7B1-F4CD-41ED-B0DB-B1D039C1D115}" uniqueName="12" name="ppi_jac" queryTableFieldId="12" dataDxfId="316" dataCellStyle="Normal"/>
    <tableColumn id="13" xr3:uid="{985FF101-191D-4D55-84EB-0C502EAD5A28}" uniqueName="13" name="ppi_dice" queryTableFieldId="13" dataDxfId="315" dataCellStyle="Normal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7B554BE-B502-4DE1-9ADF-3961E79E64AF}" name="Num_clusters69327" displayName="Num_clusters69327" ref="O3:AA15" tableType="queryTable" totalsRowShown="0">
  <autoFilter ref="O3:AA15" xr:uid="{CEAB569D-94C0-4CFE-AC39-7EC85E9B37E0}"/>
  <tableColumns count="13">
    <tableColumn id="1" xr3:uid="{CB694778-4AE9-44D4-9E0E-A380268CB35C}" uniqueName="1" name="Epsilon" queryTableFieldId="1" dataCellStyle="Énfasis6"/>
    <tableColumn id="2" xr3:uid="{C1D3A2BC-83D2-405D-934B-7AB6A2AEC136}" uniqueName="2" name="gen_cos" queryTableFieldId="2" dataCellStyle="Normal"/>
    <tableColumn id="3" xr3:uid="{AF6656AE-BA0B-4425-8C4D-13685A4AFA31}" uniqueName="3" name="gen_jac" queryTableFieldId="3" dataCellStyle="Normal"/>
    <tableColumn id="4" xr3:uid="{94627322-356F-4B6C-91D4-165BA5748708}" uniqueName="4" name="gen_dic" queryTableFieldId="4" dataCellStyle="Normal"/>
    <tableColumn id="5" xr3:uid="{D1698F2F-CAF8-42D7-947C-3A1FD4E5E597}" uniqueName="5" name="prot_cos" queryTableFieldId="5" dataCellStyle="Normal"/>
    <tableColumn id="6" xr3:uid="{67353B7A-52FC-4F9F-A37D-1F91D8FBF6A3}" uniqueName="6" name="prot_jac" queryTableFieldId="6" dataCellStyle="Normal"/>
    <tableColumn id="7" xr3:uid="{3817913B-1106-4108-9E5A-907FF6A7F532}" uniqueName="7" name="prot_dic" queryTableFieldId="7" dataCellStyle="Normal"/>
    <tableColumn id="8" xr3:uid="{F1EC6F96-0C0B-45FE-97B9-3BC609DEAFA6}" uniqueName="8" name="path_cos" queryTableFieldId="8" dataCellStyle="Normal"/>
    <tableColumn id="9" xr3:uid="{2B6E1255-ACC2-4D5E-934E-BD6B396B8946}" uniqueName="9" name="path_jac" queryTableFieldId="9" dataCellStyle="Normal"/>
    <tableColumn id="10" xr3:uid="{5B99A4F9-25E7-4BB9-9D6B-F7CDDAC8B453}" uniqueName="10" name="path_dice" queryTableFieldId="10" dataCellStyle="Normal"/>
    <tableColumn id="11" xr3:uid="{E458D4D0-FBC3-485F-BAE6-9CB09B6D40CF}" uniqueName="11" name="ppi_cos" queryTableFieldId="11" dataCellStyle="Normal"/>
    <tableColumn id="12" xr3:uid="{957B2982-E0AA-4255-82FD-27F917FDBE78}" uniqueName="12" name="ppi_jac" queryTableFieldId="12" dataCellStyle="Normal"/>
    <tableColumn id="13" xr3:uid="{A1A56944-2C8B-4453-9736-E1C0698F8D8E}" uniqueName="13" name="ppi_dice" queryTableFieldId="13" dataCellStyle="Normal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D876AF-889B-4049-8F5F-6B731F20CA84}" name="Num_clusters695" displayName="Num_clusters695" ref="O20:AA32" tableType="queryTable" totalsRowShown="0" headerRowDxfId="314" dataDxfId="313">
  <autoFilter ref="O20:AA32" xr:uid="{67D793D1-CFBB-410A-A89B-FB248573B637}"/>
  <tableColumns count="13">
    <tableColumn id="1" xr3:uid="{9728A930-9D8F-434B-A68B-C63B455C11A4}" uniqueName="1" name="Epsilon" queryTableFieldId="1" dataDxfId="312" dataCellStyle="Énfasis6"/>
    <tableColumn id="2" xr3:uid="{C1CE0424-26BB-4C1B-B146-BB2EC67C3477}" uniqueName="2" name="gen_cos" queryTableFieldId="2" dataDxfId="311" dataCellStyle="Normal"/>
    <tableColumn id="3" xr3:uid="{9A97461A-1816-4D15-B829-756520CD3072}" uniqueName="3" name="gen_jac" queryTableFieldId="3" dataDxfId="310" dataCellStyle="Normal"/>
    <tableColumn id="4" xr3:uid="{11E9C278-E772-45C8-A10B-3E87B7D23224}" uniqueName="4" name="gen_dic" queryTableFieldId="4" dataDxfId="309" dataCellStyle="Normal"/>
    <tableColumn id="5" xr3:uid="{6BB5EBAE-B353-478E-9442-787519795AC5}" uniqueName="5" name="prot_cos" queryTableFieldId="5" dataDxfId="308" dataCellStyle="Normal"/>
    <tableColumn id="6" xr3:uid="{DB803E33-DCBE-44F8-A8B5-99A9FD50E2BD}" uniqueName="6" name="prot_jac" queryTableFieldId="6" dataDxfId="307" dataCellStyle="Normal"/>
    <tableColumn id="7" xr3:uid="{58FC26DB-6008-4A1E-A3DA-5F2BEF0F7466}" uniqueName="7" name="prot_dic" queryTableFieldId="7" dataDxfId="306" dataCellStyle="Normal"/>
    <tableColumn id="8" xr3:uid="{417944C7-A030-493E-B3E2-D9234BBC43B0}" uniqueName="8" name="path_cos" queryTableFieldId="8" dataDxfId="305" dataCellStyle="Normal"/>
    <tableColumn id="9" xr3:uid="{4F662BB8-A3D4-4999-8C7A-D17BBB4CCD28}" uniqueName="9" name="path_jac" queryTableFieldId="9" dataDxfId="304" dataCellStyle="Normal"/>
    <tableColumn id="10" xr3:uid="{67E72FF4-7239-4FBB-9AAB-20040906E7D3}" uniqueName="10" name="path_dice" queryTableFieldId="10" dataDxfId="303" dataCellStyle="Normal"/>
    <tableColumn id="11" xr3:uid="{E1C6DED8-6CF9-41E2-B975-7FF0FB6CEE48}" uniqueName="11" name="ppi_cos" queryTableFieldId="11" dataDxfId="302" dataCellStyle="Normal"/>
    <tableColumn id="12" xr3:uid="{5CDCF758-DD76-4D4E-BE0D-08A6C5AF286D}" uniqueName="12" name="ppi_jac" queryTableFieldId="12" dataDxfId="301" dataCellStyle="Normal"/>
    <tableColumn id="13" xr3:uid="{6C337A93-B33B-47D7-8921-57EABC402B0B}" uniqueName="13" name="ppi_dice" queryTableFieldId="13" dataDxfId="300" dataCellStyle="Normal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0C8C4C-41EA-4B80-8DAA-ACDE8A8C4451}" name="Num_clusters6946" displayName="Num_clusters6946" ref="A37:M49" tableType="queryTable" totalsRowShown="0" headerRowDxfId="299" dataDxfId="298">
  <autoFilter ref="A37:M49" xr:uid="{F189B094-83B5-4829-805D-A0C4E0A4D696}"/>
  <tableColumns count="13">
    <tableColumn id="1" xr3:uid="{44801970-D529-4EB0-AE0C-7BCE5271CAE7}" uniqueName="1" name="Epsilon" queryTableFieldId="1" dataDxfId="297" dataCellStyle="Énfasis6"/>
    <tableColumn id="2" xr3:uid="{C72724CB-9282-470D-8233-6D0483493C6F}" uniqueName="2" name="gen_cos" queryTableFieldId="2" dataDxfId="296" dataCellStyle="Normal"/>
    <tableColumn id="3" xr3:uid="{5724260E-D910-4CF6-B9A2-37F69CDA7639}" uniqueName="3" name="gen_jac" queryTableFieldId="3" dataDxfId="295" dataCellStyle="Normal"/>
    <tableColumn id="4" xr3:uid="{B71DF444-7613-4DCD-A587-9186C2628C86}" uniqueName="4" name="gen_dic" queryTableFieldId="4" dataDxfId="294" dataCellStyle="Normal"/>
    <tableColumn id="5" xr3:uid="{87BDF923-04B6-44F2-82B4-534FC8CB91CB}" uniqueName="5" name="prot_cos" queryTableFieldId="5" dataDxfId="293" dataCellStyle="Normal"/>
    <tableColumn id="6" xr3:uid="{E5EE5842-3746-45C4-B610-8E11DA721BCA}" uniqueName="6" name="prot_jac" queryTableFieldId="6" dataDxfId="292" dataCellStyle="Normal"/>
    <tableColumn id="7" xr3:uid="{CD7FCE4F-D81F-4E3C-80D5-0DA59D7E2C23}" uniqueName="7" name="prot_dic" queryTableFieldId="7" dataDxfId="291" dataCellStyle="Normal"/>
    <tableColumn id="8" xr3:uid="{6AD5DD95-1012-4519-A7DA-19C50DB41FF2}" uniqueName="8" name="path_cos" queryTableFieldId="8" dataDxfId="290" dataCellStyle="Normal"/>
    <tableColumn id="9" xr3:uid="{F3EF1EFC-57B3-4678-877A-1F9975BC1D51}" uniqueName="9" name="path_jac" queryTableFieldId="9" dataDxfId="289" dataCellStyle="Normal"/>
    <tableColumn id="10" xr3:uid="{2E1DC7AE-20FF-420F-AF1D-997FDBEFCF6D}" uniqueName="10" name="path_dice" queryTableFieldId="10" dataDxfId="288" dataCellStyle="Normal"/>
    <tableColumn id="11" xr3:uid="{3B8DD4F5-8493-4F3F-9393-F14463CF5593}" uniqueName="11" name="ppi_cos" queryTableFieldId="11" dataDxfId="287" dataCellStyle="Normal"/>
    <tableColumn id="12" xr3:uid="{477B74A9-8CB1-4324-A0DC-5704691F50C7}" uniqueName="12" name="ppi_jac" queryTableFieldId="12" dataDxfId="286" dataCellStyle="Normal"/>
    <tableColumn id="13" xr3:uid="{AFEF7A0C-C131-4A45-814A-511D9978601D}" uniqueName="13" name="ppi_dice" queryTableFieldId="13" dataDxfId="285" dataCellStyle="Normal"/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863F86-D66E-4D9B-873D-551271FDCD99}" name="Num_clusters6947" displayName="Num_clusters6947" ref="O37:AA49" tableType="queryTable" totalsRowShown="0" headerRowDxfId="284" dataDxfId="283">
  <autoFilter ref="O37:AA49" xr:uid="{A52D7CA5-212B-4C9F-A7C9-DBF47DF106CB}"/>
  <tableColumns count="13">
    <tableColumn id="1" xr3:uid="{1A28D1E3-063F-4B3B-BC13-9F0D83552F14}" uniqueName="1" name="Epsilon" queryTableFieldId="1" dataDxfId="282" dataCellStyle="Énfasis6"/>
    <tableColumn id="2" xr3:uid="{9053034D-86F9-4F6E-940C-3A2C794E76F8}" uniqueName="2" name="gen_cos" queryTableFieldId="2" dataDxfId="281" dataCellStyle="Normal"/>
    <tableColumn id="3" xr3:uid="{0555300A-DDA9-4E7C-978C-FF275AC61F48}" uniqueName="3" name="gen_jac" queryTableFieldId="3" dataDxfId="280" dataCellStyle="Normal"/>
    <tableColumn id="4" xr3:uid="{4A08928E-0A5A-43BB-91A4-7E7136B15B30}" uniqueName="4" name="gen_dic" queryTableFieldId="4" dataDxfId="279" dataCellStyle="Normal"/>
    <tableColumn id="5" xr3:uid="{AC784695-0F9D-4DF0-8C2D-17711A04C3D6}" uniqueName="5" name="prot_cos" queryTableFieldId="5" dataDxfId="278" dataCellStyle="Normal"/>
    <tableColumn id="6" xr3:uid="{64D61EAB-2186-4E86-BA65-9BC6B2FD3BEC}" uniqueName="6" name="prot_jac" queryTableFieldId="6" dataDxfId="277" dataCellStyle="Normal"/>
    <tableColumn id="7" xr3:uid="{CE1B89FE-395A-4933-8870-BC2EE715AA7C}" uniqueName="7" name="prot_dic" queryTableFieldId="7" dataDxfId="276" dataCellStyle="Normal"/>
    <tableColumn id="8" xr3:uid="{FD767B02-4E54-42E6-9F73-C0D6C67F98B7}" uniqueName="8" name="path_cos" queryTableFieldId="8" dataDxfId="275" dataCellStyle="Normal"/>
    <tableColumn id="9" xr3:uid="{B3B769B8-9748-4A82-84E4-1C18DC5359E5}" uniqueName="9" name="path_jac" queryTableFieldId="9" dataDxfId="274" dataCellStyle="Normal"/>
    <tableColumn id="10" xr3:uid="{5C9A261E-490D-457B-8E00-47063FBF0DE1}" uniqueName="10" name="path_dice" queryTableFieldId="10" dataDxfId="273" dataCellStyle="Normal"/>
    <tableColumn id="11" xr3:uid="{1C31ABA2-CBE0-4B17-B03F-0E3F49345F15}" uniqueName="11" name="ppi_cos" queryTableFieldId="11" dataDxfId="272" dataCellStyle="Normal"/>
    <tableColumn id="12" xr3:uid="{334AF655-BE64-4849-9727-27EAFE038D44}" uniqueName="12" name="ppi_jac" queryTableFieldId="12" dataDxfId="271" dataCellStyle="Normal"/>
    <tableColumn id="13" xr3:uid="{E5C64357-2A3C-4389-A102-023FAB6672B2}" uniqueName="13" name="ppi_dice" queryTableFieldId="13" dataDxfId="270" dataCellStyle="Normal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A6891D-871D-4831-8C46-35844E5FE2AD}" name="Num_clusters69468" displayName="Num_clusters69468" ref="A54:M66" tableType="queryTable" totalsRowShown="0" headerRowDxfId="269" dataDxfId="268">
  <autoFilter ref="A54:M66" xr:uid="{8977E6A3-C532-473C-9684-0142979D72DC}"/>
  <tableColumns count="13">
    <tableColumn id="1" xr3:uid="{4F421682-DF0C-4843-868B-418194A940C5}" uniqueName="1" name="Epsilon" queryTableFieldId="1" dataDxfId="267" dataCellStyle="Énfasis6"/>
    <tableColumn id="2" xr3:uid="{27BB7B23-7705-429F-B7FF-89E3C138811E}" uniqueName="2" name="gen_cos" queryTableFieldId="2" dataDxfId="266" dataCellStyle="Normal"/>
    <tableColumn id="3" xr3:uid="{F12D14CB-F820-4924-B3AC-05E298A7ADED}" uniqueName="3" name="gen_jac" queryTableFieldId="3" dataDxfId="265" dataCellStyle="Normal"/>
    <tableColumn id="4" xr3:uid="{AEAEF60E-39C5-4417-B6C7-02481DB000EB}" uniqueName="4" name="gen_dic" queryTableFieldId="4" dataDxfId="264" dataCellStyle="Normal"/>
    <tableColumn id="5" xr3:uid="{8D7109ED-464F-4CFD-8E9F-07BF02C82FDA}" uniqueName="5" name="prot_cos" queryTableFieldId="5" dataDxfId="263" dataCellStyle="Normal"/>
    <tableColumn id="6" xr3:uid="{7B677A40-7A59-418C-A664-0D447B0AFD84}" uniqueName="6" name="prot_jac" queryTableFieldId="6" dataDxfId="262" dataCellStyle="Normal"/>
    <tableColumn id="7" xr3:uid="{37BBD6A7-E720-42A1-82DA-ED1ED137978C}" uniqueName="7" name="prot_dic" queryTableFieldId="7" dataDxfId="261" dataCellStyle="Normal"/>
    <tableColumn id="8" xr3:uid="{7058C87D-FFDF-4A5B-B1B0-6C90FAA11459}" uniqueName="8" name="path_cos" queryTableFieldId="8" dataDxfId="260" dataCellStyle="Normal"/>
    <tableColumn id="9" xr3:uid="{D443FBC4-2B2E-4AFE-B409-FAB8E3012129}" uniqueName="9" name="path_jac" queryTableFieldId="9" dataDxfId="259" dataCellStyle="Normal"/>
    <tableColumn id="10" xr3:uid="{6559692C-2A57-4F12-B8D1-21715D498210}" uniqueName="10" name="path_dice" queryTableFieldId="10" dataDxfId="258" dataCellStyle="Normal"/>
    <tableColumn id="11" xr3:uid="{626BCDB1-0541-4913-999A-0BBE1D99F8F7}" uniqueName="11" name="ppi_cos" queryTableFieldId="11" dataDxfId="257" dataCellStyle="Normal"/>
    <tableColumn id="12" xr3:uid="{161C64BB-4128-4D63-A0E5-C742916A2ECA}" uniqueName="12" name="ppi_jac" queryTableFieldId="12" dataDxfId="256" dataCellStyle="Normal"/>
    <tableColumn id="13" xr3:uid="{53831F01-F88F-4F38-8B27-EE445FCBC87E}" uniqueName="13" name="ppi_dice" queryTableFieldId="13" dataDxfId="255" dataCellStyle="Normal"/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41EFDE-4080-4284-926E-1ACB8F903A81}" name="Num_clusters69479" displayName="Num_clusters69479" ref="O54:AA66" tableType="queryTable" totalsRowShown="0" headerRowDxfId="254" dataDxfId="253">
  <autoFilter ref="O54:AA66" xr:uid="{6C1A2CDE-1755-4340-86D6-AF6AC11B7523}"/>
  <tableColumns count="13">
    <tableColumn id="1" xr3:uid="{8AC460CC-09FB-4401-AD72-69102BDF25B2}" uniqueName="1" name="Epsilon" queryTableFieldId="1" dataDxfId="252" dataCellStyle="Énfasis6"/>
    <tableColumn id="2" xr3:uid="{DAC80DE1-F47D-4C6B-B833-48D3B9866BE1}" uniqueName="2" name="gen_cos" queryTableFieldId="2" dataDxfId="251" dataCellStyle="Normal"/>
    <tableColumn id="3" xr3:uid="{1B6351A1-8FFF-4155-BDE3-5B6809E85619}" uniqueName="3" name="gen_jac" queryTableFieldId="3" dataDxfId="250" dataCellStyle="Normal"/>
    <tableColumn id="4" xr3:uid="{80F969B2-C5C1-4524-9EA7-EE39296A5AFF}" uniqueName="4" name="gen_dic" queryTableFieldId="4" dataDxfId="249" dataCellStyle="Normal"/>
    <tableColumn id="5" xr3:uid="{9C57CA7F-1B07-4A86-8E65-6BEB7C80889D}" uniqueName="5" name="prot_cos" queryTableFieldId="5" dataDxfId="248" dataCellStyle="Normal"/>
    <tableColumn id="6" xr3:uid="{B8582448-8B21-4E8A-A195-11549A1CBB56}" uniqueName="6" name="prot_jac" queryTableFieldId="6" dataDxfId="247" dataCellStyle="Normal"/>
    <tableColumn id="7" xr3:uid="{06791B3B-6F59-4CFD-B786-71211B0E1AAD}" uniqueName="7" name="prot_dic" queryTableFieldId="7" dataDxfId="246" dataCellStyle="Normal"/>
    <tableColumn id="8" xr3:uid="{B7ACB4DB-34D7-4F40-87D0-DFFB199EFE84}" uniqueName="8" name="path_cos" queryTableFieldId="8" dataDxfId="245" dataCellStyle="Normal"/>
    <tableColumn id="9" xr3:uid="{37BE3726-3002-4FEF-9EFD-16BA78A70FF5}" uniqueName="9" name="path_jac" queryTableFieldId="9" dataDxfId="244" dataCellStyle="Normal"/>
    <tableColumn id="10" xr3:uid="{1F44DBC0-F167-41E8-97A8-2F43415DB34D}" uniqueName="10" name="path_dice" queryTableFieldId="10" dataDxfId="243" dataCellStyle="Normal"/>
    <tableColumn id="11" xr3:uid="{15D2FC01-9E43-4DBA-97FB-FC3990313B84}" uniqueName="11" name="ppi_cos" queryTableFieldId="11" dataDxfId="242" dataCellStyle="Normal"/>
    <tableColumn id="12" xr3:uid="{7E6D1D01-97FD-4C92-9D8F-1E6C91E782FF}" uniqueName="12" name="ppi_jac" queryTableFieldId="12" dataDxfId="241" dataCellStyle="Normal"/>
    <tableColumn id="13" xr3:uid="{A413501B-71DD-4CB5-B336-ED8727905627}" uniqueName="13" name="ppi_dice" queryTableFieldId="13" dataDxfId="240" dataCellStyle="Normal"/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1E7740-C88E-4171-8E8A-0C50C6F985C6}" name="Num_clusters6910" displayName="Num_clusters6910" ref="A3:M15" tableType="queryTable" totalsRowShown="0" headerRowDxfId="239" dataDxfId="238">
  <autoFilter ref="A3:M15" xr:uid="{94C43B10-025D-4016-B900-6DD07CF21231}"/>
  <tableColumns count="13">
    <tableColumn id="1" xr3:uid="{AEB49661-5B5B-4CC1-B5DB-E875F1D2A96E}" uniqueName="1" name="Epsilon" queryTableFieldId="1" dataDxfId="237" dataCellStyle="Énfasis6"/>
    <tableColumn id="2" xr3:uid="{417A46B7-C67C-4B1E-9CD5-F7717244DA67}" uniqueName="2" name="gen_cos" queryTableFieldId="2" dataDxfId="236" dataCellStyle="Normal"/>
    <tableColumn id="3" xr3:uid="{7B21F7BE-8FA4-4938-B729-35CD5C300E54}" uniqueName="3" name="gen_jac" queryTableFieldId="3" dataDxfId="235" dataCellStyle="Normal"/>
    <tableColumn id="4" xr3:uid="{63B09D87-E1DE-43AB-9CE1-53AFA9A744C7}" uniqueName="4" name="gen_dic" queryTableFieldId="4" dataDxfId="234" dataCellStyle="Normal"/>
    <tableColumn id="5" xr3:uid="{1C775C4B-6D0F-450A-874D-69F2E02582C5}" uniqueName="5" name="prot_cos" queryTableFieldId="5" dataDxfId="233" dataCellStyle="Normal"/>
    <tableColumn id="6" xr3:uid="{B62F0338-5908-42C9-A85C-EF66AB7E3AA7}" uniqueName="6" name="prot_jac" queryTableFieldId="6" dataDxfId="232" dataCellStyle="Normal"/>
    <tableColumn id="7" xr3:uid="{193062C7-F925-4265-902E-B169AC80DCE2}" uniqueName="7" name="prot_dic" queryTableFieldId="7" dataDxfId="231" dataCellStyle="Normal"/>
    <tableColumn id="8" xr3:uid="{D1517C4E-5192-43B8-AB86-20A6CFE45B3F}" uniqueName="8" name="path_cos" queryTableFieldId="8" dataDxfId="230" dataCellStyle="Normal"/>
    <tableColumn id="9" xr3:uid="{F80DFFED-4432-4864-9485-EFE7F897AF3D}" uniqueName="9" name="path_jac" queryTableFieldId="9" dataDxfId="229" dataCellStyle="Normal"/>
    <tableColumn id="10" xr3:uid="{965F0982-E7F3-4BC7-9A11-3FC6EC45C494}" uniqueName="10" name="path_dice" queryTableFieldId="10" dataDxfId="228" dataCellStyle="Normal"/>
    <tableColumn id="11" xr3:uid="{E150E33B-4CCE-4674-81F0-E500127F9046}" uniqueName="11" name="ppi_cos" queryTableFieldId="11" dataDxfId="227" dataCellStyle="Normal"/>
    <tableColumn id="12" xr3:uid="{164AC8DF-FF75-4ADC-8F19-7BCFA1BC636E}" uniqueName="12" name="ppi_jac" queryTableFieldId="12" dataDxfId="226" dataCellStyle="Normal"/>
    <tableColumn id="13" xr3:uid="{8B6656B8-3586-4AD5-A783-43EBAD7FDA3B}" uniqueName="13" name="ppi_dice" queryTableFieldId="13" dataDxfId="225" dataCellStyle="Normal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E42BA5-2908-4E6C-B094-2D83971BA43F}" name="Num_clusters69311" displayName="Num_clusters69311" ref="O3:AA15" tableType="queryTable" totalsRowShown="0" headerRowDxfId="224" dataDxfId="223">
  <autoFilter ref="O3:AA15" xr:uid="{9FC63976-4F0E-4E4C-9E30-C924BB102732}"/>
  <tableColumns count="13">
    <tableColumn id="1" xr3:uid="{C7FBA1E1-B0E4-42EE-83E2-ACE787340620}" uniqueName="1" name="Epsilon" queryTableFieldId="1" dataDxfId="222" dataCellStyle="Énfasis6"/>
    <tableColumn id="2" xr3:uid="{7EA0C862-98B7-4C2E-A652-CC71AD557E83}" uniqueName="2" name="gen_cos" queryTableFieldId="2" dataDxfId="221" dataCellStyle="Normal"/>
    <tableColumn id="3" xr3:uid="{55C9A8DC-2816-4C7E-B8B6-45012C1FC546}" uniqueName="3" name="gen_jac" queryTableFieldId="3" dataDxfId="220" dataCellStyle="Normal"/>
    <tableColumn id="4" xr3:uid="{32E5D5B4-065A-44E7-BD38-758834480C29}" uniqueName="4" name="gen_dic" queryTableFieldId="4" dataDxfId="219" dataCellStyle="Normal"/>
    <tableColumn id="5" xr3:uid="{70E12F5C-98D3-4FCC-A95E-B506948D0C51}" uniqueName="5" name="prot_cos" queryTableFieldId="5" dataDxfId="218" dataCellStyle="Normal"/>
    <tableColumn id="6" xr3:uid="{E024F813-A060-4494-9F44-F5484AF4CD93}" uniqueName="6" name="prot_jac" queryTableFieldId="6" dataDxfId="217" dataCellStyle="Normal"/>
    <tableColumn id="7" xr3:uid="{44A9B27B-6BA4-4915-8D47-4F7F6E9D1D4D}" uniqueName="7" name="prot_dic" queryTableFieldId="7" dataDxfId="216" dataCellStyle="Normal"/>
    <tableColumn id="8" xr3:uid="{E4FADA67-E553-4318-8D7A-742A714B88B8}" uniqueName="8" name="path_cos" queryTableFieldId="8" dataDxfId="215" dataCellStyle="Normal"/>
    <tableColumn id="9" xr3:uid="{E5F3A3DB-CC3B-4544-A63B-EFD316A07163}" uniqueName="9" name="path_jac" queryTableFieldId="9" dataDxfId="214" dataCellStyle="Normal"/>
    <tableColumn id="10" xr3:uid="{E895B9D5-B521-4A2C-A092-E4BD96DDC3C7}" uniqueName="10" name="path_dice" queryTableFieldId="10" dataDxfId="213" dataCellStyle="Normal"/>
    <tableColumn id="11" xr3:uid="{50EDDE55-2751-43BF-89BC-1589237F011D}" uniqueName="11" name="ppi_cos" queryTableFieldId="11" dataDxfId="212" dataCellStyle="Normal"/>
    <tableColumn id="12" xr3:uid="{E56E700A-8718-4C0D-B378-AB9175C52230}" uniqueName="12" name="ppi_jac" queryTableFieldId="12" dataDxfId="211" dataCellStyle="Normal"/>
    <tableColumn id="13" xr3:uid="{542EA087-7C2C-4B57-8828-A2861C608769}" uniqueName="13" name="ppi_dice" queryTableFieldId="13" dataDxfId="210" dataCellStyle="Normal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CDB93E-984E-474C-85BB-418272623181}" name="Num_clusters69412" displayName="Num_clusters69412" ref="A20:M32" tableType="queryTable" totalsRowShown="0" headerRowDxfId="209" dataDxfId="208">
  <autoFilter ref="A20:M32" xr:uid="{897453AB-CBDC-49C8-AB89-37B4BEFE0637}"/>
  <tableColumns count="13">
    <tableColumn id="1" xr3:uid="{5C465C15-735E-4493-8E8F-52C3E64C3036}" uniqueName="1" name="Epsilon" queryTableFieldId="1" dataDxfId="207" dataCellStyle="Énfasis6"/>
    <tableColumn id="2" xr3:uid="{4C5801CF-76C2-44F9-9415-0255E8519E9E}" uniqueName="2" name="gen_cos" queryTableFieldId="2" dataDxfId="206" dataCellStyle="Normal"/>
    <tableColumn id="3" xr3:uid="{15A5ED1D-0C39-42C1-89FB-898CA7DB7071}" uniqueName="3" name="gen_jac" queryTableFieldId="3" dataDxfId="205" dataCellStyle="Normal"/>
    <tableColumn id="4" xr3:uid="{9E572A09-3F99-4490-B444-78639FBDFCB1}" uniqueName="4" name="gen_dic" queryTableFieldId="4" dataDxfId="204" dataCellStyle="Normal"/>
    <tableColumn id="5" xr3:uid="{6BC85C2B-9CB9-4BAA-80E3-86539F4E91D2}" uniqueName="5" name="prot_cos" queryTableFieldId="5" dataDxfId="203" dataCellStyle="Normal"/>
    <tableColumn id="6" xr3:uid="{B5F64280-2E4F-4CBD-8A03-44BDD117317E}" uniqueName="6" name="prot_jac" queryTableFieldId="6" dataDxfId="202" dataCellStyle="Normal"/>
    <tableColumn id="7" xr3:uid="{B9EFDDCE-04D9-4B9A-A1CB-C197DABCAB81}" uniqueName="7" name="prot_dic" queryTableFieldId="7" dataDxfId="201" dataCellStyle="Normal"/>
    <tableColumn id="8" xr3:uid="{54F0607B-195C-4506-BFB5-A2FFBBDE02CF}" uniqueName="8" name="path_cos" queryTableFieldId="8" dataDxfId="200" dataCellStyle="Normal"/>
    <tableColumn id="9" xr3:uid="{EEB34B9E-E265-4E52-BEFD-881296E9F046}" uniqueName="9" name="path_jac" queryTableFieldId="9" dataDxfId="199" dataCellStyle="Normal"/>
    <tableColumn id="10" xr3:uid="{D256C4E9-F58D-4126-9605-5B3261E7F47E}" uniqueName="10" name="path_dice" queryTableFieldId="10" dataDxfId="198" dataCellStyle="Normal"/>
    <tableColumn id="11" xr3:uid="{E12E2103-D174-490B-9E5B-8A40309ED62D}" uniqueName="11" name="ppi_cos" queryTableFieldId="11" dataDxfId="197" dataCellStyle="Normal"/>
    <tableColumn id="12" xr3:uid="{4C039DD9-7D0D-4D00-B9C5-5C21B4369141}" uniqueName="12" name="ppi_jac" queryTableFieldId="12" dataDxfId="196" dataCellStyle="Normal"/>
    <tableColumn id="13" xr3:uid="{1217D182-BB5B-4FFB-B6E2-2AFC87035D4B}" uniqueName="13" name="ppi_dice" queryTableFieldId="13" dataDxfId="195" dataCellStyle="Normal"/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50FDD-FFC4-4358-B6ED-8CC5924A4511}" name="Num_clusters69513" displayName="Num_clusters69513" ref="O20:AA32" tableType="queryTable" totalsRowShown="0" headerRowDxfId="194" dataDxfId="193">
  <autoFilter ref="O20:AA32" xr:uid="{5B5FECF6-4AA5-4F48-A66B-DC98F81E8C1D}"/>
  <tableColumns count="13">
    <tableColumn id="1" xr3:uid="{E1C0B1D0-1E55-47AA-AF8D-CE6D5CDEAB4D}" uniqueName="1" name="Epsilon" queryTableFieldId="1" dataDxfId="192" dataCellStyle="Énfasis6"/>
    <tableColumn id="2" xr3:uid="{A7722A8C-7411-4030-B081-D0E79FC4BF5F}" uniqueName="2" name="gen_cos" queryTableFieldId="2" dataDxfId="191" dataCellStyle="Normal"/>
    <tableColumn id="3" xr3:uid="{8C4C6EA0-171A-48DB-8C06-0827ACD230FF}" uniqueName="3" name="gen_jac" queryTableFieldId="3" dataDxfId="190" dataCellStyle="Normal"/>
    <tableColumn id="4" xr3:uid="{C7D00058-C566-43FA-ACAB-8A1FD6370E15}" uniqueName="4" name="gen_dic" queryTableFieldId="4" dataDxfId="189" dataCellStyle="Normal"/>
    <tableColumn id="5" xr3:uid="{5A31C08C-728B-405B-ACBA-A285FCB38B2E}" uniqueName="5" name="prot_cos" queryTableFieldId="5" dataDxfId="188" dataCellStyle="Normal"/>
    <tableColumn id="6" xr3:uid="{45AA410E-3B10-4933-8711-FD7D7CCB839B}" uniqueName="6" name="prot_jac" queryTableFieldId="6" dataDxfId="187" dataCellStyle="Normal"/>
    <tableColumn id="7" xr3:uid="{94318772-FC11-4708-BA45-876F9CEFF10B}" uniqueName="7" name="prot_dic" queryTableFieldId="7" dataDxfId="186" dataCellStyle="Normal"/>
    <tableColumn id="8" xr3:uid="{9476C5F5-E020-40F0-9ADA-A047268F3FDD}" uniqueName="8" name="path_cos" queryTableFieldId="8" dataDxfId="185" dataCellStyle="Normal"/>
    <tableColumn id="9" xr3:uid="{686D58D9-421A-4C84-9E61-33748E7C7EF1}" uniqueName="9" name="path_jac" queryTableFieldId="9" dataDxfId="184" dataCellStyle="Normal"/>
    <tableColumn id="10" xr3:uid="{358968CC-5760-4396-80D9-BEDB7C79FC4E}" uniqueName="10" name="path_dice" queryTableFieldId="10" dataDxfId="183" dataCellStyle="Normal"/>
    <tableColumn id="11" xr3:uid="{F690358D-4D65-405C-A6D7-7232343E4E7E}" uniqueName="11" name="ppi_cos" queryTableFieldId="11" dataDxfId="182" dataCellStyle="Normal"/>
    <tableColumn id="12" xr3:uid="{BC97F344-AF8B-4C38-A100-C161CC6F5E94}" uniqueName="12" name="ppi_jac" queryTableFieldId="12" dataDxfId="181" dataCellStyle="Normal"/>
    <tableColumn id="13" xr3:uid="{BEF6D5B6-71C3-414F-806C-CCB295FDC59A}" uniqueName="13" name="ppi_dice" queryTableFieldId="13" dataDxfId="180" dataCellStyle="Normal"/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DEAE1E-B5A7-4725-80ED-0519CD956466}" name="Num_clusters694614" displayName="Num_clusters694614" ref="A37:M49" tableType="queryTable" totalsRowShown="0" headerRowDxfId="179" dataDxfId="178">
  <autoFilter ref="A37:M49" xr:uid="{41BD14D1-C948-4185-9F9A-97A54625F2CB}"/>
  <tableColumns count="13">
    <tableColumn id="1" xr3:uid="{868C7489-18BA-4D2E-AFDE-D8441C863869}" uniqueName="1" name="Epsilon" queryTableFieldId="1" dataDxfId="177" dataCellStyle="Énfasis6"/>
    <tableColumn id="2" xr3:uid="{BCC421F8-6D7B-47FE-A737-90FB3598773D}" uniqueName="2" name="gen_cos" queryTableFieldId="2" dataDxfId="176" dataCellStyle="Normal"/>
    <tableColumn id="3" xr3:uid="{57362775-C03B-4F48-87F2-8F4D768D8007}" uniqueName="3" name="gen_jac" queryTableFieldId="3" dataDxfId="175" dataCellStyle="Normal"/>
    <tableColumn id="4" xr3:uid="{8A83BF2E-B5E1-4C9A-9562-1719DF2EC2F1}" uniqueName="4" name="gen_dic" queryTableFieldId="4" dataDxfId="174" dataCellStyle="Normal"/>
    <tableColumn id="5" xr3:uid="{186B4813-72DC-4D1A-B288-BC1E243D6CEA}" uniqueName="5" name="prot_cos" queryTableFieldId="5" dataDxfId="173" dataCellStyle="Normal"/>
    <tableColumn id="6" xr3:uid="{DACCC73B-FCC7-476A-BFEA-12120D0F2E11}" uniqueName="6" name="prot_jac" queryTableFieldId="6" dataDxfId="172" dataCellStyle="Normal"/>
    <tableColumn id="7" xr3:uid="{9E9733EC-1700-4EAB-AA87-F6C34E7BCC1B}" uniqueName="7" name="prot_dic" queryTableFieldId="7" dataDxfId="171" dataCellStyle="Normal"/>
    <tableColumn id="8" xr3:uid="{51D3487F-0995-439B-99D4-6F98E0A30C8F}" uniqueName="8" name="path_cos" queryTableFieldId="8" dataDxfId="170" dataCellStyle="Normal"/>
    <tableColumn id="9" xr3:uid="{5E4877DA-62FC-4745-9E40-03A23C916CA3}" uniqueName="9" name="path_jac" queryTableFieldId="9" dataDxfId="169" dataCellStyle="Normal"/>
    <tableColumn id="10" xr3:uid="{1CF7C479-90F3-4232-8CB4-31A441A69464}" uniqueName="10" name="path_dice" queryTableFieldId="10" dataDxfId="168" dataCellStyle="Normal"/>
    <tableColumn id="11" xr3:uid="{6A65D2D8-9D32-4950-9992-42F6F43062A4}" uniqueName="11" name="ppi_cos" queryTableFieldId="11" dataDxfId="167" dataCellStyle="Normal"/>
    <tableColumn id="12" xr3:uid="{2FF1E677-EAA9-430A-9516-B4024AE86EC9}" uniqueName="12" name="ppi_jac" queryTableFieldId="12" dataDxfId="166" dataCellStyle="Normal"/>
    <tableColumn id="13" xr3:uid="{6C3841E6-F709-453D-AA22-654BA26A0C15}" uniqueName="13" name="ppi_dice" queryTableFieldId="13" dataDxfId="165" dataCellStyle="Normal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BA89432-C1E6-4728-8FD9-F0BF2A06AD1F}" name="Num_clusters69428" displayName="Num_clusters69428" ref="A20:M32" tableType="queryTable" totalsRowShown="0">
  <autoFilter ref="A20:M32" xr:uid="{5C1F5475-1C09-4DF7-BE3A-EF7F65C0DD34}"/>
  <tableColumns count="13">
    <tableColumn id="1" xr3:uid="{938A88A0-BCAA-48C2-8B85-C17C45ED0768}" uniqueName="1" name="Epsilon" queryTableFieldId="1" dataCellStyle="Énfasis6"/>
    <tableColumn id="2" xr3:uid="{6C2FC193-CA70-4FB3-B85C-D58FB377C30C}" uniqueName="2" name="gen_cos" queryTableFieldId="2" dataCellStyle="Normal"/>
    <tableColumn id="3" xr3:uid="{4D84FC74-C75E-4E17-8526-05B235A23FB2}" uniqueName="3" name="gen_jac" queryTableFieldId="3" dataCellStyle="Normal"/>
    <tableColumn id="4" xr3:uid="{DE99C98E-331A-4BB4-8D60-79366E2522B6}" uniqueName="4" name="gen_dic" queryTableFieldId="4" dataCellStyle="Normal"/>
    <tableColumn id="5" xr3:uid="{3177E8FA-9377-42F9-9B19-7DD86F5BD2C0}" uniqueName="5" name="prot_cos" queryTableFieldId="5" dataCellStyle="Normal"/>
    <tableColumn id="6" xr3:uid="{D642DE21-E48E-4217-984A-ACED6435534B}" uniqueName="6" name="prot_jac" queryTableFieldId="6" dataCellStyle="Normal"/>
    <tableColumn id="7" xr3:uid="{60D48650-E019-445C-A107-BEE3214851A5}" uniqueName="7" name="prot_dic" queryTableFieldId="7" dataCellStyle="Normal"/>
    <tableColumn id="8" xr3:uid="{9088889E-7FDA-40BF-9DEB-2E42BED3C53F}" uniqueName="8" name="path_cos" queryTableFieldId="8" dataCellStyle="Normal"/>
    <tableColumn id="9" xr3:uid="{42C7EB72-2398-4893-9867-8FAC6167A34B}" uniqueName="9" name="path_jac" queryTableFieldId="9" dataCellStyle="Normal"/>
    <tableColumn id="10" xr3:uid="{CEAB1529-BEE8-418E-BEF8-BC38F82B6A3B}" uniqueName="10" name="path_dice" queryTableFieldId="10" dataCellStyle="Normal"/>
    <tableColumn id="11" xr3:uid="{F9A18076-F994-466A-B75E-BDBFDC2EADFF}" uniqueName="11" name="ppi_cos" queryTableFieldId="11" dataCellStyle="Normal"/>
    <tableColumn id="12" xr3:uid="{55E5AA8A-0ECE-4EAA-A5FA-CF9DD4962CEC}" uniqueName="12" name="ppi_jac" queryTableFieldId="12" dataCellStyle="Normal"/>
    <tableColumn id="13" xr3:uid="{F6C9A336-C3B7-4C6F-9A58-7BCBCB1A2DC3}" uniqueName="13" name="ppi_dice" queryTableFieldId="13" dataCellStyle="Normal"/>
  </tableColumns>
  <tableStyleInfo name="TableStyleLight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0360EC-D624-4D06-BDB6-ADF318A5B0F9}" name="Num_clusters694715" displayName="Num_clusters694715" ref="O37:AA49" tableType="queryTable" totalsRowShown="0" headerRowDxfId="164" dataDxfId="163">
  <autoFilter ref="O37:AA49" xr:uid="{678FD5A0-DC63-484F-B680-D4ACBA0B3A76}"/>
  <tableColumns count="13">
    <tableColumn id="1" xr3:uid="{5B0E50C4-DECE-44EE-9E48-F28026473797}" uniqueName="1" name="Epsilon" queryTableFieldId="1" dataDxfId="162" dataCellStyle="Énfasis6"/>
    <tableColumn id="2" xr3:uid="{8ED6FDCF-623D-43C8-9766-0E9C4B2A49EF}" uniqueName="2" name="gen_cos" queryTableFieldId="2" dataDxfId="161" dataCellStyle="Normal"/>
    <tableColumn id="3" xr3:uid="{AA5DD2F5-3022-45B8-AAAC-5EC8C38E8786}" uniqueName="3" name="gen_jac" queryTableFieldId="3" dataDxfId="160" dataCellStyle="Normal"/>
    <tableColumn id="4" xr3:uid="{3F263B4E-C451-4CAC-A9C5-F106C08CB6B0}" uniqueName="4" name="gen_dic" queryTableFieldId="4" dataDxfId="159" dataCellStyle="Normal"/>
    <tableColumn id="5" xr3:uid="{67C17334-E224-4C48-8C71-B7896A72C266}" uniqueName="5" name="prot_cos" queryTableFieldId="5" dataDxfId="158" dataCellStyle="Normal"/>
    <tableColumn id="6" xr3:uid="{DFB89F0F-476F-4FEF-8F42-AE5F7BC704AD}" uniqueName="6" name="prot_jac" queryTableFieldId="6" dataDxfId="157" dataCellStyle="Normal"/>
    <tableColumn id="7" xr3:uid="{F14578B0-4B8E-41D8-957E-5742D5BC32D7}" uniqueName="7" name="prot_dic" queryTableFieldId="7" dataDxfId="156" dataCellStyle="Normal"/>
    <tableColumn id="8" xr3:uid="{5F0F0249-AD15-4BE9-B745-768D12945496}" uniqueName="8" name="path_cos" queryTableFieldId="8" dataDxfId="155" dataCellStyle="Normal"/>
    <tableColumn id="9" xr3:uid="{346A5EE7-30B0-48E4-A430-18FAFBB19CCB}" uniqueName="9" name="path_jac" queryTableFieldId="9" dataDxfId="154" dataCellStyle="Normal"/>
    <tableColumn id="10" xr3:uid="{D1803D77-B539-4D12-8C5F-BCC9695FB885}" uniqueName="10" name="path_dice" queryTableFieldId="10" dataDxfId="153" dataCellStyle="Normal"/>
    <tableColumn id="11" xr3:uid="{36AA9547-6F51-48E5-AD41-FE39D859136F}" uniqueName="11" name="ppi_cos" queryTableFieldId="11" dataDxfId="152" dataCellStyle="Normal"/>
    <tableColumn id="12" xr3:uid="{606DE791-6719-4410-84C4-6C7BBE16C70E}" uniqueName="12" name="ppi_jac" queryTableFieldId="12" dataDxfId="151" dataCellStyle="Normal"/>
    <tableColumn id="13" xr3:uid="{1010969B-F7CA-4009-AFEE-5B00C7C97219}" uniqueName="13" name="ppi_dice" queryTableFieldId="13" dataDxfId="150" dataCellStyle="Normal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BE1B40C-BD97-4DE3-AF7D-E7A90C59FCAC}" name="Num_clusters6946816" displayName="Num_clusters6946816" ref="A54:M66" tableType="queryTable" totalsRowShown="0" headerRowDxfId="149" dataDxfId="148">
  <autoFilter ref="A54:M66" xr:uid="{BBA08426-CB55-4B57-8CC6-348767909680}"/>
  <tableColumns count="13">
    <tableColumn id="1" xr3:uid="{0CD26834-5966-4257-BF71-C41B22D87654}" uniqueName="1" name="Epsilon" queryTableFieldId="1" dataDxfId="147" dataCellStyle="Énfasis6"/>
    <tableColumn id="2" xr3:uid="{EDCE6615-115F-4F8D-B5EF-88E22CEE58C6}" uniqueName="2" name="gen_cos" queryTableFieldId="2" dataDxfId="146" dataCellStyle="Normal"/>
    <tableColumn id="3" xr3:uid="{6309E153-6AD8-4E2A-95CF-5B13E959D68C}" uniqueName="3" name="gen_jac" queryTableFieldId="3" dataDxfId="145" dataCellStyle="Normal"/>
    <tableColumn id="4" xr3:uid="{4A2704F1-9A73-49EE-AD5E-D899A11AB95B}" uniqueName="4" name="gen_dic" queryTableFieldId="4" dataDxfId="144" dataCellStyle="Normal"/>
    <tableColumn id="5" xr3:uid="{D38AD9F8-5A67-4743-A101-EC2DB25C0A10}" uniqueName="5" name="prot_cos" queryTableFieldId="5" dataDxfId="143" dataCellStyle="Normal"/>
    <tableColumn id="6" xr3:uid="{06F12730-79D4-455E-8CC0-068A6D10508A}" uniqueName="6" name="prot_jac" queryTableFieldId="6" dataDxfId="142" dataCellStyle="Normal"/>
    <tableColumn id="7" xr3:uid="{B69205A7-1834-411E-AD7F-C159DBEDB7CB}" uniqueName="7" name="prot_dic" queryTableFieldId="7" dataDxfId="141" dataCellStyle="Normal"/>
    <tableColumn id="8" xr3:uid="{7ABC1E31-CC40-469E-9AC5-455F82E72820}" uniqueName="8" name="path_cos" queryTableFieldId="8" dataDxfId="140" dataCellStyle="Normal"/>
    <tableColumn id="9" xr3:uid="{48E1A177-45C1-45D8-835D-913AFB9C460C}" uniqueName="9" name="path_jac" queryTableFieldId="9" dataDxfId="139" dataCellStyle="Normal"/>
    <tableColumn id="10" xr3:uid="{A038E0E3-126C-4FE8-AFD0-ECE51BAA2A14}" uniqueName="10" name="path_dice" queryTableFieldId="10" dataDxfId="138" dataCellStyle="Normal"/>
    <tableColumn id="11" xr3:uid="{FBEF2F1D-7FFE-444A-AF36-95F6BEC475BF}" uniqueName="11" name="ppi_cos" queryTableFieldId="11" dataDxfId="137" dataCellStyle="Normal"/>
    <tableColumn id="12" xr3:uid="{6773C80A-0343-418E-8ED3-2C954AF9A9CF}" uniqueName="12" name="ppi_jac" queryTableFieldId="12" dataDxfId="136" dataCellStyle="Normal"/>
    <tableColumn id="13" xr3:uid="{E4EB79F2-0B59-435A-B83C-D305C5AE516A}" uniqueName="13" name="ppi_dice" queryTableFieldId="13" dataDxfId="135" dataCellStyle="Normal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7419419-8796-45BB-8DB9-67129703750A}" name="Num_clusters6947917" displayName="Num_clusters6947917" ref="O54:AA66" tableType="queryTable" totalsRowShown="0" headerRowDxfId="134" dataDxfId="133">
  <autoFilter ref="O54:AA66" xr:uid="{58447EE5-79E4-4539-A759-DAC9233632D2}"/>
  <tableColumns count="13">
    <tableColumn id="1" xr3:uid="{71357A35-4AB6-4A33-B76B-34254C0562D2}" uniqueName="1" name="Epsilon" queryTableFieldId="1" dataDxfId="132" dataCellStyle="Énfasis6"/>
    <tableColumn id="2" xr3:uid="{9AFA6066-850F-4F3B-B159-F16581EFB7EC}" uniqueName="2" name="gen_cos" queryTableFieldId="2" dataDxfId="131" dataCellStyle="Normal"/>
    <tableColumn id="3" xr3:uid="{6A5ADDB0-B48E-4CE5-8498-931CED591011}" uniqueName="3" name="gen_jac" queryTableFieldId="3" dataDxfId="130" dataCellStyle="Normal"/>
    <tableColumn id="4" xr3:uid="{1BBF6A93-65EF-43B7-B6F4-1E6EA1D76E55}" uniqueName="4" name="gen_dic" queryTableFieldId="4" dataDxfId="129" dataCellStyle="Normal"/>
    <tableColumn id="5" xr3:uid="{4CF1E1E5-B83D-4A61-83FD-5833CA082F3D}" uniqueName="5" name="prot_cos" queryTableFieldId="5" dataDxfId="128" dataCellStyle="Normal"/>
    <tableColumn id="6" xr3:uid="{93A8F2AD-EBF0-40E3-ACE1-E7BC4C4E6594}" uniqueName="6" name="prot_jac" queryTableFieldId="6" dataDxfId="127" dataCellStyle="Normal"/>
    <tableColumn id="7" xr3:uid="{F6DBABCA-9A45-4A46-AD74-3BE79E710DF9}" uniqueName="7" name="prot_dic" queryTableFieldId="7" dataDxfId="126" dataCellStyle="Normal"/>
    <tableColumn id="8" xr3:uid="{5A8ED5D9-460C-4BEE-800D-220264F42EAD}" uniqueName="8" name="path_cos" queryTableFieldId="8" dataDxfId="125" dataCellStyle="Normal"/>
    <tableColumn id="9" xr3:uid="{0829D085-182B-4A3B-B72E-3629FDA0F469}" uniqueName="9" name="path_jac" queryTableFieldId="9" dataDxfId="124" dataCellStyle="Normal"/>
    <tableColumn id="10" xr3:uid="{E01E680B-2A48-49BD-AD4E-1D4D14E752E8}" uniqueName="10" name="path_dice" queryTableFieldId="10" dataDxfId="123" dataCellStyle="Normal"/>
    <tableColumn id="11" xr3:uid="{1BA2168A-89BA-410D-B7EF-7BE1A65E9542}" uniqueName="11" name="ppi_cos" queryTableFieldId="11" dataDxfId="122" dataCellStyle="Normal"/>
    <tableColumn id="12" xr3:uid="{26AA43CB-2899-4129-91E8-E194F5D8D7C5}" uniqueName="12" name="ppi_jac" queryTableFieldId="12" dataDxfId="121" dataCellStyle="Normal"/>
    <tableColumn id="13" xr3:uid="{91368AFE-A8A2-4EA7-9C55-5BA78634267F}" uniqueName="13" name="ppi_dice" queryTableFieldId="13" dataDxfId="120" dataCellStyle="Normal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A4FEBEC-71DF-4FA1-9C9A-CD533F221614}" name="Num_clusters691834" displayName="Num_clusters691834" ref="A3:M15" tableType="queryTable" totalsRowShown="0" headerRowDxfId="119" dataDxfId="118">
  <autoFilter ref="A3:M15" xr:uid="{09EDC678-3C6D-4732-B57E-7C6ED8A97391}"/>
  <tableColumns count="13">
    <tableColumn id="1" xr3:uid="{67EB0B35-A7FD-4724-BB12-79ECBDAE616B}" uniqueName="1" name="Epsilon" queryTableFieldId="1" dataDxfId="117" dataCellStyle="Énfasis6"/>
    <tableColumn id="2" xr3:uid="{BE3A427A-9A9F-4065-92A7-8428ABBEA608}" uniqueName="2" name="gen_cos" queryTableFieldId="2" dataDxfId="116" dataCellStyle="Normal"/>
    <tableColumn id="3" xr3:uid="{6AE7D743-8357-4C70-BD4C-DEBAD5CC10C3}" uniqueName="3" name="gen_jac" queryTableFieldId="3" dataDxfId="115" dataCellStyle="Normal"/>
    <tableColumn id="4" xr3:uid="{F3339BB4-F4B1-438C-978B-92938BFD636C}" uniqueName="4" name="gen_dic" queryTableFieldId="4" dataDxfId="114" dataCellStyle="Normal"/>
    <tableColumn id="5" xr3:uid="{C21BF271-31B8-4F5E-A464-2437E7049FD1}" uniqueName="5" name="prot_cos" queryTableFieldId="5" dataDxfId="113" dataCellStyle="Normal"/>
    <tableColumn id="6" xr3:uid="{275B09AC-6D0C-49ED-AF9C-8969CA7CB93E}" uniqueName="6" name="prot_jac" queryTableFieldId="6" dataDxfId="112" dataCellStyle="Normal"/>
    <tableColumn id="7" xr3:uid="{E156F651-A3A8-4CCF-B182-4BB772663AD3}" uniqueName="7" name="prot_dic" queryTableFieldId="7" dataDxfId="111" dataCellStyle="Normal"/>
    <tableColumn id="8" xr3:uid="{3A65A1C4-4FBC-4ECF-8C61-AC76B2819AA7}" uniqueName="8" name="path_cos" queryTableFieldId="8" dataDxfId="110" dataCellStyle="Normal"/>
    <tableColumn id="9" xr3:uid="{50EB3149-924D-4A20-BDAD-DE544A564846}" uniqueName="9" name="path_jac" queryTableFieldId="9" dataDxfId="109" dataCellStyle="Normal"/>
    <tableColumn id="10" xr3:uid="{9274DE31-61A4-4C3A-A634-199CF7962E8A}" uniqueName="10" name="path_dice" queryTableFieldId="10" dataDxfId="108" dataCellStyle="Normal"/>
    <tableColumn id="11" xr3:uid="{15C2297B-1FFC-4503-BCBB-EF290C7D989E}" uniqueName="11" name="ppi_cos" queryTableFieldId="11" dataDxfId="107" dataCellStyle="Normal"/>
    <tableColumn id="12" xr3:uid="{4263AA9B-D644-4969-B5F7-3BE185873370}" uniqueName="12" name="ppi_jac" queryTableFieldId="12" dataDxfId="106" dataCellStyle="Normal"/>
    <tableColumn id="13" xr3:uid="{2E661C35-1DF7-41E5-AB0A-F3B2F0A908EB}" uniqueName="13" name="ppi_dice" queryTableFieldId="13" dataDxfId="105" dataCellStyle="Normal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7ED7F8E-2C26-49B7-B141-D93A7FE6A5B6}" name="Num_clusters6931935" displayName="Num_clusters6931935" ref="O3:AA15" tableType="queryTable" totalsRowShown="0" headerRowDxfId="104" dataDxfId="103">
  <autoFilter ref="O3:AA15" xr:uid="{EB1B6481-F6AB-4768-874C-1DB6D3F68214}"/>
  <tableColumns count="13">
    <tableColumn id="1" xr3:uid="{DA59502E-868C-42AB-B9AA-F22875D86979}" uniqueName="1" name="Epsilon" queryTableFieldId="1" dataDxfId="102" dataCellStyle="Énfasis6"/>
    <tableColumn id="2" xr3:uid="{D34BC794-EDEB-4B7F-AD11-1136672F6CDA}" uniqueName="2" name="gen_cos" queryTableFieldId="2" dataDxfId="101" dataCellStyle="Normal"/>
    <tableColumn id="3" xr3:uid="{7571174F-05C1-4F8C-985C-2FC191966A3D}" uniqueName="3" name="gen_jac" queryTableFieldId="3" dataDxfId="100" dataCellStyle="Normal"/>
    <tableColumn id="4" xr3:uid="{B50B7977-4B0A-4C56-BC67-91D52519E734}" uniqueName="4" name="gen_dic" queryTableFieldId="4" dataDxfId="99" dataCellStyle="Normal"/>
    <tableColumn id="5" xr3:uid="{F85E1CD9-E0D8-4D4F-8F18-A3D4C24ABE7E}" uniqueName="5" name="prot_cos" queryTableFieldId="5" dataDxfId="98" dataCellStyle="Normal"/>
    <tableColumn id="6" xr3:uid="{F84EDA37-4CE2-43A3-BB85-17F6465485AC}" uniqueName="6" name="prot_jac" queryTableFieldId="6" dataDxfId="97" dataCellStyle="Normal"/>
    <tableColumn id="7" xr3:uid="{46F3B5F6-A451-4B7F-919D-FB45EB154FE5}" uniqueName="7" name="prot_dic" queryTableFieldId="7" dataDxfId="96" dataCellStyle="Normal"/>
    <tableColumn id="8" xr3:uid="{24BE5EA5-680A-4AC7-9F9D-A87FBD0CBDA3}" uniqueName="8" name="path_cos" queryTableFieldId="8" dataDxfId="95" dataCellStyle="Normal"/>
    <tableColumn id="9" xr3:uid="{DB127ADC-76A8-465C-89A8-965FA693AF60}" uniqueName="9" name="path_jac" queryTableFieldId="9" dataDxfId="94" dataCellStyle="Normal"/>
    <tableColumn id="10" xr3:uid="{08FAA906-AA05-461A-B8A9-6558C26785C7}" uniqueName="10" name="path_dice" queryTableFieldId="10" dataDxfId="93" dataCellStyle="Normal"/>
    <tableColumn id="11" xr3:uid="{E7BEE224-8C96-4C9E-9ECA-017EDD837969}" uniqueName="11" name="ppi_cos" queryTableFieldId="11" dataDxfId="92" dataCellStyle="Normal"/>
    <tableColumn id="12" xr3:uid="{BD56963D-B54C-4B66-B705-8A4524D787E9}" uniqueName="12" name="ppi_jac" queryTableFieldId="12" dataDxfId="91" dataCellStyle="Normal"/>
    <tableColumn id="13" xr3:uid="{D5C5B901-C219-4E38-9737-BCD9B465C769}" uniqueName="13" name="ppi_dice" queryTableFieldId="13" dataDxfId="90" dataCellStyle="Normal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E29C8EA-ADA0-4C67-9226-6146D4054D6E}" name="Num_clusters6942036" displayName="Num_clusters6942036" ref="A20:M32" tableType="queryTable" totalsRowShown="0" headerRowDxfId="89" dataDxfId="88">
  <autoFilter ref="A20:M32" xr:uid="{FA18893C-97F2-47C8-A482-6DD16C9B7865}"/>
  <tableColumns count="13">
    <tableColumn id="1" xr3:uid="{F1680490-3234-448B-8EE9-3768303E2C24}" uniqueName="1" name="Epsilon" queryTableFieldId="1" dataDxfId="87" dataCellStyle="Énfasis6"/>
    <tableColumn id="2" xr3:uid="{560B017C-F32E-4C7B-972F-7E3B457F753E}" uniqueName="2" name="gen_cos" queryTableFieldId="2" dataDxfId="86" dataCellStyle="Normal"/>
    <tableColumn id="3" xr3:uid="{C96EC0B7-FE6C-4496-8AA3-031F8AC9A138}" uniqueName="3" name="gen_jac" queryTableFieldId="3" dataDxfId="85" dataCellStyle="Normal"/>
    <tableColumn id="4" xr3:uid="{91A1CCFA-A80A-456C-8358-624E30601596}" uniqueName="4" name="gen_dic" queryTableFieldId="4" dataDxfId="84" dataCellStyle="Normal"/>
    <tableColumn id="5" xr3:uid="{1F843D8A-8B17-47BF-812B-F896AF8FAC0B}" uniqueName="5" name="prot_cos" queryTableFieldId="5" dataDxfId="83" dataCellStyle="Normal"/>
    <tableColumn id="6" xr3:uid="{D1B40E82-86BF-4203-904F-5708A27DF52D}" uniqueName="6" name="prot_jac" queryTableFieldId="6" dataDxfId="82" dataCellStyle="Normal"/>
    <tableColumn id="7" xr3:uid="{5197DA28-5EBD-418E-AAAB-780674A8855C}" uniqueName="7" name="prot_dic" queryTableFieldId="7" dataDxfId="81" dataCellStyle="Normal"/>
    <tableColumn id="8" xr3:uid="{BA7387CE-3630-437F-AE93-4F2CFB0D4664}" uniqueName="8" name="path_cos" queryTableFieldId="8" dataDxfId="80" dataCellStyle="Normal"/>
    <tableColumn id="9" xr3:uid="{893BFE21-3D28-4160-A1E8-8CF1F283F929}" uniqueName="9" name="path_jac" queryTableFieldId="9" dataDxfId="79" dataCellStyle="Normal"/>
    <tableColumn id="10" xr3:uid="{23E97BE3-9600-47ED-BEA8-0BEB6E3EE329}" uniqueName="10" name="path_dice" queryTableFieldId="10" dataDxfId="78" dataCellStyle="Normal"/>
    <tableColumn id="11" xr3:uid="{92C8896C-CBB9-44CF-90D5-910D0E1588BE}" uniqueName="11" name="ppi_cos" queryTableFieldId="11" dataDxfId="77" dataCellStyle="Normal"/>
    <tableColumn id="12" xr3:uid="{C5E483AB-650B-495D-AADD-37552FC6B5F9}" uniqueName="12" name="ppi_jac" queryTableFieldId="12" dataDxfId="76" dataCellStyle="Normal"/>
    <tableColumn id="13" xr3:uid="{7264F320-2811-45D4-A862-D5B9F6D53640}" uniqueName="13" name="ppi_dice" queryTableFieldId="13" dataDxfId="75" dataCellStyle="Normal"/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37E1101-5062-462B-A5E8-BDF7B6BFECE6}" name="Num_clusters6952137" displayName="Num_clusters6952137" ref="O20:AA32" tableType="queryTable" totalsRowShown="0" headerRowDxfId="74" dataDxfId="73">
  <autoFilter ref="O20:AA32" xr:uid="{E5BF66CD-209E-495D-A3BC-8C6DA55DBFFD}"/>
  <tableColumns count="13">
    <tableColumn id="1" xr3:uid="{B82D0835-EAC5-49B3-B3EE-2248BD892D73}" uniqueName="1" name="Epsilon" queryTableFieldId="1" dataDxfId="72" dataCellStyle="Énfasis6"/>
    <tableColumn id="2" xr3:uid="{2343003A-0AD6-4444-82E7-0F7CF00A2F3D}" uniqueName="2" name="gen_cos" queryTableFieldId="2" dataDxfId="71" dataCellStyle="Normal"/>
    <tableColumn id="3" xr3:uid="{AAA32FC1-950F-4ACF-AC62-0E10E524E2D4}" uniqueName="3" name="gen_jac" queryTableFieldId="3" dataDxfId="70" dataCellStyle="Normal"/>
    <tableColumn id="4" xr3:uid="{B35E4903-8A37-4C79-BBC3-2C803C163E6C}" uniqueName="4" name="gen_dic" queryTableFieldId="4" dataDxfId="69" dataCellStyle="Normal"/>
    <tableColumn id="5" xr3:uid="{D29E1972-8FA6-47AD-BA36-ED952CB29D98}" uniqueName="5" name="prot_cos" queryTableFieldId="5" dataDxfId="68" dataCellStyle="Normal"/>
    <tableColumn id="6" xr3:uid="{BCA5F4AB-D762-4DEE-B1D8-942BCDED74AD}" uniqueName="6" name="prot_jac" queryTableFieldId="6" dataDxfId="67" dataCellStyle="Normal"/>
    <tableColumn id="7" xr3:uid="{50826EF8-0A18-43CC-A318-86275FCC928D}" uniqueName="7" name="prot_dic" queryTableFieldId="7" dataDxfId="66" dataCellStyle="Normal"/>
    <tableColumn id="8" xr3:uid="{E9DC5443-65B1-4C7B-AB71-E84CF634A754}" uniqueName="8" name="path_cos" queryTableFieldId="8" dataDxfId="65" dataCellStyle="Normal"/>
    <tableColumn id="9" xr3:uid="{25F16AAF-D8BE-465E-A367-5ACD9022E870}" uniqueName="9" name="path_jac" queryTableFieldId="9" dataDxfId="64" dataCellStyle="Normal"/>
    <tableColumn id="10" xr3:uid="{8C43CA9A-18C1-4F3D-BF24-7CCE89F73C6E}" uniqueName="10" name="path_dice" queryTableFieldId="10" dataDxfId="63" dataCellStyle="Normal"/>
    <tableColumn id="11" xr3:uid="{A66141B6-1BE6-4787-83C6-39F689587BB1}" uniqueName="11" name="ppi_cos" queryTableFieldId="11" dataDxfId="62" dataCellStyle="Normal"/>
    <tableColumn id="12" xr3:uid="{2E694774-ED94-4E06-A330-6162B9E68E7A}" uniqueName="12" name="ppi_jac" queryTableFieldId="12" dataDxfId="61" dataCellStyle="Normal"/>
    <tableColumn id="13" xr3:uid="{3209B334-FF83-4B06-90B2-D2CB4F7ECE0B}" uniqueName="13" name="ppi_dice" queryTableFieldId="13" dataDxfId="60" dataCellStyle="Normal"/>
  </tableColumns>
  <tableStyleInfo name="TableStyleLight1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C313A22-5D89-4644-85DE-B8651E65B9D2}" name="Num_clusters69462238" displayName="Num_clusters69462238" ref="A37:M49" tableType="queryTable" totalsRowShown="0" headerRowDxfId="59" dataDxfId="58">
  <autoFilter ref="A37:M49" xr:uid="{A5D7F0C6-3AC9-461A-B323-B564F916D6BF}"/>
  <tableColumns count="13">
    <tableColumn id="1" xr3:uid="{619D2E28-FF23-4BF4-9099-60A2005ED5C2}" uniqueName="1" name="Epsilon" queryTableFieldId="1" dataDxfId="57" dataCellStyle="Énfasis6"/>
    <tableColumn id="2" xr3:uid="{8F8E90F3-5FF4-4D26-AA97-4F7649C17AA6}" uniqueName="2" name="gen_cos" queryTableFieldId="2" dataDxfId="56" dataCellStyle="Normal"/>
    <tableColumn id="3" xr3:uid="{E5054A66-C4FA-4CA8-87C2-E8CD7B8F4467}" uniqueName="3" name="gen_jac" queryTableFieldId="3" dataDxfId="55" dataCellStyle="Normal"/>
    <tableColumn id="4" xr3:uid="{6698C095-959F-4C1B-8EB8-F21B3A524AF3}" uniqueName="4" name="gen_dic" queryTableFieldId="4" dataDxfId="54" dataCellStyle="Normal"/>
    <tableColumn id="5" xr3:uid="{0534C256-C54E-4A7A-B319-5694EF5906EE}" uniqueName="5" name="prot_cos" queryTableFieldId="5" dataDxfId="53" dataCellStyle="Normal"/>
    <tableColumn id="6" xr3:uid="{BC5010BB-A3E8-4E77-8D46-4FB624F98780}" uniqueName="6" name="prot_jac" queryTableFieldId="6" dataDxfId="52" dataCellStyle="Normal"/>
    <tableColumn id="7" xr3:uid="{40C3D145-33A2-4241-BE59-A807B45500CA}" uniqueName="7" name="prot_dic" queryTableFieldId="7" dataDxfId="51" dataCellStyle="Normal"/>
    <tableColumn id="8" xr3:uid="{2B7CBCA9-B40E-423B-8DD7-25E41F6889C9}" uniqueName="8" name="path_cos" queryTableFieldId="8" dataDxfId="50" dataCellStyle="Normal"/>
    <tableColumn id="9" xr3:uid="{623D6DD9-08C7-4D45-B88A-B3CE96E0362A}" uniqueName="9" name="path_jac" queryTableFieldId="9" dataDxfId="49" dataCellStyle="Normal"/>
    <tableColumn id="10" xr3:uid="{69016E04-DC55-423E-9B1B-F0E98D13EBDA}" uniqueName="10" name="path_dice" queryTableFieldId="10" dataDxfId="48" dataCellStyle="Normal"/>
    <tableColumn id="11" xr3:uid="{C46F1E36-4E72-4C2A-B0F5-519E0AD15CBA}" uniqueName="11" name="ppi_cos" queryTableFieldId="11" dataDxfId="47" dataCellStyle="Normal"/>
    <tableColumn id="12" xr3:uid="{BE84ECB2-E265-48BA-89DF-BDA7BA52EDD6}" uniqueName="12" name="ppi_jac" queryTableFieldId="12" dataDxfId="46" dataCellStyle="Normal"/>
    <tableColumn id="13" xr3:uid="{B8489DFA-520F-46DA-A304-CC80262EE83F}" uniqueName="13" name="ppi_dice" queryTableFieldId="13" dataDxfId="45" dataCellStyle="Normal"/>
  </tableColumns>
  <tableStyleInfo name="TableStyleLight1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9B0F62C-EA3D-4245-A508-33FC52CEDF39}" name="Num_clusters69472339" displayName="Num_clusters69472339" ref="O37:AA49" tableType="queryTable" totalsRowShown="0" headerRowDxfId="44" dataDxfId="43">
  <autoFilter ref="O37:AA49" xr:uid="{03218821-36AA-4B7B-B634-B13258F9C164}"/>
  <tableColumns count="13">
    <tableColumn id="1" xr3:uid="{9873B269-40C5-47BC-9ADA-D40749FABFB9}" uniqueName="1" name="Epsilon" queryTableFieldId="1" dataDxfId="42" dataCellStyle="Énfasis6"/>
    <tableColumn id="2" xr3:uid="{5C92880F-C5D8-4D2B-A3AF-BBF1189FE53B}" uniqueName="2" name="gen_cos" queryTableFieldId="2" dataDxfId="41" dataCellStyle="Normal"/>
    <tableColumn id="3" xr3:uid="{D66190C0-2BA9-49E6-96DA-612968D2F220}" uniqueName="3" name="gen_jac" queryTableFieldId="3" dataDxfId="40" dataCellStyle="Normal"/>
    <tableColumn id="4" xr3:uid="{E80D8810-BF12-4E83-86F7-A118B9E55FE4}" uniqueName="4" name="gen_dic" queryTableFieldId="4" dataDxfId="39" dataCellStyle="Normal"/>
    <tableColumn id="5" xr3:uid="{61885ED2-0863-4660-A654-1AC001DEF809}" uniqueName="5" name="prot_cos" queryTableFieldId="5" dataDxfId="38" dataCellStyle="Normal"/>
    <tableColumn id="6" xr3:uid="{4479B95A-73B3-425C-A164-E7705A0F892B}" uniqueName="6" name="prot_jac" queryTableFieldId="6" dataDxfId="37" dataCellStyle="Normal"/>
    <tableColumn id="7" xr3:uid="{FE13D2CC-7EDC-4244-859A-0CA883FD5225}" uniqueName="7" name="prot_dic" queryTableFieldId="7" dataDxfId="36" dataCellStyle="Normal"/>
    <tableColumn id="8" xr3:uid="{15DB3600-31C7-4492-B2C9-4C6A4FAFF3E4}" uniqueName="8" name="path_cos" queryTableFieldId="8" dataDxfId="35" dataCellStyle="Normal"/>
    <tableColumn id="9" xr3:uid="{66081F91-787B-4CF3-80C6-1BA351FB77FD}" uniqueName="9" name="path_jac" queryTableFieldId="9" dataDxfId="34" dataCellStyle="Normal"/>
    <tableColumn id="10" xr3:uid="{660EA2BB-C2D1-41AF-8C89-99131B0489E8}" uniqueName="10" name="path_dice" queryTableFieldId="10" dataDxfId="33" dataCellStyle="Normal"/>
    <tableColumn id="11" xr3:uid="{163FBF29-AC99-4CE6-9ABC-F1A56E7199F0}" uniqueName="11" name="ppi_cos" queryTableFieldId="11" dataDxfId="32" dataCellStyle="Normal"/>
    <tableColumn id="12" xr3:uid="{93CE16E2-0336-463C-87B1-AD8C413C5F4D}" uniqueName="12" name="ppi_jac" queryTableFieldId="12" dataDxfId="31" dataCellStyle="Normal"/>
    <tableColumn id="13" xr3:uid="{FF02835D-0960-4BD9-956A-981ABBD0FE61}" uniqueName="13" name="ppi_dice" queryTableFieldId="13" dataDxfId="30" dataCellStyle="Normal"/>
  </tableColumns>
  <tableStyleInfo name="TableStyleLight14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5A3A989-7433-4681-A710-A5779DFBC56E}" name="Num_clusters694682440" displayName="Num_clusters694682440" ref="A54:M66" tableType="queryTable" totalsRowShown="0" headerRowDxfId="29" dataDxfId="28">
  <autoFilter ref="A54:M66" xr:uid="{FF7A354F-AC76-4BA8-8706-1A11A6B9ED43}"/>
  <tableColumns count="13">
    <tableColumn id="1" xr3:uid="{5C1F8B3C-39BB-4812-AC99-1167FFF912A5}" uniqueName="1" name="Epsilon" queryTableFieldId="1" dataDxfId="27" dataCellStyle="Énfasis6"/>
    <tableColumn id="2" xr3:uid="{DAFAD7B3-635A-4CD2-B569-F2352AAE8EA4}" uniqueName="2" name="gen_cos" queryTableFieldId="2" dataDxfId="26" dataCellStyle="Normal"/>
    <tableColumn id="3" xr3:uid="{55C78733-4E73-42B1-8CE7-A12D20C0C546}" uniqueName="3" name="gen_jac" queryTableFieldId="3" dataDxfId="25" dataCellStyle="Normal"/>
    <tableColumn id="4" xr3:uid="{DD4B27A0-7A5F-4A34-BFFB-C9AFF7BB136D}" uniqueName="4" name="gen_dic" queryTableFieldId="4" dataDxfId="24" dataCellStyle="Normal"/>
    <tableColumn id="5" xr3:uid="{93AB21B2-9011-4E54-990C-8F4DF1A5E1C8}" uniqueName="5" name="prot_cos" queryTableFieldId="5" dataDxfId="23" dataCellStyle="Normal"/>
    <tableColumn id="6" xr3:uid="{DFE49C36-30F2-4C63-8EA9-2F38EDD24DEB}" uniqueName="6" name="prot_jac" queryTableFieldId="6" dataDxfId="22" dataCellStyle="Normal"/>
    <tableColumn id="7" xr3:uid="{00E38CC8-B441-4CFC-869E-701D5EEC9957}" uniqueName="7" name="prot_dic" queryTableFieldId="7" dataDxfId="21" dataCellStyle="Normal"/>
    <tableColumn id="8" xr3:uid="{D738F0A3-208E-4E66-BD2A-85B81384BAFF}" uniqueName="8" name="path_cos" queryTableFieldId="8" dataDxfId="20" dataCellStyle="Normal"/>
    <tableColumn id="9" xr3:uid="{B36A70E5-EE59-4414-86AF-DA8828975A32}" uniqueName="9" name="path_jac" queryTableFieldId="9" dataDxfId="19" dataCellStyle="Normal"/>
    <tableColumn id="10" xr3:uid="{3CA081A5-528C-4DDC-A086-E11A21F6337F}" uniqueName="10" name="path_dice" queryTableFieldId="10" dataDxfId="18" dataCellStyle="Normal"/>
    <tableColumn id="11" xr3:uid="{F70B8A71-FAB1-4557-BF6F-9D01A176B964}" uniqueName="11" name="ppi_cos" queryTableFieldId="11" dataDxfId="17" dataCellStyle="Normal"/>
    <tableColumn id="12" xr3:uid="{8C542E0A-297F-4235-8558-39C9E6B8FEE6}" uniqueName="12" name="ppi_jac" queryTableFieldId="12" dataDxfId="16" dataCellStyle="Normal"/>
    <tableColumn id="13" xr3:uid="{780FDBD5-65B3-41A5-82C5-553B612E9969}" uniqueName="13" name="ppi_dice" queryTableFieldId="13" dataDxfId="15" dataCellStyle="Normal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288A13B-AA3F-4C05-802F-784E93148183}" name="Num_clusters69529" displayName="Num_clusters69529" ref="O20:AA32" tableType="queryTable" totalsRowShown="0">
  <autoFilter ref="O20:AA32" xr:uid="{16D78871-5A29-4CA5-8C0F-B0C361A4EB0F}"/>
  <tableColumns count="13">
    <tableColumn id="1" xr3:uid="{1EEC93F1-0C3F-400A-9A15-6467E23258CB}" uniqueName="1" name="Epsilon" queryTableFieldId="1" dataCellStyle="Énfasis6"/>
    <tableColumn id="2" xr3:uid="{06E90BB3-4FE9-4B4E-AD19-8CA93FB355EB}" uniqueName="2" name="gen_cos" queryTableFieldId="2" dataCellStyle="Normal"/>
    <tableColumn id="3" xr3:uid="{DDAD02E4-9B5F-4231-94CD-D153506FBC37}" uniqueName="3" name="gen_jac" queryTableFieldId="3" dataCellStyle="Normal"/>
    <tableColumn id="4" xr3:uid="{A56C5D19-D7F7-442F-BE73-5E3B518D8B0A}" uniqueName="4" name="gen_dic" queryTableFieldId="4" dataCellStyle="Normal"/>
    <tableColumn id="5" xr3:uid="{B8C4A020-C8EC-4AE5-BEAF-8C3C373D9EAD}" uniqueName="5" name="prot_cos" queryTableFieldId="5" dataCellStyle="Normal"/>
    <tableColumn id="6" xr3:uid="{4276739A-F009-418E-987E-E5506035FB94}" uniqueName="6" name="prot_jac" queryTableFieldId="6" dataCellStyle="Normal"/>
    <tableColumn id="7" xr3:uid="{0E5A34B2-1BEE-4FB2-8FAE-7FBF7035696E}" uniqueName="7" name="prot_dic" queryTableFieldId="7" dataCellStyle="Normal"/>
    <tableColumn id="8" xr3:uid="{8ACFE082-1C63-4315-B35F-DCEE4A6C4916}" uniqueName="8" name="path_cos" queryTableFieldId="8" dataCellStyle="Normal"/>
    <tableColumn id="9" xr3:uid="{D5821BE8-1F46-4DD0-8B79-541E6F38EEFE}" uniqueName="9" name="path_jac" queryTableFieldId="9" dataCellStyle="Normal"/>
    <tableColumn id="10" xr3:uid="{0BD8C489-F3C4-41F9-8B49-2D391CBEF30E}" uniqueName="10" name="path_dice" queryTableFieldId="10" dataCellStyle="Normal"/>
    <tableColumn id="11" xr3:uid="{D270F08B-85D2-4A92-8681-EFFC3FD5D6A4}" uniqueName="11" name="ppi_cos" queryTableFieldId="11" dataCellStyle="Normal"/>
    <tableColumn id="12" xr3:uid="{55A31BA8-4D9E-4BBF-8A3E-86C2A3DE1DEE}" uniqueName="12" name="ppi_jac" queryTableFieldId="12" dataCellStyle="Normal"/>
    <tableColumn id="13" xr3:uid="{4BA5A8AB-26F1-493D-B558-0014C9F4726F}" uniqueName="13" name="ppi_dice" queryTableFieldId="13" dataCellStyle="Normal"/>
  </tableColumns>
  <tableStyleInfo name="TableStyleLight1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93448B4-0852-42B1-BEB4-C259EEE23D26}" name="Num_clusters694792541" displayName="Num_clusters694792541" ref="O54:AA66" tableType="queryTable" totalsRowShown="0" headerRowDxfId="14" dataDxfId="13">
  <autoFilter ref="O54:AA66" xr:uid="{FC15D847-A02B-4315-991A-467B14A98B05}"/>
  <tableColumns count="13">
    <tableColumn id="1" xr3:uid="{C755E6D7-9FE6-4C57-89F9-0AD18D26B037}" uniqueName="1" name="Epsilon" queryTableFieldId="1" dataDxfId="12" dataCellStyle="Énfasis6"/>
    <tableColumn id="2" xr3:uid="{D0A3DB94-9755-4BEA-9E2A-7AE3680237C8}" uniqueName="2" name="gen_cos" queryTableFieldId="2" dataDxfId="11" dataCellStyle="Normal"/>
    <tableColumn id="3" xr3:uid="{A1149D8D-B72C-433D-8E3F-770B9E45CED9}" uniqueName="3" name="gen_jac" queryTableFieldId="3" dataDxfId="10" dataCellStyle="Normal"/>
    <tableColumn id="4" xr3:uid="{33304485-938B-46B1-8B8A-54E81717D9EA}" uniqueName="4" name="gen_dic" queryTableFieldId="4" dataDxfId="9" dataCellStyle="Normal"/>
    <tableColumn id="5" xr3:uid="{94A845FA-2D08-4C39-A856-28B14EB4F04C}" uniqueName="5" name="prot_cos" queryTableFieldId="5" dataDxfId="8" dataCellStyle="Normal"/>
    <tableColumn id="6" xr3:uid="{BD6DC83A-C0BC-4D5B-86A1-6AAB4D9E206B}" uniqueName="6" name="prot_jac" queryTableFieldId="6" dataDxfId="7" dataCellStyle="Normal"/>
    <tableColumn id="7" xr3:uid="{D1D2C43E-E0E7-49A8-97F7-3EA1F276EEA4}" uniqueName="7" name="prot_dic" queryTableFieldId="7" dataDxfId="6" dataCellStyle="Normal"/>
    <tableColumn id="8" xr3:uid="{8D9E7718-0C0E-4F67-965E-38C5C70C7C71}" uniqueName="8" name="path_cos" queryTableFieldId="8" dataDxfId="5" dataCellStyle="Normal"/>
    <tableColumn id="9" xr3:uid="{C6FE5063-0C77-45A7-9CA5-FFC4A6D633AD}" uniqueName="9" name="path_jac" queryTableFieldId="9" dataDxfId="4" dataCellStyle="Normal"/>
    <tableColumn id="10" xr3:uid="{F7EB64C0-2343-47BA-9EA9-A9DF0ED556DC}" uniqueName="10" name="path_dice" queryTableFieldId="10" dataDxfId="3" dataCellStyle="Normal"/>
    <tableColumn id="11" xr3:uid="{D89C305A-215D-4BD2-AFCF-EC620233BD3E}" uniqueName="11" name="ppi_cos" queryTableFieldId="11" dataDxfId="2" dataCellStyle="Normal"/>
    <tableColumn id="12" xr3:uid="{0A883282-5AC2-4016-9899-E0D764FCAE8E}" uniqueName="12" name="ppi_jac" queryTableFieldId="12" dataDxfId="1" dataCellStyle="Normal"/>
    <tableColumn id="13" xr3:uid="{6EDD4DFC-2736-4C71-A278-0778CD43069F}" uniqueName="13" name="ppi_dice" queryTableFieldId="13" dataDxfId="0" dataCellStyle="Normal"/>
  </tableColumns>
  <tableStyleInfo name="TableStyleLight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DD16232-DDF0-40AE-B681-38A00F049144}" name="Num_clusters692650" displayName="Num_clusters692650" ref="A3:M15" tableType="queryTable" totalsRowShown="0">
  <autoFilter ref="A3:M15" xr:uid="{62C5FB5C-68D5-4274-A04C-7937D69DE80A}"/>
  <tableColumns count="13">
    <tableColumn id="1" xr3:uid="{683E6838-A6A2-41F2-A219-CEC01E0EDDE4}" uniqueName="1" name="Epsilon" queryTableFieldId="1" dataCellStyle="Énfasis6"/>
    <tableColumn id="2" xr3:uid="{FA2F9C04-78CF-4D5F-8829-E2714EAD5D90}" uniqueName="2" name="gen_cos" queryTableFieldId="2" dataCellStyle="Normal"/>
    <tableColumn id="3" xr3:uid="{9BC53CE5-DA93-45EE-91CC-61738CDE4909}" uniqueName="3" name="gen_jac" queryTableFieldId="3" dataCellStyle="Normal"/>
    <tableColumn id="4" xr3:uid="{14D1FE0E-7717-4138-A15E-906773251A4A}" uniqueName="4" name="gen_dic" queryTableFieldId="4" dataCellStyle="Normal"/>
    <tableColumn id="5" xr3:uid="{61C05921-B404-40FE-8B61-00640C49CDAD}" uniqueName="5" name="prot_cos" queryTableFieldId="5" dataCellStyle="Normal"/>
    <tableColumn id="6" xr3:uid="{A31CA103-B81A-452C-A7FC-942B19DDE99E}" uniqueName="6" name="prot_jac" queryTableFieldId="6" dataCellStyle="Normal"/>
    <tableColumn id="7" xr3:uid="{8EF78BFC-ADD5-48B8-98C9-18D62AC0F0B2}" uniqueName="7" name="prot_dic" queryTableFieldId="7" dataCellStyle="Normal"/>
    <tableColumn id="8" xr3:uid="{785CAA1E-5092-4182-8644-B2EAE007E1F4}" uniqueName="8" name="path_cos" queryTableFieldId="8" dataCellStyle="Normal"/>
    <tableColumn id="9" xr3:uid="{F3E1FD3C-2893-4667-9FE6-ADD64DC1AFCD}" uniqueName="9" name="path_jac" queryTableFieldId="9" dataCellStyle="Normal"/>
    <tableColumn id="10" xr3:uid="{7B288FCF-4EE8-4F9D-95AD-A6FD82308530}" uniqueName="10" name="path_dice" queryTableFieldId="10" dataCellStyle="Normal"/>
    <tableColumn id="11" xr3:uid="{3565C278-6FC3-47C4-A3C0-E00D9AFAC1F2}" uniqueName="11" name="ppi_cos" queryTableFieldId="11" dataCellStyle="Normal"/>
    <tableColumn id="12" xr3:uid="{4492A9BC-A739-4942-BC44-5963F702FC8D}" uniqueName="12" name="ppi_jac" queryTableFieldId="12" dataCellStyle="Normal"/>
    <tableColumn id="13" xr3:uid="{49354B07-9A81-4D7E-B9AC-FF6098D89B90}" uniqueName="13" name="ppi_dice" queryTableFieldId="13" dataCellStyle="Normal"/>
  </tableColumns>
  <tableStyleInfo name="TableStyleLight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2DBD7964-1FBF-442A-BED4-96236D7E3D2C}" name="Num_clusters6932751" displayName="Num_clusters6932751" ref="O3:AA15" tableType="queryTable" totalsRowShown="0">
  <autoFilter ref="O3:AA15" xr:uid="{888F967F-E85A-4699-B66C-1FF7459F4F12}"/>
  <tableColumns count="13">
    <tableColumn id="1" xr3:uid="{53A54527-0CF2-459C-AAE4-F5A9A892262A}" uniqueName="1" name="Epsilon" queryTableFieldId="1" dataCellStyle="Énfasis6"/>
    <tableColumn id="2" xr3:uid="{13A0967F-C1C0-466D-8BB9-82B71D49F56E}" uniqueName="2" name="gen_cos" queryTableFieldId="2" dataCellStyle="Normal"/>
    <tableColumn id="3" xr3:uid="{D1928F1B-B10D-4C95-B75B-1907892ADD7E}" uniqueName="3" name="gen_jac" queryTableFieldId="3" dataCellStyle="Normal"/>
    <tableColumn id="4" xr3:uid="{AB763C07-359D-40BE-9158-CAD13B57631C}" uniqueName="4" name="gen_dic" queryTableFieldId="4" dataCellStyle="Normal"/>
    <tableColumn id="5" xr3:uid="{CCDA7E49-6550-4D12-AE5B-D10670D206EF}" uniqueName="5" name="prot_cos" queryTableFieldId="5" dataCellStyle="Normal"/>
    <tableColumn id="6" xr3:uid="{AD1CDD3C-E58C-43C3-999F-DAF7DC331E26}" uniqueName="6" name="prot_jac" queryTableFieldId="6" dataCellStyle="Normal"/>
    <tableColumn id="7" xr3:uid="{82E98BC8-1C72-4681-8904-6567051CC2F8}" uniqueName="7" name="prot_dic" queryTableFieldId="7" dataCellStyle="Normal"/>
    <tableColumn id="8" xr3:uid="{5184CD24-0B75-4B2C-B0F3-AC73CDEC9A1A}" uniqueName="8" name="path_cos" queryTableFieldId="8" dataCellStyle="Normal"/>
    <tableColumn id="9" xr3:uid="{60AC9833-EF51-47D9-A16A-3294CE81B2ED}" uniqueName="9" name="path_jac" queryTableFieldId="9" dataCellStyle="Normal"/>
    <tableColumn id="10" xr3:uid="{E95A3A2C-1690-40FF-8EDB-3A39DA855874}" uniqueName="10" name="path_dice" queryTableFieldId="10" dataCellStyle="Normal"/>
    <tableColumn id="11" xr3:uid="{99E67B94-FAD6-4979-9350-189DA20C5BA7}" uniqueName="11" name="ppi_cos" queryTableFieldId="11" dataCellStyle="Normal"/>
    <tableColumn id="12" xr3:uid="{EF4F049E-1D58-4653-AD29-1823BFB58F21}" uniqueName="12" name="ppi_jac" queryTableFieldId="12" dataCellStyle="Normal"/>
    <tableColumn id="13" xr3:uid="{78FF1725-FF60-4049-8CD4-63B923DA9927}" uniqueName="13" name="ppi_dice" queryTableFieldId="13" dataCellStyle="Normal"/>
  </tableColumns>
  <tableStyleInfo name="TableStyleLight1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9C8B65D-0DC0-401C-87CA-D458D95A7038}" name="Num_clusters6942852" displayName="Num_clusters6942852" ref="A20:M32" tableType="queryTable" totalsRowShown="0">
  <autoFilter ref="A20:M32" xr:uid="{FAB97673-13B8-4C81-8021-EA5310EFDED2}"/>
  <tableColumns count="13">
    <tableColumn id="1" xr3:uid="{3D6C0BEC-A87B-401F-8D4A-7136E41A5D2D}" uniqueName="1" name="Epsilon" queryTableFieldId="1" dataCellStyle="Énfasis6"/>
    <tableColumn id="2" xr3:uid="{B8D9E6C0-B0B1-4599-889B-3A83BC02B0DC}" uniqueName="2" name="gen_cos" queryTableFieldId="2" dataCellStyle="Normal"/>
    <tableColumn id="3" xr3:uid="{0E3428D4-B4CC-497A-888F-CBDC697EB721}" uniqueName="3" name="gen_jac" queryTableFieldId="3" dataCellStyle="Normal"/>
    <tableColumn id="4" xr3:uid="{A969A59B-6BEA-43EE-9FC9-3D130F55974F}" uniqueName="4" name="gen_dic" queryTableFieldId="4" dataCellStyle="Normal"/>
    <tableColumn id="5" xr3:uid="{AA43251A-3EF6-4D46-813F-6C4997C481F1}" uniqueName="5" name="prot_cos" queryTableFieldId="5" dataCellStyle="Normal"/>
    <tableColumn id="6" xr3:uid="{CCE89B8B-EF76-4239-BC91-C920C144B77A}" uniqueName="6" name="prot_jac" queryTableFieldId="6" dataCellStyle="Normal"/>
    <tableColumn id="7" xr3:uid="{F317088C-3611-4A82-8E4F-B6D4DA0A3D04}" uniqueName="7" name="prot_dic" queryTableFieldId="7" dataCellStyle="Normal"/>
    <tableColumn id="8" xr3:uid="{7CF0ACAA-F820-4030-80D1-0DEBDDDD1F42}" uniqueName="8" name="path_cos" queryTableFieldId="8" dataCellStyle="Normal"/>
    <tableColumn id="9" xr3:uid="{F76C175E-D81D-4788-9A4B-610A498AD6B5}" uniqueName="9" name="path_jac" queryTableFieldId="9" dataCellStyle="Normal"/>
    <tableColumn id="10" xr3:uid="{4F23C0C1-2F13-4854-9E41-2B0F2ECF7774}" uniqueName="10" name="path_dice" queryTableFieldId="10" dataCellStyle="Normal"/>
    <tableColumn id="11" xr3:uid="{2A288B2A-BEA1-4E50-97BD-6D58D6B36CBB}" uniqueName="11" name="ppi_cos" queryTableFieldId="11" dataCellStyle="Normal"/>
    <tableColumn id="12" xr3:uid="{C0F321CB-6480-411F-A87F-1B87EBC75695}" uniqueName="12" name="ppi_jac" queryTableFieldId="12" dataCellStyle="Normal"/>
    <tableColumn id="13" xr3:uid="{EB0E9E4A-0C7C-4CE3-82D0-805DCB786234}" uniqueName="13" name="ppi_dice" queryTableFieldId="13" dataCellStyle="Normal"/>
  </tableColumns>
  <tableStyleInfo name="TableStyleLight1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26FF659-12E1-4CF2-B3C3-B14C4E968B97}" name="Num_clusters6952953" displayName="Num_clusters6952953" ref="O20:AA32" tableType="queryTable" totalsRowShown="0">
  <autoFilter ref="O20:AA32" xr:uid="{7A1A80F2-ECA6-4956-A171-3B8FC50CD045}"/>
  <tableColumns count="13">
    <tableColumn id="1" xr3:uid="{1C9EE0A2-8652-40C9-9998-75CBFEB92A6F}" uniqueName="1" name="Epsilon" queryTableFieldId="1" dataCellStyle="Énfasis6"/>
    <tableColumn id="2" xr3:uid="{02CBA66D-44E9-4020-AD75-743649DF3EC4}" uniqueName="2" name="gen_cos" queryTableFieldId="2" dataCellStyle="Normal"/>
    <tableColumn id="3" xr3:uid="{D7955D96-01F9-4E14-9970-DA2D8A63D68E}" uniqueName="3" name="gen_jac" queryTableFieldId="3" dataCellStyle="Normal"/>
    <tableColumn id="4" xr3:uid="{C4FE261B-C3F8-4EDB-BBB5-AD0E45DBAFB7}" uniqueName="4" name="gen_dic" queryTableFieldId="4" dataCellStyle="Normal"/>
    <tableColumn id="5" xr3:uid="{112A0B73-3293-4D9D-A832-7F4FC795EE82}" uniqueName="5" name="prot_cos" queryTableFieldId="5" dataCellStyle="Normal"/>
    <tableColumn id="6" xr3:uid="{1D29F0C6-994E-4B70-B3AA-AF0C65CAA2E6}" uniqueName="6" name="prot_jac" queryTableFieldId="6" dataCellStyle="Normal"/>
    <tableColumn id="7" xr3:uid="{B480F703-AEDE-4AE6-915C-1EB13C56DBDD}" uniqueName="7" name="prot_dic" queryTableFieldId="7" dataCellStyle="Normal"/>
    <tableColumn id="8" xr3:uid="{DC14B79A-4625-42BD-BDC1-AD96D5F62A56}" uniqueName="8" name="path_cos" queryTableFieldId="8" dataCellStyle="Normal"/>
    <tableColumn id="9" xr3:uid="{4017728F-B9DE-4BEC-9CD3-6062F147D069}" uniqueName="9" name="path_jac" queryTableFieldId="9" dataCellStyle="Normal"/>
    <tableColumn id="10" xr3:uid="{6F9F076B-5821-41AB-BF44-0A6937EB41EC}" uniqueName="10" name="path_dice" queryTableFieldId="10" dataCellStyle="Normal"/>
    <tableColumn id="11" xr3:uid="{6653C373-9901-426C-8A42-67BB516F5C7C}" uniqueName="11" name="ppi_cos" queryTableFieldId="11" dataCellStyle="Normal"/>
    <tableColumn id="12" xr3:uid="{8B3E2885-107C-4BC1-A796-C61EF4379F72}" uniqueName="12" name="ppi_jac" queryTableFieldId="12" dataCellStyle="Normal"/>
    <tableColumn id="13" xr3:uid="{053D9AC9-1A57-4798-81BF-AA23D7E77593}" uniqueName="13" name="ppi_dice" queryTableFieldId="13" dataCellStyle="Normal"/>
  </tableColumns>
  <tableStyleInfo name="TableStyleLight1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730B74B-CD3E-48F4-A902-D9D3A5E6BEFB}" name="Num_clusters69463054" displayName="Num_clusters69463054" ref="A37:M49" tableType="queryTable" totalsRowShown="0">
  <autoFilter ref="A37:M49" xr:uid="{D283989D-E8F2-43FF-B66D-3C85E716AB20}"/>
  <tableColumns count="13">
    <tableColumn id="1" xr3:uid="{1815CEE1-F9C3-4865-B49F-75C730CBC2FE}" uniqueName="1" name="Epsilon" queryTableFieldId="1" dataCellStyle="Énfasis6"/>
    <tableColumn id="2" xr3:uid="{1EE5154C-DCD1-4E9C-B18D-A79195FB36E9}" uniqueName="2" name="gen_cos" queryTableFieldId="2" dataCellStyle="Normal"/>
    <tableColumn id="3" xr3:uid="{91132BA7-A241-4E7B-9D7B-F37FB80E3978}" uniqueName="3" name="gen_jac" queryTableFieldId="3" dataCellStyle="Normal"/>
    <tableColumn id="4" xr3:uid="{8082FE9F-9853-472D-BA26-E3A1DDC4197E}" uniqueName="4" name="gen_dic" queryTableFieldId="4" dataCellStyle="Normal"/>
    <tableColumn id="5" xr3:uid="{6E16815C-AD8D-4C7F-B6D9-12ECD82D6FE8}" uniqueName="5" name="prot_cos" queryTableFieldId="5" dataCellStyle="Normal"/>
    <tableColumn id="6" xr3:uid="{37F44D78-10A3-4A08-9F1F-ADC3AA0964D6}" uniqueName="6" name="prot_jac" queryTableFieldId="6" dataCellStyle="Normal"/>
    <tableColumn id="7" xr3:uid="{840AACCB-8392-4CAD-B32D-CE65B7E8A1E7}" uniqueName="7" name="prot_dic" queryTableFieldId="7" dataCellStyle="Normal"/>
    <tableColumn id="8" xr3:uid="{53EAAB40-DE34-4A71-ABF1-C945AEDBC923}" uniqueName="8" name="path_cos" queryTableFieldId="8" dataCellStyle="Normal"/>
    <tableColumn id="9" xr3:uid="{A766536E-A4AE-40C8-A51D-1FE4F3206123}" uniqueName="9" name="path_jac" queryTableFieldId="9" dataCellStyle="Normal"/>
    <tableColumn id="10" xr3:uid="{2953410C-806A-4367-9324-065F104C59C3}" uniqueName="10" name="path_dice" queryTableFieldId="10" dataCellStyle="Normal"/>
    <tableColumn id="11" xr3:uid="{FC6E89E7-27B0-42B8-9B68-FE4C8DC19619}" uniqueName="11" name="ppi_cos" queryTableFieldId="11" dataCellStyle="Normal"/>
    <tableColumn id="12" xr3:uid="{0F4B3813-59F6-4BFC-89A7-40C55C4AAB1E}" uniqueName="12" name="ppi_jac" queryTableFieldId="12" dataCellStyle="Normal"/>
    <tableColumn id="13" xr3:uid="{400588A9-2013-4650-95D5-6CCA8B070496}" uniqueName="13" name="ppi_dice" queryTableFieldId="13" dataCellStyle="Normal"/>
  </tableColumns>
  <tableStyleInfo name="TableStyleLight1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252C1FC-FEFE-48C7-B521-D7B63CD2D6FE}" name="Num_clusters69473155" displayName="Num_clusters69473155" ref="O37:AA49" tableType="queryTable" totalsRowShown="0">
  <autoFilter ref="O37:AA49" xr:uid="{472472D8-367A-4AAD-B49A-82153A19A56F}"/>
  <tableColumns count="13">
    <tableColumn id="1" xr3:uid="{53EA61EB-D2D8-47BB-9AF7-EC4B42D3846F}" uniqueName="1" name="Epsilon" queryTableFieldId="1" dataCellStyle="Énfasis6"/>
    <tableColumn id="2" xr3:uid="{178B244F-41D3-46CC-BAA2-41A0926868EC}" uniqueName="2" name="gen_cos" queryTableFieldId="2" dataCellStyle="Normal"/>
    <tableColumn id="3" xr3:uid="{21CC34CC-3042-484C-8AF8-B189FAE289A1}" uniqueName="3" name="gen_jac" queryTableFieldId="3" dataCellStyle="Normal"/>
    <tableColumn id="4" xr3:uid="{404BE649-38ED-4B08-9DC9-9D8439F69A64}" uniqueName="4" name="gen_dic" queryTableFieldId="4" dataCellStyle="Normal"/>
    <tableColumn id="5" xr3:uid="{D7ACA98A-36F5-40C9-8473-2ADB1B0F44F7}" uniqueName="5" name="prot_cos" queryTableFieldId="5" dataCellStyle="Normal"/>
    <tableColumn id="6" xr3:uid="{1E3F492A-AD5A-42F5-8998-39202CFE0563}" uniqueName="6" name="prot_jac" queryTableFieldId="6" dataCellStyle="Normal"/>
    <tableColumn id="7" xr3:uid="{7BA7C3AB-34C0-47EB-B6F8-5D421FB4F84E}" uniqueName="7" name="prot_dic" queryTableFieldId="7" dataCellStyle="Normal"/>
    <tableColumn id="8" xr3:uid="{17994AF1-3F70-49B6-8BD5-B6FE7FA3A51A}" uniqueName="8" name="path_cos" queryTableFieldId="8" dataCellStyle="Normal"/>
    <tableColumn id="9" xr3:uid="{1569AEF9-AFB2-49DA-BD9A-CAF2A448CC3D}" uniqueName="9" name="path_jac" queryTableFieldId="9" dataCellStyle="Normal"/>
    <tableColumn id="10" xr3:uid="{AA5D2614-33B2-439D-9911-031EC8C10AC2}" uniqueName="10" name="path_dice" queryTableFieldId="10" dataCellStyle="Normal"/>
    <tableColumn id="11" xr3:uid="{FB1711E5-1DC5-4D4F-A4D5-E39153B87AA5}" uniqueName="11" name="ppi_cos" queryTableFieldId="11" dataCellStyle="Normal"/>
    <tableColumn id="12" xr3:uid="{E992FD4D-15B2-486C-8EB1-1B4E93B93F44}" uniqueName="12" name="ppi_jac" queryTableFieldId="12" dataCellStyle="Normal"/>
    <tableColumn id="13" xr3:uid="{C91839C9-FF8D-4954-9A1C-ADA67DEF22CB}" uniqueName="13" name="ppi_dice" queryTableFieldId="13" dataCellStyle="Normal"/>
  </tableColumns>
  <tableStyleInfo name="TableStyleLight1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C12A1BF-E827-45D3-B7E7-35124E4D70D4}" name="Num_clusters694683256" displayName="Num_clusters694683256" ref="A54:M66" tableType="queryTable" totalsRowShown="0">
  <autoFilter ref="A54:M66" xr:uid="{5B34D832-5974-43A7-AF4E-51E47553EA27}"/>
  <tableColumns count="13">
    <tableColumn id="1" xr3:uid="{EB8099C2-147A-4B54-9F6C-121BA0A8B55B}" uniqueName="1" name="Epsilon" queryTableFieldId="1" dataCellStyle="Énfasis6"/>
    <tableColumn id="2" xr3:uid="{E662C755-71AC-44A8-B42F-9D48E51ACE5A}" uniqueName="2" name="gen_cos" queryTableFieldId="2" dataCellStyle="Normal"/>
    <tableColumn id="3" xr3:uid="{369E5140-209C-4D88-9AB4-01278AB68BA2}" uniqueName="3" name="gen_jac" queryTableFieldId="3" dataCellStyle="Normal"/>
    <tableColumn id="4" xr3:uid="{FF50743B-DD60-467F-BC0A-FE214D2EB945}" uniqueName="4" name="gen_dic" queryTableFieldId="4" dataCellStyle="Normal"/>
    <tableColumn id="5" xr3:uid="{6659F0A0-E32E-418A-A485-FC72BF2EF063}" uniqueName="5" name="prot_cos" queryTableFieldId="5" dataCellStyle="Normal"/>
    <tableColumn id="6" xr3:uid="{C5FB81F0-1E27-4152-B855-1C7C95245523}" uniqueName="6" name="prot_jac" queryTableFieldId="6" dataCellStyle="Normal"/>
    <tableColumn id="7" xr3:uid="{F63F8A2E-65F3-4163-8B7E-4FFD2861585F}" uniqueName="7" name="prot_dic" queryTableFieldId="7" dataCellStyle="Normal"/>
    <tableColumn id="8" xr3:uid="{128081DB-53C9-4FBA-9DC7-80A9DD71EE81}" uniqueName="8" name="path_cos" queryTableFieldId="8" dataCellStyle="Normal"/>
    <tableColumn id="9" xr3:uid="{E64ACB0B-4039-4CAD-98F8-BDDD3E4A4E4A}" uniqueName="9" name="path_jac" queryTableFieldId="9" dataCellStyle="Normal"/>
    <tableColumn id="10" xr3:uid="{F8C78C1F-E60C-4BFA-9558-D33D7AC6AEEE}" uniqueName="10" name="path_dice" queryTableFieldId="10" dataCellStyle="Normal"/>
    <tableColumn id="11" xr3:uid="{75DE8B98-426F-48B3-8051-ABE8A040CEE4}" uniqueName="11" name="ppi_cos" queryTableFieldId="11" dataCellStyle="Normal"/>
    <tableColumn id="12" xr3:uid="{F985C7BD-6077-4182-B013-9AC6EA24F4CD}" uniqueName="12" name="ppi_jac" queryTableFieldId="12" dataCellStyle="Normal"/>
    <tableColumn id="13" xr3:uid="{72CA31EA-0D61-4EE3-83A3-4A9C5946D3F0}" uniqueName="13" name="ppi_dice" queryTableFieldId="13" dataCellStyle="Normal"/>
  </tableColumns>
  <tableStyleInfo name="TableStyleLight14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10BD7838-CA50-439A-AAE3-44D67D6D2792}" name="Num_clusters694793357" displayName="Num_clusters694793357" ref="O54:AA66" tableType="queryTable" totalsRowShown="0">
  <autoFilter ref="O54:AA66" xr:uid="{95F5BDA4-207C-4719-B1AF-A9CB1172A42E}"/>
  <tableColumns count="13">
    <tableColumn id="1" xr3:uid="{191F90DE-ED8B-4F59-8598-0B0E3D44ADAF}" uniqueName="1" name="Epsilon" queryTableFieldId="1" dataCellStyle="Énfasis6"/>
    <tableColumn id="2" xr3:uid="{4BE9484C-D3BB-45BC-B94E-83F29CED7E23}" uniqueName="2" name="gen_cos" queryTableFieldId="2" dataCellStyle="Normal"/>
    <tableColumn id="3" xr3:uid="{DD980438-0554-482E-896B-41BE48ACD0DA}" uniqueName="3" name="gen_jac" queryTableFieldId="3" dataCellStyle="Normal"/>
    <tableColumn id="4" xr3:uid="{BDDE4B79-44AF-4F76-B7C0-973751155949}" uniqueName="4" name="gen_dic" queryTableFieldId="4" dataCellStyle="Normal"/>
    <tableColumn id="5" xr3:uid="{D333C0CF-1FC4-4F24-AEE8-C7B8C1314F07}" uniqueName="5" name="prot_cos" queryTableFieldId="5" dataCellStyle="Normal"/>
    <tableColumn id="6" xr3:uid="{58E58C10-1842-4B21-9C0C-7154EDDF454A}" uniqueName="6" name="prot_jac" queryTableFieldId="6" dataCellStyle="Normal"/>
    <tableColumn id="7" xr3:uid="{76F251AC-7287-42A8-A9F0-F26B8F6E2335}" uniqueName="7" name="prot_dic" queryTableFieldId="7" dataCellStyle="Normal"/>
    <tableColumn id="8" xr3:uid="{B4A23A61-BB7F-4CEF-9BAF-F2AF5A362388}" uniqueName="8" name="path_cos" queryTableFieldId="8" dataCellStyle="Normal"/>
    <tableColumn id="9" xr3:uid="{7260FA6B-46C6-4F4D-99F0-D92B725AFB56}" uniqueName="9" name="path_jac" queryTableFieldId="9" dataCellStyle="Normal"/>
    <tableColumn id="10" xr3:uid="{3C469B4B-717B-475E-A7A8-8512C7A50230}" uniqueName="10" name="path_dice" queryTableFieldId="10" dataCellStyle="Normal"/>
    <tableColumn id="11" xr3:uid="{A611CA9B-4DF2-4E97-A945-680CFE254795}" uniqueName="11" name="ppi_cos" queryTableFieldId="11" dataCellStyle="Normal"/>
    <tableColumn id="12" xr3:uid="{11377B6B-4EA5-441F-8FD7-B6B2DA87C942}" uniqueName="12" name="ppi_jac" queryTableFieldId="12" dataCellStyle="Normal"/>
    <tableColumn id="13" xr3:uid="{9493B428-6E46-4230-B78C-DAA4D8EF9EC5}" uniqueName="13" name="ppi_dice" queryTableFieldId="13" dataCellStyle="Normal"/>
  </tableColumns>
  <tableStyleInfo name="TableStyleLight14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04CD4E-D3F5-4C61-891D-B2E2207B39E9}" name="Num_clusters6918" displayName="Num_clusters6918" ref="A3:M15" tableType="queryTable" totalsRowShown="0">
  <autoFilter ref="A3:M15" xr:uid="{3B13685A-68B1-4176-9681-7C20B44B2B12}"/>
  <tableColumns count="13">
    <tableColumn id="1" xr3:uid="{91B7E80F-20D9-430C-B3C0-69F4FC0C5792}" uniqueName="1" name="Epsilon" queryTableFieldId="1" dataCellStyle="Énfasis6"/>
    <tableColumn id="2" xr3:uid="{70DF3C48-3552-4423-AAB1-D686F227F24E}" uniqueName="2" name="gen_cos" queryTableFieldId="2" dataCellStyle="Normal"/>
    <tableColumn id="3" xr3:uid="{9C3A7DC5-2C21-4369-97D4-F161ADD4216C}" uniqueName="3" name="gen_jac" queryTableFieldId="3" dataCellStyle="Normal"/>
    <tableColumn id="4" xr3:uid="{EB780F5F-2899-4950-8E00-7E9FBAF36EEB}" uniqueName="4" name="gen_dic" queryTableFieldId="4" dataCellStyle="Normal"/>
    <tableColumn id="5" xr3:uid="{5CA51642-71F6-41E2-BE11-9F69C334A01F}" uniqueName="5" name="prot_cos" queryTableFieldId="5" dataCellStyle="Normal"/>
    <tableColumn id="6" xr3:uid="{7867AA14-74D6-4A81-A815-E42E92763844}" uniqueName="6" name="prot_jac" queryTableFieldId="6" dataCellStyle="Normal"/>
    <tableColumn id="7" xr3:uid="{98084358-9468-42D9-8A41-81A17AD6B4E5}" uniqueName="7" name="prot_dic" queryTableFieldId="7" dataCellStyle="Normal"/>
    <tableColumn id="8" xr3:uid="{A4C73DAB-218F-4999-8156-5814A3EA7358}" uniqueName="8" name="path_cos" queryTableFieldId="8" dataCellStyle="Normal"/>
    <tableColumn id="9" xr3:uid="{704008AA-7A44-4B03-BB89-DEFCDCB980B0}" uniqueName="9" name="path_jac" queryTableFieldId="9" dataCellStyle="Normal"/>
    <tableColumn id="10" xr3:uid="{4110ED53-FA1F-4753-9AAB-D5330AA3F741}" uniqueName="10" name="path_dice" queryTableFieldId="10" dataCellStyle="Normal"/>
    <tableColumn id="11" xr3:uid="{179EE92A-409F-4167-AAA7-5402D562AE93}" uniqueName="11" name="ppi_cos" queryTableFieldId="11" dataCellStyle="Normal"/>
    <tableColumn id="12" xr3:uid="{412F56CE-0E41-41F3-BEBB-6A10B6CD5D79}" uniqueName="12" name="ppi_jac" queryTableFieldId="12" dataCellStyle="Normal"/>
    <tableColumn id="13" xr3:uid="{B8945D43-B83C-42AD-8157-6CE17535A7E0}" uniqueName="13" name="ppi_dice" queryTableFieldId="13" dataCellStyle="Normal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2891F-6689-4D0D-9921-CC5B79D4D38A}" name="Num_clusters694630" displayName="Num_clusters694630" ref="A37:M49" tableType="queryTable" totalsRowShown="0">
  <autoFilter ref="A37:M49" xr:uid="{FE947D11-4626-4C62-98DD-F087D3C77C49}"/>
  <tableColumns count="13">
    <tableColumn id="1" xr3:uid="{89D1B414-5BDB-4F49-A470-510B6237D3CB}" uniqueName="1" name="Epsilon" queryTableFieldId="1" dataCellStyle="Énfasis6"/>
    <tableColumn id="2" xr3:uid="{E67D2BF6-300F-4F76-939A-06BF016FABB9}" uniqueName="2" name="gen_cos" queryTableFieldId="2" dataCellStyle="Normal"/>
    <tableColumn id="3" xr3:uid="{4CA46F5B-CB92-4803-B99B-00619DB47423}" uniqueName="3" name="gen_jac" queryTableFieldId="3" dataCellStyle="Normal"/>
    <tableColumn id="4" xr3:uid="{E64C72FB-A502-4F54-8DC0-AF95A80F973C}" uniqueName="4" name="gen_dic" queryTableFieldId="4" dataCellStyle="Normal"/>
    <tableColumn id="5" xr3:uid="{46C242D5-1F95-4D1B-9DD7-BF8EC30744F7}" uniqueName="5" name="prot_cos" queryTableFieldId="5" dataCellStyle="Normal"/>
    <tableColumn id="6" xr3:uid="{2D2D0EFF-43A2-4AE1-B56D-959C165F4B83}" uniqueName="6" name="prot_jac" queryTableFieldId="6" dataCellStyle="Normal"/>
    <tableColumn id="7" xr3:uid="{97E5351F-18F7-404E-883E-DBA4290A015C}" uniqueName="7" name="prot_dic" queryTableFieldId="7" dataCellStyle="Normal"/>
    <tableColumn id="8" xr3:uid="{6AF3943F-038C-4FC9-89D9-239CFEEBEA39}" uniqueName="8" name="path_cos" queryTableFieldId="8" dataCellStyle="Normal"/>
    <tableColumn id="9" xr3:uid="{AB84A86F-0719-4BE9-B51C-8D844EB24B27}" uniqueName="9" name="path_jac" queryTableFieldId="9" dataCellStyle="Normal"/>
    <tableColumn id="10" xr3:uid="{AD7004C0-DFBC-477A-8860-E8862B21BC33}" uniqueName="10" name="path_dice" queryTableFieldId="10" dataCellStyle="Normal"/>
    <tableColumn id="11" xr3:uid="{36EE822A-70C4-4DEF-A96A-6736C7FB80FF}" uniqueName="11" name="ppi_cos" queryTableFieldId="11" dataCellStyle="Normal"/>
    <tableColumn id="12" xr3:uid="{8FBD2047-D0FE-4B89-96E3-F8379C5EFA25}" uniqueName="12" name="ppi_jac" queryTableFieldId="12" dataCellStyle="Normal"/>
    <tableColumn id="13" xr3:uid="{85D96513-B7CE-4301-BC52-5A6696BD7CB1}" uniqueName="13" name="ppi_dice" queryTableFieldId="13" dataCellStyle="Normal"/>
  </tableColumns>
  <tableStyleInfo name="TableStyleLight14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A29F3A-5574-40FF-A531-A1F4B5C419F1}" name="Num_clusters69319" displayName="Num_clusters69319" ref="O3:AA15" tableType="queryTable" totalsRowShown="0">
  <autoFilter ref="O3:AA15" xr:uid="{8D901B6F-4028-4347-B6FC-79F0CDB2CC5E}"/>
  <tableColumns count="13">
    <tableColumn id="1" xr3:uid="{196F07CA-B4D3-45C4-8383-5398B63BDADD}" uniqueName="1" name="Epsilon" queryTableFieldId="1" dataCellStyle="Énfasis6"/>
    <tableColumn id="2" xr3:uid="{E85E702D-A68A-409E-B548-690A2026269E}" uniqueName="2" name="gen_cos" queryTableFieldId="2" dataCellStyle="Normal"/>
    <tableColumn id="3" xr3:uid="{F7960102-5065-453D-9498-6811E655286B}" uniqueName="3" name="gen_jac" queryTableFieldId="3" dataCellStyle="Normal"/>
    <tableColumn id="4" xr3:uid="{59B61B53-765B-4671-B4CF-E65E2EC0F9F7}" uniqueName="4" name="gen_dic" queryTableFieldId="4" dataCellStyle="Normal"/>
    <tableColumn id="5" xr3:uid="{3CFC0589-40BF-49E3-97D6-B6919AD69E18}" uniqueName="5" name="prot_cos" queryTableFieldId="5" dataCellStyle="Normal"/>
    <tableColumn id="6" xr3:uid="{DB909FBA-59A0-4237-A0CE-E8889521CF92}" uniqueName="6" name="prot_jac" queryTableFieldId="6" dataCellStyle="Normal"/>
    <tableColumn id="7" xr3:uid="{1A927511-B94E-476F-9FC7-3B024BE479D2}" uniqueName="7" name="prot_dic" queryTableFieldId="7" dataCellStyle="Normal"/>
    <tableColumn id="8" xr3:uid="{2D23A541-E475-402E-8596-344A21D60457}" uniqueName="8" name="path_cos" queryTableFieldId="8" dataCellStyle="Normal"/>
    <tableColumn id="9" xr3:uid="{0A5A6184-0F5E-423C-9DD2-A50F217B719C}" uniqueName="9" name="path_jac" queryTableFieldId="9" dataCellStyle="Normal"/>
    <tableColumn id="10" xr3:uid="{9DD71D1C-84FD-47F8-B3A5-5B8B34022844}" uniqueName="10" name="path_dice" queryTableFieldId="10" dataCellStyle="Normal"/>
    <tableColumn id="11" xr3:uid="{DBD53D7E-6AB9-4842-BB8E-6BE0D214559C}" uniqueName="11" name="ppi_cos" queryTableFieldId="11" dataCellStyle="Normal"/>
    <tableColumn id="12" xr3:uid="{E88D4264-D992-490C-9819-091D84DAC516}" uniqueName="12" name="ppi_jac" queryTableFieldId="12" dataCellStyle="Normal"/>
    <tableColumn id="13" xr3:uid="{8A7C6AF4-C7AD-4384-B5AF-382236935BAC}" uniqueName="13" name="ppi_dice" queryTableFieldId="13" dataCellStyle="Normal"/>
  </tableColumns>
  <tableStyleInfo name="TableStyleLight14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4C380B-68B5-4D19-853B-0C811D345457}" name="Num_clusters69420" displayName="Num_clusters69420" ref="A20:M32" tableType="queryTable" totalsRowShown="0">
  <autoFilter ref="A20:M32" xr:uid="{93FA6006-F590-4426-91BF-C5171BE7E5D4}"/>
  <tableColumns count="13">
    <tableColumn id="1" xr3:uid="{4A7EEFE1-551B-423F-B5E2-564D4F9D6795}" uniqueName="1" name="Epsilon" queryTableFieldId="1" dataCellStyle="Énfasis6"/>
    <tableColumn id="2" xr3:uid="{6423AE24-4DCC-4AD1-944D-B66794543146}" uniqueName="2" name="gen_cos" queryTableFieldId="2" dataCellStyle="Normal"/>
    <tableColumn id="3" xr3:uid="{0789CF08-54F2-404C-AA02-FD2623ACE5DF}" uniqueName="3" name="gen_jac" queryTableFieldId="3" dataCellStyle="Normal"/>
    <tableColumn id="4" xr3:uid="{88B88A47-C5DE-4992-9895-1ACBA04AE029}" uniqueName="4" name="gen_dic" queryTableFieldId="4" dataCellStyle="Normal"/>
    <tableColumn id="5" xr3:uid="{721343E2-289D-449F-8B17-628E5E2190E9}" uniqueName="5" name="prot_cos" queryTableFieldId="5" dataCellStyle="Normal"/>
    <tableColumn id="6" xr3:uid="{86478631-6A26-42EB-836D-C2B2D37218B5}" uniqueName="6" name="prot_jac" queryTableFieldId="6" dataCellStyle="Normal"/>
    <tableColumn id="7" xr3:uid="{E8463929-BE89-4E10-A611-07824B930CE3}" uniqueName="7" name="prot_dic" queryTableFieldId="7" dataCellStyle="Normal"/>
    <tableColumn id="8" xr3:uid="{59660DEE-2407-4C70-958D-F4E26DD8C5EA}" uniqueName="8" name="path_cos" queryTableFieldId="8" dataCellStyle="Normal"/>
    <tableColumn id="9" xr3:uid="{BDAF578C-2C4F-45F5-AFC4-3E4C8BD424A6}" uniqueName="9" name="path_jac" queryTableFieldId="9" dataCellStyle="Normal"/>
    <tableColumn id="10" xr3:uid="{F506A26F-6ABF-4AB1-9739-FA058D12EC00}" uniqueName="10" name="path_dice" queryTableFieldId="10" dataCellStyle="Normal"/>
    <tableColumn id="11" xr3:uid="{828D2521-0A76-4806-924C-B618A2DF03AA}" uniqueName="11" name="ppi_cos" queryTableFieldId="11" dataCellStyle="Normal"/>
    <tableColumn id="12" xr3:uid="{867EAAD2-25A9-40A9-93D8-3D5BED8F8C75}" uniqueName="12" name="ppi_jac" queryTableFieldId="12" dataCellStyle="Normal"/>
    <tableColumn id="13" xr3:uid="{AE4753D7-F259-4A0B-9E3F-9C70EF94E423}" uniqueName="13" name="ppi_dice" queryTableFieldId="13" dataCellStyle="Normal"/>
  </tableColumns>
  <tableStyleInfo name="TableStyleLight14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6B9119D-61F4-4A70-A4ED-EC7E89399354}" name="Num_clusters69521" displayName="Num_clusters69521" ref="O20:AA32" tableType="queryTable" totalsRowShown="0">
  <autoFilter ref="O20:AA32" xr:uid="{2D9B60A3-B2FA-4D5B-A005-187EE3919C87}"/>
  <tableColumns count="13">
    <tableColumn id="1" xr3:uid="{A8306674-DA8F-48EF-AE4F-B56FAED7B373}" uniqueName="1" name="Epsilon" queryTableFieldId="1" dataCellStyle="Énfasis6"/>
    <tableColumn id="2" xr3:uid="{1AB13146-0539-4233-AD30-DB78CDFEB943}" uniqueName="2" name="gen_cos" queryTableFieldId="2" dataCellStyle="Normal"/>
    <tableColumn id="3" xr3:uid="{7E95C52B-DE16-48F7-8040-9F01D52CEA6C}" uniqueName="3" name="gen_jac" queryTableFieldId="3" dataCellStyle="Normal"/>
    <tableColumn id="4" xr3:uid="{04EBF2ED-D86C-4C08-A0E5-0B8417A1C0C3}" uniqueName="4" name="gen_dic" queryTableFieldId="4" dataCellStyle="Normal"/>
    <tableColumn id="5" xr3:uid="{213F1E2E-E1CA-421A-AA08-83760B8909D5}" uniqueName="5" name="prot_cos" queryTableFieldId="5" dataCellStyle="Normal"/>
    <tableColumn id="6" xr3:uid="{ECFC034D-A758-4175-A248-DC04D4B4B4CC}" uniqueName="6" name="prot_jac" queryTableFieldId="6" dataCellStyle="Normal"/>
    <tableColumn id="7" xr3:uid="{B99487A2-CF07-4129-80F3-CF45368F54AD}" uniqueName="7" name="prot_dic" queryTableFieldId="7" dataCellStyle="Normal"/>
    <tableColumn id="8" xr3:uid="{A604498F-2497-4958-AB52-2B8450E23C91}" uniqueName="8" name="path_cos" queryTableFieldId="8" dataCellStyle="Normal"/>
    <tableColumn id="9" xr3:uid="{2BCCD17C-D0E2-4623-92AC-2D5627736F24}" uniqueName="9" name="path_jac" queryTableFieldId="9" dataCellStyle="Normal"/>
    <tableColumn id="10" xr3:uid="{2B3566E9-94E5-4B93-9E41-60923F7A3DAC}" uniqueName="10" name="path_dice" queryTableFieldId="10" dataCellStyle="Normal"/>
    <tableColumn id="11" xr3:uid="{27820B66-0F99-4B0B-A16E-1B4D1FB680AF}" uniqueName="11" name="ppi_cos" queryTableFieldId="11" dataCellStyle="Normal"/>
    <tableColumn id="12" xr3:uid="{3BEA8E1D-955E-47AC-A64A-0B93C4AFE39E}" uniqueName="12" name="ppi_jac" queryTableFieldId="12" dataCellStyle="Normal"/>
    <tableColumn id="13" xr3:uid="{6E2585C8-907A-45C0-85C8-2BE23FF9FDB6}" uniqueName="13" name="ppi_dice" queryTableFieldId="13" dataCellStyle="Normal"/>
  </tableColumns>
  <tableStyleInfo name="TableStyleLight1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E03D976-5954-4522-8F16-3179D486800C}" name="Num_clusters694622" displayName="Num_clusters694622" ref="A37:M49" tableType="queryTable" totalsRowShown="0">
  <autoFilter ref="A37:M49" xr:uid="{F127D058-A5DD-46B8-A8F5-62459FF3524C}"/>
  <tableColumns count="13">
    <tableColumn id="1" xr3:uid="{FB755DC7-5C97-45E7-8B19-062C9922EB0F}" uniqueName="1" name="Epsilon" queryTableFieldId="1" dataCellStyle="Énfasis6"/>
    <tableColumn id="2" xr3:uid="{82DF0ADA-E1C8-42EF-A774-0DB178EDB4CA}" uniqueName="2" name="gen_cos" queryTableFieldId="2" dataCellStyle="Normal"/>
    <tableColumn id="3" xr3:uid="{DF156D9A-149B-41E7-9596-45234615F450}" uniqueName="3" name="gen_jac" queryTableFieldId="3" dataCellStyle="Normal"/>
    <tableColumn id="4" xr3:uid="{5E50D801-75C0-45CA-936C-47A4B1BB9C95}" uniqueName="4" name="gen_dic" queryTableFieldId="4" dataCellStyle="Normal"/>
    <tableColumn id="5" xr3:uid="{DAC85CD3-E7E4-4DEB-A106-76C7054E38CF}" uniqueName="5" name="prot_cos" queryTableFieldId="5" dataCellStyle="Normal"/>
    <tableColumn id="6" xr3:uid="{2FF4CF93-342C-437F-BB6F-F332777E8AE3}" uniqueName="6" name="prot_jac" queryTableFieldId="6" dataCellStyle="Normal"/>
    <tableColumn id="7" xr3:uid="{4B27BC55-412F-4015-A785-8FDF05C628FF}" uniqueName="7" name="prot_dic" queryTableFieldId="7" dataCellStyle="Normal"/>
    <tableColumn id="8" xr3:uid="{849B4723-2281-470A-887E-3EF567F7C0DD}" uniqueName="8" name="path_cos" queryTableFieldId="8" dataCellStyle="Normal"/>
    <tableColumn id="9" xr3:uid="{A155D717-A0BB-4430-BC8A-F8184A5F3B88}" uniqueName="9" name="path_jac" queryTableFieldId="9" dataCellStyle="Normal"/>
    <tableColumn id="10" xr3:uid="{937DA03E-AA44-4C2A-B1FF-1709D1E6E6D3}" uniqueName="10" name="path_dice" queryTableFieldId="10" dataCellStyle="Normal"/>
    <tableColumn id="11" xr3:uid="{3C90E21C-01EF-44CD-94E6-D64FDA1E4C27}" uniqueName="11" name="ppi_cos" queryTableFieldId="11" dataCellStyle="Normal"/>
    <tableColumn id="12" xr3:uid="{535128B1-6DD2-470C-A808-9021C419DAE5}" uniqueName="12" name="ppi_jac" queryTableFieldId="12" dataCellStyle="Normal"/>
    <tableColumn id="13" xr3:uid="{5C14E665-5B80-422D-9F3D-EC33E5808DED}" uniqueName="13" name="ppi_dice" queryTableFieldId="13" dataCellStyle="Normal"/>
  </tableColumns>
  <tableStyleInfo name="TableStyleLight14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201627C-A7F3-44B7-A35E-FE3EEC616E10}" name="Num_clusters694723" displayName="Num_clusters694723" ref="O37:AA49" tableType="queryTable" totalsRowShown="0">
  <autoFilter ref="O37:AA49" xr:uid="{B94F2DC8-A006-4B0B-8A7C-A08CC750ABA0}"/>
  <tableColumns count="13">
    <tableColumn id="1" xr3:uid="{0996FD17-988D-46EB-8384-26BD2D226F88}" uniqueName="1" name="Epsilon" queryTableFieldId="1" dataCellStyle="Énfasis6"/>
    <tableColumn id="2" xr3:uid="{A2D9E671-3284-4BF9-A589-185C8280D491}" uniqueName="2" name="gen_cos" queryTableFieldId="2" dataCellStyle="Normal"/>
    <tableColumn id="3" xr3:uid="{0C11A8A5-25A0-4AB9-8984-271A34D5B2B2}" uniqueName="3" name="gen_jac" queryTableFieldId="3" dataCellStyle="Normal"/>
    <tableColumn id="4" xr3:uid="{5529044F-6723-4497-B13F-7F53B959AAB4}" uniqueName="4" name="gen_dic" queryTableFieldId="4" dataCellStyle="Normal"/>
    <tableColumn id="5" xr3:uid="{7BD73993-19DA-40CD-9162-6A5EA63188F2}" uniqueName="5" name="prot_cos" queryTableFieldId="5" dataCellStyle="Normal"/>
    <tableColumn id="6" xr3:uid="{00899C50-3AAB-44CC-87E1-33FCF240C775}" uniqueName="6" name="prot_jac" queryTableFieldId="6" dataCellStyle="Normal"/>
    <tableColumn id="7" xr3:uid="{BE2A74CA-316C-45EB-B29B-6A4576FF7CAF}" uniqueName="7" name="prot_dic" queryTableFieldId="7" dataCellStyle="Normal"/>
    <tableColumn id="8" xr3:uid="{DFF4713A-1299-4EAC-9355-0DC29E9A6C91}" uniqueName="8" name="path_cos" queryTableFieldId="8" dataCellStyle="Normal"/>
    <tableColumn id="9" xr3:uid="{E9D4D386-B631-4064-8777-CC81EC4673E9}" uniqueName="9" name="path_jac" queryTableFieldId="9" dataCellStyle="Normal"/>
    <tableColumn id="10" xr3:uid="{44C4FC08-3E6C-42D4-9F83-3821352343ED}" uniqueName="10" name="path_dice" queryTableFieldId="10" dataCellStyle="Normal"/>
    <tableColumn id="11" xr3:uid="{7B1F5E33-6C5B-4BC4-AAE3-914A10E43A90}" uniqueName="11" name="ppi_cos" queryTableFieldId="11" dataCellStyle="Normal"/>
    <tableColumn id="12" xr3:uid="{3C693650-F88D-4F83-BD0F-46A614449831}" uniqueName="12" name="ppi_jac" queryTableFieldId="12" dataCellStyle="Normal"/>
    <tableColumn id="13" xr3:uid="{0A250856-3EA8-452C-BC37-EBC3DF34C920}" uniqueName="13" name="ppi_dice" queryTableFieldId="13" dataCellStyle="Normal"/>
  </tableColumns>
  <tableStyleInfo name="TableStyleLight14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D0E6FBB-98F6-4620-8440-4F3031434955}" name="Num_clusters6946824" displayName="Num_clusters6946824" ref="A54:M66" tableType="queryTable" totalsRowShown="0">
  <autoFilter ref="A54:M66" xr:uid="{5594CC2A-6A7D-49A5-9904-197E9A77A67E}"/>
  <tableColumns count="13">
    <tableColumn id="1" xr3:uid="{454A2306-CFF6-43F0-BC39-B19F52F61A65}" uniqueName="1" name="Epsilon" queryTableFieldId="1" dataCellStyle="Énfasis6"/>
    <tableColumn id="2" xr3:uid="{EAD5421C-B67E-4FA5-AFD9-CB84ADEC0932}" uniqueName="2" name="gen_cos" queryTableFieldId="2" dataCellStyle="Normal"/>
    <tableColumn id="3" xr3:uid="{D472AC93-92B1-48F7-8437-B3349877C56D}" uniqueName="3" name="gen_jac" queryTableFieldId="3" dataCellStyle="Normal"/>
    <tableColumn id="4" xr3:uid="{A4F79CD5-EDC6-4498-B983-2838E3449574}" uniqueName="4" name="gen_dic" queryTableFieldId="4" dataCellStyle="Normal"/>
    <tableColumn id="5" xr3:uid="{1C6B4067-CD26-471C-8E3B-0D1F5A26FB8D}" uniqueName="5" name="prot_cos" queryTableFieldId="5" dataCellStyle="Normal"/>
    <tableColumn id="6" xr3:uid="{09F55BDF-40CA-4962-AFC9-B6CD6E53E7CC}" uniqueName="6" name="prot_jac" queryTableFieldId="6" dataCellStyle="Normal"/>
    <tableColumn id="7" xr3:uid="{0A638B6F-5872-44E4-A58B-F2CFD8B4407E}" uniqueName="7" name="prot_dic" queryTableFieldId="7" dataCellStyle="Normal"/>
    <tableColumn id="8" xr3:uid="{6B55322D-6784-4382-BA56-FB77A9E584F6}" uniqueName="8" name="path_cos" queryTableFieldId="8" dataCellStyle="Normal"/>
    <tableColumn id="9" xr3:uid="{586CE4A1-97D5-4430-9D0E-AAA7E13EF9B5}" uniqueName="9" name="path_jac" queryTableFieldId="9" dataCellStyle="Normal"/>
    <tableColumn id="10" xr3:uid="{2779BC20-B00D-441F-8FB6-F7155FD0DA63}" uniqueName="10" name="path_dice" queryTableFieldId="10" dataCellStyle="Normal"/>
    <tableColumn id="11" xr3:uid="{C598700C-42CD-4DFE-BA80-DCC07A80B9B2}" uniqueName="11" name="ppi_cos" queryTableFieldId="11" dataCellStyle="Normal"/>
    <tableColumn id="12" xr3:uid="{C30C2B30-3916-4825-A498-6C5C7B0FC78D}" uniqueName="12" name="ppi_jac" queryTableFieldId="12" dataCellStyle="Normal"/>
    <tableColumn id="13" xr3:uid="{7BCE11B6-EFF3-4CB1-AE4B-188F2ECCC1CC}" uniqueName="13" name="ppi_dice" queryTableFieldId="13" dataCellStyle="Normal"/>
  </tableColumns>
  <tableStyleInfo name="TableStyleLight14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091685-148A-4D46-A19A-D817AEE30132}" name="Num_clusters6947925" displayName="Num_clusters6947925" ref="O54:AA66" tableType="queryTable" totalsRowShown="0">
  <autoFilter ref="O54:AA66" xr:uid="{7B0E452F-EA9F-46E1-9456-C9016FFB795E}"/>
  <tableColumns count="13">
    <tableColumn id="1" xr3:uid="{6490490F-C3D1-4235-87B8-3A6E5F35B64F}" uniqueName="1" name="Epsilon" queryTableFieldId="1" dataCellStyle="Énfasis6"/>
    <tableColumn id="2" xr3:uid="{0C5C804E-911D-4255-B96E-CCB9CEBEC735}" uniqueName="2" name="gen_cos" queryTableFieldId="2" dataCellStyle="Normal"/>
    <tableColumn id="3" xr3:uid="{47BB8E75-4E45-420D-B291-6FD5E135D4AD}" uniqueName="3" name="gen_jac" queryTableFieldId="3" dataCellStyle="Normal"/>
    <tableColumn id="4" xr3:uid="{C4761EAA-4E32-45D2-91D5-2C7FA4D20B23}" uniqueName="4" name="gen_dic" queryTableFieldId="4" dataCellStyle="Normal"/>
    <tableColumn id="5" xr3:uid="{73E6BF35-C2C4-4C36-AA0C-9C66D9F4B590}" uniqueName="5" name="prot_cos" queryTableFieldId="5" dataCellStyle="Normal"/>
    <tableColumn id="6" xr3:uid="{487A209E-32B7-4C36-B13A-5B658EA88D13}" uniqueName="6" name="prot_jac" queryTableFieldId="6" dataCellStyle="Normal"/>
    <tableColumn id="7" xr3:uid="{FF48D621-81F4-41C3-9C5D-C2B7FE85FE27}" uniqueName="7" name="prot_dic" queryTableFieldId="7" dataCellStyle="Normal"/>
    <tableColumn id="8" xr3:uid="{F680A15A-6F01-471B-80A6-7BE9FDC73B98}" uniqueName="8" name="path_cos" queryTableFieldId="8" dataCellStyle="Normal"/>
    <tableColumn id="9" xr3:uid="{96155212-E3A5-4DBF-817D-F29DFFD80948}" uniqueName="9" name="path_jac" queryTableFieldId="9" dataCellStyle="Normal"/>
    <tableColumn id="10" xr3:uid="{DE0912C9-CA19-4D01-9CDE-9FF3DE718CCE}" uniqueName="10" name="path_dice" queryTableFieldId="10" dataCellStyle="Normal"/>
    <tableColumn id="11" xr3:uid="{B805CC7A-2563-4814-B835-229DCB1AC657}" uniqueName="11" name="ppi_cos" queryTableFieldId="11" dataCellStyle="Normal"/>
    <tableColumn id="12" xr3:uid="{D09A211B-27A1-4AF2-BE1E-1C012D068F41}" uniqueName="12" name="ppi_jac" queryTableFieldId="12" dataCellStyle="Normal"/>
    <tableColumn id="13" xr3:uid="{05F6AF3A-5831-466D-AA7A-FE05B27D126F}" uniqueName="13" name="ppi_dice" queryTableFieldId="13" dataCellStyle="Normal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CA9E6D3-750A-4A3E-9384-7208AACD2DE3}" name="Num_clusters694731" displayName="Num_clusters694731" ref="O37:AA49" tableType="queryTable" totalsRowShown="0">
  <autoFilter ref="O37:AA49" xr:uid="{7509D3F2-3773-4503-9890-70BFD451B4C3}"/>
  <tableColumns count="13">
    <tableColumn id="1" xr3:uid="{7CE4681F-FDC7-42B8-8D1B-1BE9ABB275D1}" uniqueName="1" name="Epsilon" queryTableFieldId="1" dataCellStyle="Énfasis6"/>
    <tableColumn id="2" xr3:uid="{A783CC8A-D654-4364-9DCD-45E5B5A5BDED}" uniqueName="2" name="gen_cos" queryTableFieldId="2" dataCellStyle="Normal"/>
    <tableColumn id="3" xr3:uid="{86411E3A-0716-4E96-BDB1-2F5F333D2AD5}" uniqueName="3" name="gen_jac" queryTableFieldId="3" dataCellStyle="Normal"/>
    <tableColumn id="4" xr3:uid="{38297CFE-256B-41D3-8BAA-F11615F4944F}" uniqueName="4" name="gen_dic" queryTableFieldId="4" dataCellStyle="Normal"/>
    <tableColumn id="5" xr3:uid="{34F66BE7-B273-4430-BD87-DA236E00038D}" uniqueName="5" name="prot_cos" queryTableFieldId="5" dataCellStyle="Normal"/>
    <tableColumn id="6" xr3:uid="{C1AD7F7D-0AA3-47F6-B7DC-B6DB9BB13127}" uniqueName="6" name="prot_jac" queryTableFieldId="6" dataCellStyle="Normal"/>
    <tableColumn id="7" xr3:uid="{23A25240-99CE-48E8-98B5-C5EF4E1A0B74}" uniqueName="7" name="prot_dic" queryTableFieldId="7" dataCellStyle="Normal"/>
    <tableColumn id="8" xr3:uid="{85057586-C07E-4BB2-A841-7062722AE15F}" uniqueName="8" name="path_cos" queryTableFieldId="8" dataCellStyle="Normal"/>
    <tableColumn id="9" xr3:uid="{88486B4F-9856-47CD-BE01-3B1FF28FF8C0}" uniqueName="9" name="path_jac" queryTableFieldId="9" dataCellStyle="Normal"/>
    <tableColumn id="10" xr3:uid="{C97EF547-8927-4048-87AF-7E406731BE2A}" uniqueName="10" name="path_dice" queryTableFieldId="10" dataCellStyle="Normal"/>
    <tableColumn id="11" xr3:uid="{16EE6CFC-40DC-4F6F-9F8D-522D831C86E2}" uniqueName="11" name="ppi_cos" queryTableFieldId="11" dataCellStyle="Normal"/>
    <tableColumn id="12" xr3:uid="{042E0490-5790-4994-BD98-ED4F6E0970D5}" uniqueName="12" name="ppi_jac" queryTableFieldId="12" dataCellStyle="Normal"/>
    <tableColumn id="13" xr3:uid="{6D7B282A-965C-469D-AC51-A2A62B22FAC3}" uniqueName="13" name="ppi_dice" queryTableFieldId="13" dataCellStyle="Normal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256C4EA-D154-4714-92A4-23CFA59B46AC}" name="Num_clusters6946832" displayName="Num_clusters6946832" ref="A54:M66" tableType="queryTable" totalsRowShown="0">
  <autoFilter ref="A54:M66" xr:uid="{C5A4901E-C715-4B39-8FAA-1BEEA26C0D8E}"/>
  <tableColumns count="13">
    <tableColumn id="1" xr3:uid="{97473AAB-6E18-4BC3-9621-E0759DB8E864}" uniqueName="1" name="Epsilon" queryTableFieldId="1" dataCellStyle="Énfasis6"/>
    <tableColumn id="2" xr3:uid="{DF71133A-5ECB-4260-AEB2-DC9A249483E9}" uniqueName="2" name="gen_cos" queryTableFieldId="2" dataCellStyle="Normal"/>
    <tableColumn id="3" xr3:uid="{C5DDD293-188A-46FC-9F04-98A793BB2BDC}" uniqueName="3" name="gen_jac" queryTableFieldId="3" dataCellStyle="Normal"/>
    <tableColumn id="4" xr3:uid="{D3268A44-F957-4CF9-B38A-657C3773DF5B}" uniqueName="4" name="gen_dic" queryTableFieldId="4" dataCellStyle="Normal"/>
    <tableColumn id="5" xr3:uid="{635D9DCB-8A1C-4BD3-9407-8C721A4D6854}" uniqueName="5" name="prot_cos" queryTableFieldId="5" dataCellStyle="Normal"/>
    <tableColumn id="6" xr3:uid="{65DE03C3-6370-4A97-B027-D6DD07932EE7}" uniqueName="6" name="prot_jac" queryTableFieldId="6" dataCellStyle="Normal"/>
    <tableColumn id="7" xr3:uid="{E8C955A8-0A06-4DB3-9181-12358B408544}" uniqueName="7" name="prot_dic" queryTableFieldId="7" dataCellStyle="Normal"/>
    <tableColumn id="8" xr3:uid="{E8FF3967-58E9-4F19-B14E-BBE7B726482C}" uniqueName="8" name="path_cos" queryTableFieldId="8" dataCellStyle="Normal"/>
    <tableColumn id="9" xr3:uid="{2C1E8A9C-0F6D-4538-BBCE-570CF45695B9}" uniqueName="9" name="path_jac" queryTableFieldId="9" dataCellStyle="Normal"/>
    <tableColumn id="10" xr3:uid="{80C95450-A4EC-46CD-93F9-56FAE4FAB997}" uniqueName="10" name="path_dice" queryTableFieldId="10" dataCellStyle="Normal"/>
    <tableColumn id="11" xr3:uid="{0D01B58F-7ADD-4809-AFBD-FB1877681094}" uniqueName="11" name="ppi_cos" queryTableFieldId="11" dataCellStyle="Normal"/>
    <tableColumn id="12" xr3:uid="{B5A33B24-7A92-48EE-BF8A-90908BE5DE6C}" uniqueName="12" name="ppi_jac" queryTableFieldId="12" dataCellStyle="Normal"/>
    <tableColumn id="13" xr3:uid="{F08BD77C-67EF-42E8-BCD6-C32921141E80}" uniqueName="13" name="ppi_dice" queryTableFieldId="13" dataCellStyle="Normal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E9C3744-574D-4760-8548-F16D4D0B22E9}" name="Num_clusters6947933" displayName="Num_clusters6947933" ref="O54:AA66" tableType="queryTable" totalsRowShown="0">
  <autoFilter ref="O54:AA66" xr:uid="{38CE5A69-7459-4C66-AEE2-1EE832453199}"/>
  <tableColumns count="13">
    <tableColumn id="1" xr3:uid="{0BC22249-D9C6-4481-9EE3-3BD1E028AAC4}" uniqueName="1" name="Epsilon" queryTableFieldId="1" dataCellStyle="Énfasis6"/>
    <tableColumn id="2" xr3:uid="{FCE15EF0-A95A-41AF-8D6E-AE9A288CBDDF}" uniqueName="2" name="gen_cos" queryTableFieldId="2" dataCellStyle="Normal"/>
    <tableColumn id="3" xr3:uid="{9DB9B0AE-AD2F-42AB-AB2D-D0DB08EABDDB}" uniqueName="3" name="gen_jac" queryTableFieldId="3" dataCellStyle="Normal"/>
    <tableColumn id="4" xr3:uid="{A7C8C1C2-BCA1-4935-8E32-4A41358835E5}" uniqueName="4" name="gen_dic" queryTableFieldId="4" dataCellStyle="Normal"/>
    <tableColumn id="5" xr3:uid="{C0C69366-EB0C-4B1A-8A18-8B0559E471A6}" uniqueName="5" name="prot_cos" queryTableFieldId="5" dataCellStyle="Normal"/>
    <tableColumn id="6" xr3:uid="{B8F3E7F1-6EE0-4836-ABA3-59D8DC960CEA}" uniqueName="6" name="prot_jac" queryTableFieldId="6" dataCellStyle="Normal"/>
    <tableColumn id="7" xr3:uid="{69A24F01-FBE2-4662-86CA-76B0446F57BD}" uniqueName="7" name="prot_dic" queryTableFieldId="7" dataCellStyle="Normal"/>
    <tableColumn id="8" xr3:uid="{90FA2261-34FE-4CFF-B0F9-1733E0A57D16}" uniqueName="8" name="path_cos" queryTableFieldId="8" dataCellStyle="Normal"/>
    <tableColumn id="9" xr3:uid="{DBACF5F7-817E-4AC8-998B-0F88192D19A0}" uniqueName="9" name="path_jac" queryTableFieldId="9" dataCellStyle="Normal"/>
    <tableColumn id="10" xr3:uid="{8DFEE25B-7188-4357-87A1-1F620FF77C46}" uniqueName="10" name="path_dice" queryTableFieldId="10" dataCellStyle="Normal"/>
    <tableColumn id="11" xr3:uid="{3A6D3B7A-91D9-42DF-AD4E-F5D2787CBA6C}" uniqueName="11" name="ppi_cos" queryTableFieldId="11" dataCellStyle="Normal"/>
    <tableColumn id="12" xr3:uid="{54962B65-1E06-482E-A198-93FE41518AFF}" uniqueName="12" name="ppi_jac" queryTableFieldId="12" dataCellStyle="Normal"/>
    <tableColumn id="13" xr3:uid="{164A8414-8D69-4283-A488-0A88ACC0FA82}" uniqueName="13" name="ppi_dice" queryTableFieldId="13" dataCellStyle="Normal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63D80C4-C4D7-4A99-B983-813CF5BA485D}" name="Num_clusters692642" displayName="Num_clusters692642" ref="A3:M15" tableType="queryTable" totalsRowShown="0">
  <autoFilter ref="A3:M15" xr:uid="{E8E71591-2B41-4770-B43F-79C5DE61C777}"/>
  <tableColumns count="13">
    <tableColumn id="1" xr3:uid="{0954E4BD-AEC6-49C6-8470-67A87BAC9FD1}" uniqueName="1" name="Epsilon" queryTableFieldId="1" dataCellStyle="Énfasis6"/>
    <tableColumn id="2" xr3:uid="{F4DB742F-C3B0-4CD2-9853-0272F078675E}" uniqueName="2" name="gen_cos" queryTableFieldId="2" dataCellStyle="Normal"/>
    <tableColumn id="3" xr3:uid="{7EC3404E-844B-46BC-95BC-A3734D5FF1AF}" uniqueName="3" name="gen_jac" queryTableFieldId="3" dataCellStyle="Normal"/>
    <tableColumn id="4" xr3:uid="{21197BC1-B213-4BAF-8014-E6E704AE167F}" uniqueName="4" name="gen_dic" queryTableFieldId="4" dataCellStyle="Normal"/>
    <tableColumn id="5" xr3:uid="{F56C3D0A-A8D9-4EAA-8F78-02720C2AC2D5}" uniqueName="5" name="prot_cos" queryTableFieldId="5" dataCellStyle="Normal"/>
    <tableColumn id="6" xr3:uid="{4CD0A1E1-4743-4675-889A-1821BEF23E7A}" uniqueName="6" name="prot_jac" queryTableFieldId="6" dataCellStyle="Normal"/>
    <tableColumn id="7" xr3:uid="{5332CE8F-B19D-42F3-AED9-2B43ABE122D7}" uniqueName="7" name="prot_dic" queryTableFieldId="7" dataCellStyle="Normal"/>
    <tableColumn id="8" xr3:uid="{40BEF720-A6D9-4624-91D0-DE0C5738C298}" uniqueName="8" name="path_cos" queryTableFieldId="8" dataCellStyle="Normal"/>
    <tableColumn id="9" xr3:uid="{F17FE674-EE4C-4FFE-BEF8-091F76EDA9F3}" uniqueName="9" name="path_jac" queryTableFieldId="9" dataCellStyle="Normal"/>
    <tableColumn id="10" xr3:uid="{EF9A2BCC-0E39-47F2-8C53-14D6BEC5A363}" uniqueName="10" name="path_dice" queryTableFieldId="10" dataCellStyle="Normal"/>
    <tableColumn id="11" xr3:uid="{BE14B34D-BF5C-4604-9A6B-9E1A01BE3C0C}" uniqueName="11" name="ppi_cos" queryTableFieldId="11" dataCellStyle="Normal"/>
    <tableColumn id="12" xr3:uid="{7B3D0DA6-3515-4ACC-B05A-6456473897B5}" uniqueName="12" name="ppi_jac" queryTableFieldId="12" dataCellStyle="Normal"/>
    <tableColumn id="13" xr3:uid="{76A023F9-E50C-4741-A473-74DBB948F9E7}" uniqueName="13" name="ppi_dice" queryTableFieldId="13" dataCellStyle="Norm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6.xml"/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B506-B7BC-4C56-8DD9-27CD97250AEF}">
  <dimension ref="A1:AA74"/>
  <sheetViews>
    <sheetView topLeftCell="J32" zoomScale="66" workbookViewId="0">
      <selection activeCell="P74" sqref="P74"/>
    </sheetView>
  </sheetViews>
  <sheetFormatPr baseColWidth="10" defaultRowHeight="14.4" x14ac:dyDescent="0.3"/>
  <sheetData>
    <row r="1" spans="1:27" x14ac:dyDescent="0.3">
      <c r="A1" t="s">
        <v>12</v>
      </c>
    </row>
    <row r="2" spans="1:27" x14ac:dyDescent="0.3">
      <c r="A2" t="s">
        <v>32</v>
      </c>
      <c r="O2" t="s">
        <v>13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31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31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</row>
    <row r="4" spans="1:27" x14ac:dyDescent="0.3">
      <c r="A4" s="1">
        <v>0.3</v>
      </c>
      <c r="B4">
        <v>122</v>
      </c>
      <c r="C4">
        <v>58</v>
      </c>
      <c r="D4">
        <v>87</v>
      </c>
      <c r="E4">
        <v>125</v>
      </c>
      <c r="F4">
        <v>63</v>
      </c>
      <c r="G4">
        <v>90</v>
      </c>
      <c r="H4">
        <v>104</v>
      </c>
      <c r="I4">
        <v>134</v>
      </c>
      <c r="J4">
        <v>132</v>
      </c>
      <c r="K4">
        <v>78</v>
      </c>
      <c r="L4">
        <v>97</v>
      </c>
      <c r="M4">
        <v>109</v>
      </c>
      <c r="O4" s="1">
        <v>0.3</v>
      </c>
      <c r="P4">
        <f>0.0256</f>
        <v>2.5600000000000001E-2</v>
      </c>
      <c r="Q4">
        <v>1.17E-2</v>
      </c>
      <c r="R4">
        <f>0.0189</f>
        <v>1.89E-2</v>
      </c>
      <c r="S4">
        <f>0.012</f>
        <v>1.2E-2</v>
      </c>
      <c r="T4">
        <f>0.0037</f>
        <v>3.7000000000000002E-3</v>
      </c>
      <c r="U4">
        <f>0.0099</f>
        <v>9.9000000000000008E-3</v>
      </c>
      <c r="V4">
        <f>0.0057</f>
        <v>5.7000000000000002E-3</v>
      </c>
      <c r="W4">
        <v>7.7999999999999996E-3</v>
      </c>
      <c r="X4">
        <v>6.1600000000000002E-2</v>
      </c>
      <c r="Y4">
        <f>0.0105</f>
        <v>1.0500000000000001E-2</v>
      </c>
      <c r="Z4">
        <v>5.7700000000000001E-2</v>
      </c>
      <c r="AA4" s="3">
        <v>3.9600000000000003E-2</v>
      </c>
    </row>
    <row r="5" spans="1:27" x14ac:dyDescent="0.3">
      <c r="A5" s="1">
        <v>0.4</v>
      </c>
      <c r="B5">
        <v>147</v>
      </c>
      <c r="C5">
        <v>73</v>
      </c>
      <c r="D5">
        <v>134</v>
      </c>
      <c r="E5">
        <v>137</v>
      </c>
      <c r="F5">
        <v>83</v>
      </c>
      <c r="G5">
        <v>132</v>
      </c>
      <c r="H5">
        <v>78</v>
      </c>
      <c r="I5">
        <v>135</v>
      </c>
      <c r="J5">
        <v>96</v>
      </c>
      <c r="K5">
        <v>95</v>
      </c>
      <c r="L5">
        <v>108</v>
      </c>
      <c r="M5">
        <v>91</v>
      </c>
      <c r="O5" s="1">
        <v>0.4</v>
      </c>
      <c r="P5">
        <f>0.0178</f>
        <v>1.78E-2</v>
      </c>
      <c r="Q5">
        <v>1.2999999999999999E-2</v>
      </c>
      <c r="R5">
        <v>1.43E-2</v>
      </c>
      <c r="S5">
        <f>0.0158</f>
        <v>1.5800000000000002E-2</v>
      </c>
      <c r="T5">
        <v>1.1599999999999999E-2</v>
      </c>
      <c r="U5">
        <v>3.1199999999999999E-2</v>
      </c>
      <c r="V5">
        <f>0.0458</f>
        <v>4.58E-2</v>
      </c>
      <c r="W5">
        <v>5.5100000000000003E-2</v>
      </c>
      <c r="X5">
        <f>0.0222</f>
        <v>2.2200000000000001E-2</v>
      </c>
      <c r="Y5">
        <f>0.0001</f>
        <v>1E-4</v>
      </c>
      <c r="Z5" s="3">
        <v>7.0099999999999996E-2</v>
      </c>
      <c r="AA5">
        <v>1.7100000000000001E-2</v>
      </c>
    </row>
    <row r="6" spans="1:27" x14ac:dyDescent="0.3">
      <c r="A6" s="1">
        <v>0.5</v>
      </c>
      <c r="B6">
        <v>185</v>
      </c>
      <c r="C6">
        <v>123</v>
      </c>
      <c r="D6">
        <v>186</v>
      </c>
      <c r="E6">
        <v>162</v>
      </c>
      <c r="F6">
        <v>127</v>
      </c>
      <c r="G6">
        <v>169</v>
      </c>
      <c r="H6">
        <v>18</v>
      </c>
      <c r="I6">
        <v>105</v>
      </c>
      <c r="J6">
        <v>30</v>
      </c>
      <c r="K6">
        <v>53</v>
      </c>
      <c r="L6">
        <v>83</v>
      </c>
      <c r="M6">
        <v>75</v>
      </c>
      <c r="O6" s="1">
        <v>0.5</v>
      </c>
      <c r="P6">
        <v>8.3000000000000001E-3</v>
      </c>
      <c r="Q6">
        <v>3.6999999999999998E-2</v>
      </c>
      <c r="R6">
        <v>3.0099999999999998E-2</v>
      </c>
      <c r="S6" s="3">
        <v>2.3199999999999998E-2</v>
      </c>
      <c r="T6">
        <v>4.65E-2</v>
      </c>
      <c r="U6">
        <v>3.5900000000000001E-2</v>
      </c>
      <c r="V6">
        <f>0.0185</f>
        <v>1.8499999999999999E-2</v>
      </c>
      <c r="W6">
        <v>3.1699999999999999E-2</v>
      </c>
      <c r="X6">
        <f>0.0378</f>
        <v>3.78E-2</v>
      </c>
      <c r="Y6">
        <f>0.0314</f>
        <v>3.1399999999999997E-2</v>
      </c>
      <c r="Z6">
        <v>3.2099999999999997E-2</v>
      </c>
      <c r="AA6">
        <v>1.5E-3</v>
      </c>
    </row>
    <row r="7" spans="1:27" x14ac:dyDescent="0.3">
      <c r="A7" s="1">
        <v>0.6</v>
      </c>
      <c r="B7">
        <v>197</v>
      </c>
      <c r="C7">
        <v>153</v>
      </c>
      <c r="D7">
        <v>205</v>
      </c>
      <c r="E7">
        <v>152</v>
      </c>
      <c r="F7">
        <v>147</v>
      </c>
      <c r="G7">
        <v>181</v>
      </c>
      <c r="H7">
        <v>2</v>
      </c>
      <c r="I7">
        <v>80</v>
      </c>
      <c r="J7">
        <v>4</v>
      </c>
      <c r="K7">
        <v>34</v>
      </c>
      <c r="L7">
        <v>99</v>
      </c>
      <c r="M7">
        <v>51</v>
      </c>
      <c r="O7" s="1">
        <v>0.6</v>
      </c>
      <c r="P7">
        <v>1.01E-2</v>
      </c>
      <c r="Q7">
        <v>4.2500000000000003E-2</v>
      </c>
      <c r="R7" s="3">
        <v>4.5999999999999999E-2</v>
      </c>
      <c r="S7">
        <f>0.0017</f>
        <v>1.6999999999999999E-3</v>
      </c>
      <c r="T7">
        <v>5.1799999999999999E-2</v>
      </c>
      <c r="U7" s="3">
        <v>5.21E-2</v>
      </c>
      <c r="V7" s="3">
        <v>0.16009999999999999</v>
      </c>
      <c r="W7">
        <v>1.0699999999999999E-2</v>
      </c>
      <c r="X7">
        <v>6.8500000000000005E-2</v>
      </c>
      <c r="Y7">
        <f>0.0324</f>
        <v>3.2399999999999998E-2</v>
      </c>
      <c r="Z7">
        <v>3.8399999999999997E-2</v>
      </c>
      <c r="AA7">
        <f>0.0072</f>
        <v>7.1999999999999998E-3</v>
      </c>
    </row>
    <row r="8" spans="1:27" x14ac:dyDescent="0.3">
      <c r="A8" s="1">
        <v>0.65</v>
      </c>
      <c r="B8">
        <v>155</v>
      </c>
      <c r="C8">
        <v>173</v>
      </c>
      <c r="D8">
        <v>219</v>
      </c>
      <c r="E8">
        <v>119</v>
      </c>
      <c r="F8">
        <v>157</v>
      </c>
      <c r="G8">
        <v>184</v>
      </c>
      <c r="H8">
        <v>1</v>
      </c>
      <c r="I8">
        <v>63</v>
      </c>
      <c r="J8">
        <v>2</v>
      </c>
      <c r="K8">
        <v>30</v>
      </c>
      <c r="L8">
        <v>100</v>
      </c>
      <c r="M8">
        <v>46</v>
      </c>
      <c r="O8" s="1">
        <v>0.65</v>
      </c>
      <c r="P8">
        <f>0.0193</f>
        <v>1.9300000000000001E-2</v>
      </c>
      <c r="Q8">
        <v>4.5900000000000003E-2</v>
      </c>
      <c r="R8">
        <v>4.07E-2</v>
      </c>
      <c r="S8">
        <f>0.0178</f>
        <v>1.78E-2</v>
      </c>
      <c r="T8">
        <v>4.5600000000000002E-2</v>
      </c>
      <c r="U8">
        <v>4.9700000000000001E-2</v>
      </c>
      <c r="V8">
        <v>0.16309999999999999</v>
      </c>
      <c r="W8">
        <v>9.7000000000000003E-3</v>
      </c>
      <c r="X8">
        <v>0.1328</v>
      </c>
      <c r="Y8">
        <f>0.0278</f>
        <v>2.7799999999999998E-2</v>
      </c>
      <c r="Z8">
        <v>4.0399999999999998E-2</v>
      </c>
      <c r="AA8">
        <f>0.0047</f>
        <v>4.7000000000000002E-3</v>
      </c>
    </row>
    <row r="9" spans="1:27" x14ac:dyDescent="0.3">
      <c r="A9" s="1">
        <v>0.7</v>
      </c>
      <c r="B9">
        <v>110</v>
      </c>
      <c r="C9">
        <v>190</v>
      </c>
      <c r="D9">
        <v>189</v>
      </c>
      <c r="E9">
        <v>86</v>
      </c>
      <c r="F9">
        <v>170</v>
      </c>
      <c r="G9">
        <v>157</v>
      </c>
      <c r="H9">
        <v>1</v>
      </c>
      <c r="I9">
        <v>18</v>
      </c>
      <c r="J9">
        <v>1</v>
      </c>
      <c r="K9">
        <v>20</v>
      </c>
      <c r="L9">
        <v>78</v>
      </c>
      <c r="M9">
        <v>42</v>
      </c>
      <c r="O9" s="1">
        <v>0.7</v>
      </c>
      <c r="P9">
        <f>0.0296</f>
        <v>2.9600000000000001E-2</v>
      </c>
      <c r="Q9">
        <v>5.0299999999999997E-2</v>
      </c>
      <c r="R9">
        <v>2.76E-2</v>
      </c>
      <c r="S9">
        <f>0.0145</f>
        <v>1.4500000000000001E-2</v>
      </c>
      <c r="T9" s="3">
        <v>5.4800000000000001E-2</v>
      </c>
      <c r="U9">
        <v>2.3800000000000002E-2</v>
      </c>
      <c r="V9">
        <v>0.16309999999999999</v>
      </c>
      <c r="W9">
        <v>2.52E-2</v>
      </c>
      <c r="X9" s="3">
        <v>0.1333</v>
      </c>
      <c r="Y9">
        <f>0.0248</f>
        <v>2.4799999999999999E-2</v>
      </c>
      <c r="Z9">
        <v>1.8200000000000001E-2</v>
      </c>
      <c r="AA9">
        <f>0.011</f>
        <v>1.0999999999999999E-2</v>
      </c>
    </row>
    <row r="10" spans="1:27" x14ac:dyDescent="0.3">
      <c r="A10" s="1">
        <v>0.75</v>
      </c>
      <c r="B10">
        <v>41</v>
      </c>
      <c r="C10">
        <v>205</v>
      </c>
      <c r="D10">
        <v>116</v>
      </c>
      <c r="E10">
        <v>35</v>
      </c>
      <c r="F10">
        <v>181</v>
      </c>
      <c r="G10">
        <v>93</v>
      </c>
      <c r="H10">
        <v>1</v>
      </c>
      <c r="I10">
        <v>4</v>
      </c>
      <c r="J10">
        <v>1</v>
      </c>
      <c r="K10">
        <v>9</v>
      </c>
      <c r="L10">
        <v>51</v>
      </c>
      <c r="M10">
        <v>25</v>
      </c>
      <c r="O10" s="1">
        <v>0.75</v>
      </c>
      <c r="P10">
        <f>0.0427</f>
        <v>4.2700000000000002E-2</v>
      </c>
      <c r="Q10" s="3">
        <v>5.0500000000000003E-2</v>
      </c>
      <c r="R10">
        <f>0.0055</f>
        <v>5.4999999999999997E-3</v>
      </c>
      <c r="S10">
        <f>0.0224</f>
        <v>2.24E-2</v>
      </c>
      <c r="T10">
        <v>5.3699999999999998E-2</v>
      </c>
      <c r="U10">
        <f>0.0016</f>
        <v>1.6000000000000001E-3</v>
      </c>
      <c r="V10">
        <v>0.16300000000000001</v>
      </c>
      <c r="W10">
        <v>4.9000000000000002E-2</v>
      </c>
      <c r="X10" s="3">
        <v>0.1333</v>
      </c>
      <c r="Y10">
        <f>0.0253</f>
        <v>2.53E-2</v>
      </c>
      <c r="Z10">
        <v>7.3000000000000001E-3</v>
      </c>
      <c r="AA10">
        <f>0.0129</f>
        <v>1.29E-2</v>
      </c>
    </row>
    <row r="11" spans="1:27" x14ac:dyDescent="0.3">
      <c r="A11" s="1">
        <v>0.8</v>
      </c>
      <c r="B11">
        <v>9</v>
      </c>
      <c r="C11">
        <v>194</v>
      </c>
      <c r="D11">
        <v>53</v>
      </c>
      <c r="E11">
        <v>8</v>
      </c>
      <c r="F11">
        <v>162</v>
      </c>
      <c r="G11">
        <v>49</v>
      </c>
      <c r="H11">
        <v>1</v>
      </c>
      <c r="I11">
        <v>1</v>
      </c>
      <c r="J11">
        <v>1</v>
      </c>
      <c r="K11">
        <v>3</v>
      </c>
      <c r="L11">
        <v>42</v>
      </c>
      <c r="M11">
        <v>11</v>
      </c>
      <c r="O11" s="1">
        <v>0.8</v>
      </c>
      <c r="P11">
        <f>0.0157</f>
        <v>1.5699999999999999E-2</v>
      </c>
      <c r="Q11">
        <v>3.3099999999999997E-2</v>
      </c>
      <c r="R11">
        <f>0.0138</f>
        <v>1.38E-2</v>
      </c>
      <c r="S11">
        <v>1.6299999999999999E-2</v>
      </c>
      <c r="T11">
        <v>3.1399999999999997E-2</v>
      </c>
      <c r="U11">
        <f>0.0077</f>
        <v>7.7000000000000002E-3</v>
      </c>
      <c r="V11">
        <v>0.16300000000000001</v>
      </c>
      <c r="W11" s="3">
        <v>8.5000000000000006E-2</v>
      </c>
      <c r="X11" s="3">
        <v>0.1333</v>
      </c>
      <c r="Y11">
        <f>0.0002</f>
        <v>2.0000000000000001E-4</v>
      </c>
      <c r="Z11">
        <v>6.9999999999999999E-4</v>
      </c>
      <c r="AA11">
        <v>2E-3</v>
      </c>
    </row>
    <row r="12" spans="1:27" x14ac:dyDescent="0.3">
      <c r="A12" s="1">
        <v>0.85</v>
      </c>
      <c r="B12">
        <v>6</v>
      </c>
      <c r="C12">
        <v>140</v>
      </c>
      <c r="D12">
        <v>18</v>
      </c>
      <c r="E12">
        <v>6</v>
      </c>
      <c r="F12">
        <v>117</v>
      </c>
      <c r="G12">
        <v>19</v>
      </c>
      <c r="H12">
        <v>1</v>
      </c>
      <c r="I12">
        <v>1</v>
      </c>
      <c r="J12">
        <v>1</v>
      </c>
      <c r="K12">
        <v>2</v>
      </c>
      <c r="L12">
        <v>30</v>
      </c>
      <c r="M12">
        <v>6</v>
      </c>
      <c r="O12" s="1">
        <v>0.85</v>
      </c>
      <c r="P12" s="3">
        <v>1.38E-2</v>
      </c>
      <c r="Q12">
        <v>1.55E-2</v>
      </c>
      <c r="R12">
        <v>3.8E-3</v>
      </c>
      <c r="S12">
        <v>1.77E-2</v>
      </c>
      <c r="T12">
        <v>1.6299999999999999E-2</v>
      </c>
      <c r="U12">
        <v>1.2699999999999999E-2</v>
      </c>
      <c r="V12">
        <v>0.16300000000000001</v>
      </c>
      <c r="W12" s="3">
        <v>8.5000000000000006E-2</v>
      </c>
      <c r="X12">
        <v>0.13320000000000001</v>
      </c>
      <c r="Y12" s="3">
        <v>1.37E-2</v>
      </c>
      <c r="Z12">
        <f>0.0002</f>
        <v>2.0000000000000001E-4</v>
      </c>
      <c r="AA12">
        <v>1.2800000000000001E-2</v>
      </c>
    </row>
    <row r="13" spans="1:27" x14ac:dyDescent="0.3">
      <c r="A13" s="1">
        <v>0.9</v>
      </c>
      <c r="B13">
        <v>4</v>
      </c>
      <c r="C13">
        <v>35</v>
      </c>
      <c r="D13">
        <v>7</v>
      </c>
      <c r="E13">
        <v>4</v>
      </c>
      <c r="F13">
        <v>30</v>
      </c>
      <c r="G13">
        <v>7</v>
      </c>
      <c r="H13">
        <v>1</v>
      </c>
      <c r="I13">
        <v>1</v>
      </c>
      <c r="J13">
        <v>1</v>
      </c>
      <c r="K13">
        <v>2</v>
      </c>
      <c r="L13">
        <v>11</v>
      </c>
      <c r="M13">
        <v>2</v>
      </c>
      <c r="O13" s="1">
        <v>0.9</v>
      </c>
      <c r="P13">
        <v>1.3299999999999999E-2</v>
      </c>
      <c r="Q13">
        <f>0.0005</f>
        <v>5.0000000000000001E-4</v>
      </c>
      <c r="R13">
        <v>1.24E-2</v>
      </c>
      <c r="S13">
        <v>1.7100000000000001E-2</v>
      </c>
      <c r="T13">
        <v>4.1000000000000003E-3</v>
      </c>
      <c r="U13">
        <v>1.5900000000000001E-2</v>
      </c>
      <c r="V13">
        <v>0.16300000000000001</v>
      </c>
      <c r="W13">
        <v>8.4900000000000003E-2</v>
      </c>
      <c r="X13">
        <v>0.13320000000000001</v>
      </c>
      <c r="Y13">
        <v>1.3599999999999999E-2</v>
      </c>
      <c r="Z13">
        <v>2.5999999999999999E-3</v>
      </c>
      <c r="AA13">
        <v>1.01E-2</v>
      </c>
    </row>
    <row r="14" spans="1:27" x14ac:dyDescent="0.3">
      <c r="A14" s="1">
        <v>0.95</v>
      </c>
      <c r="B14">
        <v>1</v>
      </c>
      <c r="C14">
        <v>7</v>
      </c>
      <c r="D14">
        <v>4</v>
      </c>
      <c r="E14">
        <v>1</v>
      </c>
      <c r="F14">
        <v>7</v>
      </c>
      <c r="G14">
        <v>4</v>
      </c>
      <c r="H14">
        <v>1</v>
      </c>
      <c r="I14">
        <v>1</v>
      </c>
      <c r="J14">
        <v>1</v>
      </c>
      <c r="K14">
        <v>2</v>
      </c>
      <c r="L14">
        <v>2</v>
      </c>
      <c r="M14">
        <v>2</v>
      </c>
      <c r="O14" s="1">
        <v>0.95</v>
      </c>
      <c r="P14">
        <v>1.0999999999999999E-2</v>
      </c>
      <c r="Q14">
        <v>8.0999999999999996E-3</v>
      </c>
      <c r="R14">
        <v>1.06E-2</v>
      </c>
      <c r="S14">
        <v>1.44E-2</v>
      </c>
      <c r="T14">
        <v>1.0699999999999999E-2</v>
      </c>
      <c r="U14">
        <v>1.4E-2</v>
      </c>
      <c r="V14">
        <v>0.16300000000000001</v>
      </c>
      <c r="W14">
        <v>8.4900000000000003E-2</v>
      </c>
      <c r="X14">
        <v>0.13320000000000001</v>
      </c>
      <c r="Y14">
        <v>1.3599999999999999E-2</v>
      </c>
      <c r="Z14">
        <v>6.4000000000000003E-3</v>
      </c>
      <c r="AA14">
        <v>0.01</v>
      </c>
    </row>
    <row r="15" spans="1:27" x14ac:dyDescent="0.3">
      <c r="A15" s="1">
        <v>0.99</v>
      </c>
      <c r="B15">
        <v>1</v>
      </c>
      <c r="C15">
        <v>2</v>
      </c>
      <c r="D15">
        <v>2</v>
      </c>
      <c r="E15">
        <v>1</v>
      </c>
      <c r="F15">
        <v>2</v>
      </c>
      <c r="G15">
        <v>2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O15" s="1">
        <v>0.99</v>
      </c>
      <c r="P15">
        <v>1.0999999999999999E-2</v>
      </c>
      <c r="Q15">
        <v>4.5999999999999999E-3</v>
      </c>
      <c r="R15">
        <v>8.3999999999999995E-3</v>
      </c>
      <c r="S15">
        <v>1.44E-2</v>
      </c>
      <c r="T15">
        <v>7.1000000000000004E-3</v>
      </c>
      <c r="U15">
        <v>1.18E-2</v>
      </c>
      <c r="V15">
        <v>0.16300000000000001</v>
      </c>
      <c r="W15">
        <v>8.4900000000000003E-2</v>
      </c>
      <c r="X15">
        <v>0.13320000000000001</v>
      </c>
      <c r="Y15">
        <v>1.35E-2</v>
      </c>
      <c r="Z15">
        <v>6.3E-3</v>
      </c>
      <c r="AA15">
        <v>0.01</v>
      </c>
    </row>
    <row r="18" spans="1:27" x14ac:dyDescent="0.3">
      <c r="A18" t="s">
        <v>14</v>
      </c>
    </row>
    <row r="19" spans="1:27" x14ac:dyDescent="0.3">
      <c r="A19" t="s">
        <v>32</v>
      </c>
      <c r="O19" t="s">
        <v>13</v>
      </c>
    </row>
    <row r="20" spans="1:2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31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O20" t="s">
        <v>0</v>
      </c>
      <c r="P20" t="s">
        <v>1</v>
      </c>
      <c r="Q20" t="s">
        <v>2</v>
      </c>
      <c r="R20" t="s">
        <v>3</v>
      </c>
      <c r="S20" t="s">
        <v>4</v>
      </c>
      <c r="T20" t="s">
        <v>31</v>
      </c>
      <c r="U20" t="s">
        <v>5</v>
      </c>
      <c r="V20" t="s">
        <v>6</v>
      </c>
      <c r="W20" t="s">
        <v>7</v>
      </c>
      <c r="X20" t="s">
        <v>8</v>
      </c>
      <c r="Y20" t="s">
        <v>9</v>
      </c>
      <c r="Z20" t="s">
        <v>10</v>
      </c>
      <c r="AA20" t="s">
        <v>11</v>
      </c>
    </row>
    <row r="21" spans="1:27" x14ac:dyDescent="0.3">
      <c r="A21" s="1">
        <v>0.3</v>
      </c>
      <c r="B21">
        <v>34</v>
      </c>
      <c r="C21">
        <v>8</v>
      </c>
      <c r="D21">
        <v>11</v>
      </c>
      <c r="E21">
        <v>43</v>
      </c>
      <c r="F21">
        <v>16</v>
      </c>
      <c r="G21">
        <v>19</v>
      </c>
      <c r="H21">
        <v>49</v>
      </c>
      <c r="I21">
        <v>61</v>
      </c>
      <c r="J21">
        <v>61</v>
      </c>
      <c r="K21">
        <v>36</v>
      </c>
      <c r="L21">
        <v>38</v>
      </c>
      <c r="M21">
        <v>43</v>
      </c>
      <c r="O21" s="1">
        <v>0.3</v>
      </c>
      <c r="P21">
        <f>0.022</f>
        <v>2.1999999999999999E-2</v>
      </c>
      <c r="Q21">
        <v>9.4999999999999998E-3</v>
      </c>
      <c r="R21">
        <v>4.3E-3</v>
      </c>
      <c r="S21">
        <f>0.0306</f>
        <v>3.0599999999999999E-2</v>
      </c>
      <c r="T21">
        <f>0.0211</f>
        <v>2.1100000000000001E-2</v>
      </c>
      <c r="U21">
        <f>0.0158</f>
        <v>1.5800000000000002E-2</v>
      </c>
      <c r="V21">
        <v>2.0999999999999999E-3</v>
      </c>
      <c r="W21">
        <f>0.0307</f>
        <v>3.0700000000000002E-2</v>
      </c>
      <c r="X21">
        <v>5.57E-2</v>
      </c>
      <c r="Y21">
        <f>0.0031</f>
        <v>3.0999999999999999E-3</v>
      </c>
      <c r="Z21">
        <v>1.7500000000000002E-2</v>
      </c>
      <c r="AA21">
        <v>2.8999999999999998E-3</v>
      </c>
    </row>
    <row r="22" spans="1:27" x14ac:dyDescent="0.3">
      <c r="A22" s="1">
        <v>0.4</v>
      </c>
      <c r="B22">
        <v>37</v>
      </c>
      <c r="C22">
        <v>10</v>
      </c>
      <c r="D22">
        <v>35</v>
      </c>
      <c r="E22">
        <v>42</v>
      </c>
      <c r="F22">
        <v>19</v>
      </c>
      <c r="G22">
        <v>43</v>
      </c>
      <c r="H22">
        <v>38</v>
      </c>
      <c r="I22">
        <v>60</v>
      </c>
      <c r="J22">
        <v>48</v>
      </c>
      <c r="K22">
        <v>41</v>
      </c>
      <c r="L22">
        <v>41</v>
      </c>
      <c r="M22">
        <v>39</v>
      </c>
      <c r="O22" s="1">
        <v>0.4</v>
      </c>
      <c r="P22">
        <f>0.0208</f>
        <v>2.0799999999999999E-2</v>
      </c>
      <c r="Q22">
        <v>8.0999999999999996E-3</v>
      </c>
      <c r="R22">
        <v>5.3E-3</v>
      </c>
      <c r="S22">
        <f>0.0039</f>
        <v>3.8999999999999998E-3</v>
      </c>
      <c r="T22">
        <f>0.0108</f>
        <v>1.0800000000000001E-2</v>
      </c>
      <c r="U22">
        <v>8.8000000000000005E-3</v>
      </c>
      <c r="V22">
        <f>0.0162</f>
        <v>1.6199999999999999E-2</v>
      </c>
      <c r="W22">
        <v>5.5500000000000001E-2</v>
      </c>
      <c r="X22">
        <v>3.2000000000000002E-3</v>
      </c>
      <c r="Y22">
        <f>0.0047</f>
        <v>4.7000000000000002E-3</v>
      </c>
      <c r="Z22" s="3">
        <v>2.9899999999999999E-2</v>
      </c>
      <c r="AA22">
        <v>7.7000000000000002E-3</v>
      </c>
    </row>
    <row r="23" spans="1:27" x14ac:dyDescent="0.3">
      <c r="A23" s="1">
        <v>0.5</v>
      </c>
      <c r="B23">
        <v>61</v>
      </c>
      <c r="C23">
        <v>35</v>
      </c>
      <c r="D23">
        <v>54</v>
      </c>
      <c r="E23">
        <v>60</v>
      </c>
      <c r="F23">
        <v>44</v>
      </c>
      <c r="G23">
        <v>57</v>
      </c>
      <c r="H23">
        <v>7</v>
      </c>
      <c r="I23">
        <v>47</v>
      </c>
      <c r="J23">
        <v>13</v>
      </c>
      <c r="K23">
        <v>14</v>
      </c>
      <c r="L23">
        <v>38</v>
      </c>
      <c r="M23">
        <v>24</v>
      </c>
      <c r="O23" s="1">
        <v>0.5</v>
      </c>
      <c r="P23">
        <f>0.019</f>
        <v>1.9E-2</v>
      </c>
      <c r="Q23" s="3">
        <v>1.44E-2</v>
      </c>
      <c r="R23" s="3">
        <v>1.11E-2</v>
      </c>
      <c r="S23">
        <v>7.6E-3</v>
      </c>
      <c r="T23">
        <v>1.41E-2</v>
      </c>
      <c r="U23">
        <v>6.1000000000000004E-3</v>
      </c>
      <c r="V23">
        <v>4.02E-2</v>
      </c>
      <c r="W23">
        <v>3.8100000000000002E-2</v>
      </c>
      <c r="X23">
        <v>2.0999999999999999E-3</v>
      </c>
      <c r="Y23">
        <f>0.015</f>
        <v>1.4999999999999999E-2</v>
      </c>
      <c r="Z23">
        <v>1.9199999999999998E-2</v>
      </c>
      <c r="AA23">
        <v>6.7000000000000002E-3</v>
      </c>
    </row>
    <row r="24" spans="1:27" x14ac:dyDescent="0.3">
      <c r="A24" s="1">
        <v>0.6</v>
      </c>
      <c r="B24">
        <v>71</v>
      </c>
      <c r="C24">
        <v>38</v>
      </c>
      <c r="D24">
        <v>80</v>
      </c>
      <c r="E24">
        <v>57</v>
      </c>
      <c r="F24">
        <v>43</v>
      </c>
      <c r="G24">
        <v>68</v>
      </c>
      <c r="H24">
        <v>2</v>
      </c>
      <c r="I24">
        <v>41</v>
      </c>
      <c r="J24">
        <v>2</v>
      </c>
      <c r="K24">
        <v>8</v>
      </c>
      <c r="L24">
        <v>42</v>
      </c>
      <c r="M24">
        <v>12</v>
      </c>
      <c r="O24" s="1">
        <v>0.6</v>
      </c>
      <c r="P24">
        <f>0.0177</f>
        <v>1.77E-2</v>
      </c>
      <c r="Q24">
        <v>1.37E-2</v>
      </c>
      <c r="R24">
        <v>8.9999999999999998E-4</v>
      </c>
      <c r="S24">
        <v>1.0500000000000001E-2</v>
      </c>
      <c r="T24">
        <v>2.6700000000000002E-2</v>
      </c>
      <c r="U24">
        <v>2.8299999999999999E-2</v>
      </c>
      <c r="V24" s="3">
        <v>0.16009999999999999</v>
      </c>
      <c r="W24">
        <v>3.8E-3</v>
      </c>
      <c r="X24" s="3">
        <v>0.13159999999999999</v>
      </c>
      <c r="Y24">
        <f>0.0093</f>
        <v>9.2999999999999992E-3</v>
      </c>
      <c r="Z24">
        <v>2.1299999999999999E-2</v>
      </c>
      <c r="AA24">
        <f>0.0038</f>
        <v>3.8E-3</v>
      </c>
    </row>
    <row r="25" spans="1:27" x14ac:dyDescent="0.3">
      <c r="A25" s="1">
        <v>0.65</v>
      </c>
      <c r="B25">
        <v>51</v>
      </c>
      <c r="C25">
        <v>41</v>
      </c>
      <c r="D25">
        <v>80</v>
      </c>
      <c r="E25">
        <v>39</v>
      </c>
      <c r="F25">
        <v>44</v>
      </c>
      <c r="G25">
        <v>73</v>
      </c>
      <c r="H25">
        <v>1</v>
      </c>
      <c r="I25">
        <v>28</v>
      </c>
      <c r="J25">
        <v>2</v>
      </c>
      <c r="K25">
        <v>8</v>
      </c>
      <c r="L25">
        <v>45</v>
      </c>
      <c r="M25">
        <v>12</v>
      </c>
      <c r="O25" s="1">
        <v>0.65</v>
      </c>
      <c r="P25">
        <f>0.0329</f>
        <v>3.2899999999999999E-2</v>
      </c>
      <c r="Q25">
        <v>1.34E-2</v>
      </c>
      <c r="R25">
        <v>1.9E-3</v>
      </c>
      <c r="S25">
        <f>0.0095</f>
        <v>9.4999999999999998E-3</v>
      </c>
      <c r="T25">
        <v>1.4E-2</v>
      </c>
      <c r="U25" s="3">
        <v>2.9399999999999999E-2</v>
      </c>
      <c r="V25">
        <v>0.16309999999999999</v>
      </c>
      <c r="W25">
        <v>1.7999999999999999E-2</v>
      </c>
      <c r="X25" s="3">
        <v>0.1328</v>
      </c>
      <c r="Y25">
        <f>0.0159</f>
        <v>1.5900000000000001E-2</v>
      </c>
      <c r="Z25">
        <v>2.0400000000000001E-2</v>
      </c>
      <c r="AA25">
        <v>1E-4</v>
      </c>
    </row>
    <row r="26" spans="1:27" x14ac:dyDescent="0.3">
      <c r="A26" s="1">
        <v>0.7</v>
      </c>
      <c r="B26">
        <v>44</v>
      </c>
      <c r="C26">
        <v>62</v>
      </c>
      <c r="D26">
        <v>80</v>
      </c>
      <c r="E26">
        <v>36</v>
      </c>
      <c r="F26">
        <v>59</v>
      </c>
      <c r="G26">
        <v>69</v>
      </c>
      <c r="H26">
        <v>1</v>
      </c>
      <c r="I26">
        <v>9</v>
      </c>
      <c r="J26">
        <v>1</v>
      </c>
      <c r="K26">
        <v>4</v>
      </c>
      <c r="L26">
        <v>24</v>
      </c>
      <c r="M26">
        <v>10</v>
      </c>
      <c r="O26" s="1">
        <v>0.7</v>
      </c>
      <c r="P26">
        <f>0.0277</f>
        <v>2.7699999999999999E-2</v>
      </c>
      <c r="Q26">
        <v>9.9000000000000008E-3</v>
      </c>
      <c r="R26">
        <v>8.9999999999999998E-4</v>
      </c>
      <c r="S26">
        <f>0.0138</f>
        <v>1.38E-2</v>
      </c>
      <c r="T26" s="3">
        <v>2.9000000000000001E-2</v>
      </c>
      <c r="U26">
        <v>1.4500000000000001E-2</v>
      </c>
      <c r="V26">
        <v>0.16309999999999999</v>
      </c>
      <c r="W26">
        <v>3.95E-2</v>
      </c>
      <c r="X26">
        <v>0.1333</v>
      </c>
      <c r="Y26">
        <f>0.0115</f>
        <v>1.15E-2</v>
      </c>
      <c r="Z26">
        <v>1.4800000000000001E-2</v>
      </c>
      <c r="AA26">
        <f>0.0052</f>
        <v>5.1999999999999998E-3</v>
      </c>
    </row>
    <row r="27" spans="1:27" x14ac:dyDescent="0.3">
      <c r="A27" s="1">
        <v>0.75</v>
      </c>
      <c r="B27">
        <v>12</v>
      </c>
      <c r="C27">
        <v>80</v>
      </c>
      <c r="D27">
        <v>43</v>
      </c>
      <c r="E27">
        <v>17</v>
      </c>
      <c r="F27">
        <v>68</v>
      </c>
      <c r="G27">
        <v>37</v>
      </c>
      <c r="H27">
        <v>1</v>
      </c>
      <c r="I27">
        <v>2</v>
      </c>
      <c r="J27">
        <v>1</v>
      </c>
      <c r="K27">
        <v>1</v>
      </c>
      <c r="L27">
        <v>12</v>
      </c>
      <c r="M27">
        <v>6</v>
      </c>
      <c r="O27" s="1">
        <v>0.75</v>
      </c>
      <c r="P27">
        <v>2.8999999999999998E-3</v>
      </c>
      <c r="Q27">
        <v>1.17E-2</v>
      </c>
      <c r="R27">
        <f>0.0083</f>
        <v>8.3000000000000001E-3</v>
      </c>
      <c r="S27">
        <v>1.1999999999999999E-3</v>
      </c>
      <c r="T27">
        <v>2.8000000000000001E-2</v>
      </c>
      <c r="U27">
        <v>2.5000000000000001E-3</v>
      </c>
      <c r="V27">
        <v>0.16300000000000001</v>
      </c>
      <c r="W27">
        <v>8.4199999999999997E-2</v>
      </c>
      <c r="X27">
        <v>0.1333</v>
      </c>
      <c r="Y27">
        <v>1.0800000000000001E-2</v>
      </c>
      <c r="Z27">
        <v>2E-3</v>
      </c>
      <c r="AA27">
        <f>0.0065</f>
        <v>6.4999999999999997E-3</v>
      </c>
    </row>
    <row r="28" spans="1:27" x14ac:dyDescent="0.3">
      <c r="A28" s="1">
        <v>0.8</v>
      </c>
      <c r="B28">
        <v>3</v>
      </c>
      <c r="C28">
        <v>78</v>
      </c>
      <c r="D28">
        <v>15</v>
      </c>
      <c r="E28">
        <v>4</v>
      </c>
      <c r="F28">
        <v>68</v>
      </c>
      <c r="G28">
        <v>16</v>
      </c>
      <c r="H28">
        <v>1</v>
      </c>
      <c r="I28">
        <v>1</v>
      </c>
      <c r="J28">
        <v>1</v>
      </c>
      <c r="K28">
        <v>1</v>
      </c>
      <c r="L28">
        <v>10</v>
      </c>
      <c r="M28">
        <v>3</v>
      </c>
      <c r="O28" s="1">
        <v>0.8</v>
      </c>
      <c r="P28">
        <v>1.0200000000000001E-2</v>
      </c>
      <c r="Q28">
        <v>5.7000000000000002E-3</v>
      </c>
      <c r="R28">
        <f>0.0073</f>
        <v>7.3000000000000001E-3</v>
      </c>
      <c r="S28">
        <v>1.43E-2</v>
      </c>
      <c r="T28">
        <v>1.8800000000000001E-2</v>
      </c>
      <c r="U28">
        <f>0.0003</f>
        <v>2.9999999999999997E-4</v>
      </c>
      <c r="V28">
        <v>0.16300000000000001</v>
      </c>
      <c r="W28" s="3">
        <v>8.5000000000000006E-2</v>
      </c>
      <c r="X28">
        <v>0.1333</v>
      </c>
      <c r="Y28">
        <v>1.23E-2</v>
      </c>
      <c r="Z28">
        <v>1.6000000000000001E-3</v>
      </c>
      <c r="AA28">
        <v>6.1000000000000004E-3</v>
      </c>
    </row>
    <row r="29" spans="1:27" x14ac:dyDescent="0.3">
      <c r="A29" s="1">
        <v>0.85</v>
      </c>
      <c r="B29">
        <v>2</v>
      </c>
      <c r="C29">
        <v>59</v>
      </c>
      <c r="D29">
        <v>4</v>
      </c>
      <c r="E29">
        <v>2</v>
      </c>
      <c r="F29">
        <v>50</v>
      </c>
      <c r="G29">
        <v>5</v>
      </c>
      <c r="H29">
        <v>1</v>
      </c>
      <c r="I29">
        <v>1</v>
      </c>
      <c r="J29">
        <v>1</v>
      </c>
      <c r="K29">
        <v>1</v>
      </c>
      <c r="L29">
        <v>7</v>
      </c>
      <c r="M29">
        <v>1</v>
      </c>
      <c r="O29" s="1">
        <v>0.85</v>
      </c>
      <c r="P29" s="3">
        <v>1.23E-2</v>
      </c>
      <c r="Q29">
        <v>1.8E-3</v>
      </c>
      <c r="R29">
        <v>9.4000000000000004E-3</v>
      </c>
      <c r="S29" s="3">
        <v>1.5800000000000002E-2</v>
      </c>
      <c r="T29">
        <v>9.9000000000000008E-3</v>
      </c>
      <c r="U29">
        <v>1.35E-2</v>
      </c>
      <c r="V29">
        <v>0.16300000000000001</v>
      </c>
      <c r="W29" s="3">
        <v>8.5000000000000006E-2</v>
      </c>
      <c r="X29">
        <v>0.13320000000000001</v>
      </c>
      <c r="Y29" s="3">
        <v>1.2699999999999999E-2</v>
      </c>
      <c r="Z29">
        <f>0.0016</f>
        <v>1.6000000000000001E-3</v>
      </c>
      <c r="AA29">
        <v>9.1000000000000004E-3</v>
      </c>
    </row>
    <row r="30" spans="1:27" x14ac:dyDescent="0.3">
      <c r="A30" s="1">
        <v>0.9</v>
      </c>
      <c r="B30">
        <v>2</v>
      </c>
      <c r="C30">
        <v>12</v>
      </c>
      <c r="D30">
        <v>2</v>
      </c>
      <c r="E30">
        <v>2</v>
      </c>
      <c r="F30">
        <v>9</v>
      </c>
      <c r="G30">
        <v>2</v>
      </c>
      <c r="H30">
        <v>1</v>
      </c>
      <c r="I30">
        <v>1</v>
      </c>
      <c r="J30">
        <v>1</v>
      </c>
      <c r="K30">
        <v>1</v>
      </c>
      <c r="L30">
        <v>2</v>
      </c>
      <c r="M30">
        <v>1</v>
      </c>
      <c r="O30" s="1">
        <v>0.9</v>
      </c>
      <c r="P30">
        <v>1.2200000000000001E-2</v>
      </c>
      <c r="Q30">
        <f>0.0019</f>
        <v>1.9E-3</v>
      </c>
      <c r="R30">
        <v>9.2999999999999992E-3</v>
      </c>
      <c r="S30">
        <v>1.5699999999999999E-2</v>
      </c>
      <c r="T30">
        <v>4.1000000000000003E-3</v>
      </c>
      <c r="U30">
        <v>1.24E-2</v>
      </c>
      <c r="V30">
        <v>0.16300000000000001</v>
      </c>
      <c r="W30">
        <v>8.4900000000000003E-2</v>
      </c>
      <c r="X30">
        <v>0.13320000000000001</v>
      </c>
      <c r="Y30" s="3">
        <v>1.2699999999999999E-2</v>
      </c>
      <c r="Z30">
        <v>3.5999999999999999E-3</v>
      </c>
      <c r="AA30">
        <v>9.1000000000000004E-3</v>
      </c>
    </row>
    <row r="31" spans="1:27" x14ac:dyDescent="0.3">
      <c r="A31" s="1">
        <v>0.95</v>
      </c>
      <c r="B31">
        <v>1</v>
      </c>
      <c r="C31">
        <v>2</v>
      </c>
      <c r="D31">
        <v>2</v>
      </c>
      <c r="E31">
        <v>1</v>
      </c>
      <c r="F31">
        <v>2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O31" s="1">
        <v>0.95</v>
      </c>
      <c r="P31">
        <v>1.0999999999999999E-2</v>
      </c>
      <c r="Q31">
        <v>5.3E-3</v>
      </c>
      <c r="R31">
        <v>9.1000000000000004E-3</v>
      </c>
      <c r="S31">
        <v>1.44E-2</v>
      </c>
      <c r="T31">
        <v>7.4000000000000003E-3</v>
      </c>
      <c r="U31">
        <v>1.21E-2</v>
      </c>
      <c r="V31">
        <v>0.16300000000000001</v>
      </c>
      <c r="W31">
        <v>8.4900000000000003E-2</v>
      </c>
      <c r="X31">
        <v>0.13320000000000001</v>
      </c>
      <c r="Y31">
        <v>1.26E-2</v>
      </c>
      <c r="Z31">
        <v>5.4000000000000003E-3</v>
      </c>
      <c r="AA31">
        <v>9.1000000000000004E-3</v>
      </c>
    </row>
    <row r="32" spans="1:27" x14ac:dyDescent="0.3">
      <c r="A32" s="1">
        <v>0.99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O32" s="1">
        <v>0.99</v>
      </c>
      <c r="P32">
        <v>1.0999999999999999E-2</v>
      </c>
      <c r="Q32">
        <v>4.1999999999999997E-3</v>
      </c>
      <c r="R32">
        <v>7.7999999999999996E-3</v>
      </c>
      <c r="S32">
        <v>1.44E-2</v>
      </c>
      <c r="T32">
        <v>6.1999999999999998E-3</v>
      </c>
      <c r="U32">
        <v>1.0800000000000001E-2</v>
      </c>
      <c r="V32">
        <v>0.16300000000000001</v>
      </c>
      <c r="W32">
        <v>8.4900000000000003E-2</v>
      </c>
      <c r="X32">
        <v>0.13320000000000001</v>
      </c>
      <c r="Y32">
        <v>1.26E-2</v>
      </c>
      <c r="Z32">
        <v>5.4000000000000003E-3</v>
      </c>
      <c r="AA32">
        <v>8.9999999999999993E-3</v>
      </c>
    </row>
    <row r="35" spans="1:27" x14ac:dyDescent="0.3">
      <c r="A35" t="s">
        <v>15</v>
      </c>
    </row>
    <row r="36" spans="1:27" x14ac:dyDescent="0.3">
      <c r="A36" t="s">
        <v>32</v>
      </c>
      <c r="O36" t="s">
        <v>13</v>
      </c>
    </row>
    <row r="37" spans="1:27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31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31</v>
      </c>
      <c r="U37" t="s">
        <v>5</v>
      </c>
      <c r="V37" t="s">
        <v>6</v>
      </c>
      <c r="W37" t="s">
        <v>7</v>
      </c>
      <c r="X37" t="s">
        <v>8</v>
      </c>
      <c r="Y37" t="s">
        <v>9</v>
      </c>
      <c r="Z37" t="s">
        <v>10</v>
      </c>
      <c r="AA37" t="s">
        <v>11</v>
      </c>
    </row>
    <row r="38" spans="1:27" x14ac:dyDescent="0.3">
      <c r="A38" s="1">
        <v>0.3</v>
      </c>
      <c r="B38">
        <v>4</v>
      </c>
      <c r="C38">
        <v>0</v>
      </c>
      <c r="D38">
        <v>0</v>
      </c>
      <c r="E38">
        <v>9</v>
      </c>
      <c r="F38">
        <v>2</v>
      </c>
      <c r="G38">
        <v>6</v>
      </c>
      <c r="H38">
        <v>23</v>
      </c>
      <c r="I38">
        <v>24</v>
      </c>
      <c r="J38">
        <v>30</v>
      </c>
      <c r="K38">
        <v>24</v>
      </c>
      <c r="L38">
        <v>11</v>
      </c>
      <c r="M38">
        <v>13</v>
      </c>
      <c r="O38" s="1">
        <v>0.3</v>
      </c>
      <c r="P38">
        <f>0.0157</f>
        <v>1.5699999999999999E-2</v>
      </c>
      <c r="Q38" s="2">
        <v>-1</v>
      </c>
      <c r="R38" s="2">
        <v>-1</v>
      </c>
      <c r="S38">
        <f>0.0302</f>
        <v>3.0200000000000001E-2</v>
      </c>
      <c r="T38">
        <f>0.0266</f>
        <v>2.6599999999999999E-2</v>
      </c>
      <c r="U38">
        <f>0.0159</f>
        <v>1.5900000000000001E-2</v>
      </c>
      <c r="V38">
        <v>4.3499999999999997E-2</v>
      </c>
      <c r="W38">
        <f>0.054</f>
        <v>5.3999999999999999E-2</v>
      </c>
      <c r="X38">
        <v>4.7699999999999999E-2</v>
      </c>
      <c r="Y38">
        <v>3.7000000000000002E-3</v>
      </c>
      <c r="Z38">
        <v>3.8999999999999998E-3</v>
      </c>
      <c r="AA38">
        <f>0.0083</f>
        <v>8.3000000000000001E-3</v>
      </c>
    </row>
    <row r="39" spans="1:27" x14ac:dyDescent="0.3">
      <c r="A39" s="1">
        <v>0.4</v>
      </c>
      <c r="B39">
        <v>5</v>
      </c>
      <c r="C39">
        <v>0</v>
      </c>
      <c r="D39">
        <v>4</v>
      </c>
      <c r="E39">
        <v>6</v>
      </c>
      <c r="F39">
        <v>4</v>
      </c>
      <c r="G39">
        <v>8</v>
      </c>
      <c r="H39">
        <v>14</v>
      </c>
      <c r="I39">
        <v>30</v>
      </c>
      <c r="J39">
        <v>18</v>
      </c>
      <c r="K39">
        <v>26</v>
      </c>
      <c r="L39">
        <v>13</v>
      </c>
      <c r="M39">
        <v>26</v>
      </c>
      <c r="O39" s="1">
        <v>0.4</v>
      </c>
      <c r="P39">
        <f>0.0161</f>
        <v>1.61E-2</v>
      </c>
      <c r="Q39" s="2">
        <v>-1</v>
      </c>
      <c r="R39">
        <f>0.0022</f>
        <v>2.2000000000000001E-3</v>
      </c>
      <c r="S39">
        <f>0.0039</f>
        <v>3.8999999999999998E-3</v>
      </c>
      <c r="T39">
        <f>0.0089</f>
        <v>8.8999999999999999E-3</v>
      </c>
      <c r="U39">
        <f>0.0041</f>
        <v>4.1000000000000003E-3</v>
      </c>
      <c r="V39">
        <v>7.0000000000000001E-3</v>
      </c>
      <c r="W39">
        <v>4.5499999999999999E-2</v>
      </c>
      <c r="X39">
        <v>1.7000000000000001E-2</v>
      </c>
      <c r="Y39">
        <v>1.04E-2</v>
      </c>
      <c r="Z39">
        <v>8.5000000000000006E-3</v>
      </c>
      <c r="AA39">
        <v>2.2599999999999999E-2</v>
      </c>
    </row>
    <row r="40" spans="1:27" x14ac:dyDescent="0.3">
      <c r="A40" s="1">
        <v>0.5</v>
      </c>
      <c r="B40">
        <v>17</v>
      </c>
      <c r="C40">
        <v>4</v>
      </c>
      <c r="D40">
        <v>14</v>
      </c>
      <c r="E40">
        <v>22</v>
      </c>
      <c r="F40">
        <v>9</v>
      </c>
      <c r="G40">
        <v>18</v>
      </c>
      <c r="H40">
        <v>4</v>
      </c>
      <c r="I40">
        <v>21</v>
      </c>
      <c r="J40">
        <v>6</v>
      </c>
      <c r="K40">
        <v>9</v>
      </c>
      <c r="L40">
        <v>24</v>
      </c>
      <c r="M40">
        <v>14</v>
      </c>
      <c r="O40" s="1">
        <v>0.5</v>
      </c>
      <c r="P40">
        <f>0.0111</f>
        <v>1.11E-2</v>
      </c>
      <c r="Q40">
        <v>2.9999999999999997E-4</v>
      </c>
      <c r="R40">
        <f>0.0065</f>
        <v>6.4999999999999997E-3</v>
      </c>
      <c r="S40">
        <v>8.6999999999999994E-3</v>
      </c>
      <c r="T40">
        <f>0.0032</f>
        <v>3.2000000000000002E-3</v>
      </c>
      <c r="U40">
        <v>1.2200000000000001E-2</v>
      </c>
      <c r="V40">
        <v>0.14330000000000001</v>
      </c>
      <c r="W40">
        <v>7.8100000000000003E-2</v>
      </c>
      <c r="X40">
        <v>6.7500000000000004E-2</v>
      </c>
      <c r="Y40">
        <f>0.0088</f>
        <v>8.8000000000000005E-3</v>
      </c>
      <c r="Z40">
        <v>2.7699999999999999E-2</v>
      </c>
      <c r="AA40">
        <v>8.9999999999999993E-3</v>
      </c>
    </row>
    <row r="41" spans="1:27" x14ac:dyDescent="0.3">
      <c r="A41" s="1">
        <v>0.6</v>
      </c>
      <c r="B41">
        <v>29</v>
      </c>
      <c r="C41">
        <v>6</v>
      </c>
      <c r="D41">
        <v>25</v>
      </c>
      <c r="E41">
        <v>27</v>
      </c>
      <c r="F41">
        <v>8</v>
      </c>
      <c r="G41">
        <v>24</v>
      </c>
      <c r="H41">
        <v>1</v>
      </c>
      <c r="I41">
        <v>17</v>
      </c>
      <c r="J41">
        <v>1</v>
      </c>
      <c r="K41">
        <v>3</v>
      </c>
      <c r="L41">
        <v>27</v>
      </c>
      <c r="M41">
        <v>8</v>
      </c>
      <c r="O41" s="1">
        <v>0.6</v>
      </c>
      <c r="P41">
        <f>0.0226</f>
        <v>2.2599999999999999E-2</v>
      </c>
      <c r="Q41">
        <f>0.0001</f>
        <v>1E-4</v>
      </c>
      <c r="R41">
        <f>0.0103</f>
        <v>1.03E-2</v>
      </c>
      <c r="S41">
        <v>1.8200000000000001E-2</v>
      </c>
      <c r="T41">
        <v>7.7999999999999996E-3</v>
      </c>
      <c r="U41">
        <v>1.7600000000000001E-2</v>
      </c>
      <c r="V41" s="3">
        <v>0.16309999999999999</v>
      </c>
      <c r="W41">
        <v>3.6700000000000003E-2</v>
      </c>
      <c r="X41">
        <v>0.13239999999999999</v>
      </c>
      <c r="Y41">
        <v>3.8999999999999998E-3</v>
      </c>
      <c r="Z41">
        <v>2.9700000000000001E-2</v>
      </c>
      <c r="AA41">
        <v>3.3999999999999998E-3</v>
      </c>
    </row>
    <row r="42" spans="1:27" x14ac:dyDescent="0.3">
      <c r="A42" s="1">
        <v>0.65</v>
      </c>
      <c r="B42">
        <v>26</v>
      </c>
      <c r="C42">
        <v>6</v>
      </c>
      <c r="D42">
        <v>26</v>
      </c>
      <c r="E42">
        <v>26</v>
      </c>
      <c r="F42">
        <v>7</v>
      </c>
      <c r="G42">
        <v>24</v>
      </c>
      <c r="H42">
        <v>1</v>
      </c>
      <c r="I42">
        <v>12</v>
      </c>
      <c r="J42">
        <v>1</v>
      </c>
      <c r="K42">
        <v>3</v>
      </c>
      <c r="L42">
        <v>27</v>
      </c>
      <c r="M42">
        <v>7</v>
      </c>
      <c r="O42" s="1">
        <v>0.65</v>
      </c>
      <c r="P42">
        <f>0.0204</f>
        <v>2.0400000000000001E-2</v>
      </c>
      <c r="Q42">
        <f>0.0001</f>
        <v>1E-4</v>
      </c>
      <c r="R42">
        <f>0.0072</f>
        <v>7.1999999999999998E-3</v>
      </c>
      <c r="S42">
        <v>2.5999999999999999E-3</v>
      </c>
      <c r="T42">
        <v>9.2999999999999992E-3</v>
      </c>
      <c r="U42">
        <v>2.92E-2</v>
      </c>
      <c r="V42" s="3">
        <v>0.16309999999999999</v>
      </c>
      <c r="W42">
        <v>5.8200000000000002E-2</v>
      </c>
      <c r="X42" s="3">
        <v>0.13370000000000001</v>
      </c>
      <c r="Y42">
        <f>0.01</f>
        <v>0.01</v>
      </c>
      <c r="Z42" s="3">
        <v>3.0200000000000001E-2</v>
      </c>
      <c r="AA42">
        <v>8.9999999999999993E-3</v>
      </c>
    </row>
    <row r="43" spans="1:27" x14ac:dyDescent="0.3">
      <c r="A43" s="1">
        <v>0.7</v>
      </c>
      <c r="B43">
        <v>24</v>
      </c>
      <c r="C43">
        <v>15</v>
      </c>
      <c r="D43">
        <v>39</v>
      </c>
      <c r="E43">
        <v>20</v>
      </c>
      <c r="F43">
        <v>19</v>
      </c>
      <c r="G43">
        <v>35</v>
      </c>
      <c r="H43">
        <v>1</v>
      </c>
      <c r="I43">
        <v>4</v>
      </c>
      <c r="J43">
        <v>1</v>
      </c>
      <c r="K43">
        <v>3</v>
      </c>
      <c r="L43">
        <v>13</v>
      </c>
      <c r="M43">
        <v>4</v>
      </c>
      <c r="O43" s="1">
        <v>0.7</v>
      </c>
      <c r="P43">
        <f>0.0146</f>
        <v>1.46E-2</v>
      </c>
      <c r="Q43">
        <f>0.0064</f>
        <v>6.4000000000000003E-3</v>
      </c>
      <c r="R43">
        <f>0.0099</f>
        <v>9.9000000000000008E-3</v>
      </c>
      <c r="S43">
        <f>0.0005</f>
        <v>5.0000000000000001E-4</v>
      </c>
      <c r="T43">
        <v>9.4999999999999998E-3</v>
      </c>
      <c r="U43">
        <v>5.8999999999999999E-3</v>
      </c>
      <c r="V43" s="3">
        <v>0.16309999999999999</v>
      </c>
      <c r="W43">
        <v>8.2699999999999996E-2</v>
      </c>
      <c r="X43">
        <v>0.13339999999999999</v>
      </c>
      <c r="Y43">
        <f>0.0114</f>
        <v>1.14E-2</v>
      </c>
      <c r="Z43">
        <v>1.03E-2</v>
      </c>
      <c r="AA43">
        <v>1.5E-3</v>
      </c>
    </row>
    <row r="44" spans="1:27" x14ac:dyDescent="0.3">
      <c r="A44" s="1">
        <v>0.75</v>
      </c>
      <c r="B44">
        <v>14</v>
      </c>
      <c r="C44">
        <v>25</v>
      </c>
      <c r="D44">
        <v>22</v>
      </c>
      <c r="E44">
        <v>11</v>
      </c>
      <c r="F44">
        <v>24</v>
      </c>
      <c r="G44">
        <v>19</v>
      </c>
      <c r="H44">
        <v>1</v>
      </c>
      <c r="I44">
        <v>1</v>
      </c>
      <c r="J44">
        <v>1</v>
      </c>
      <c r="K44">
        <v>1</v>
      </c>
      <c r="L44">
        <v>8</v>
      </c>
      <c r="M44">
        <v>2</v>
      </c>
      <c r="O44" s="1">
        <v>0.75</v>
      </c>
      <c r="P44">
        <f>0.0105</f>
        <v>1.0500000000000001E-2</v>
      </c>
      <c r="Q44">
        <f>0.0011</f>
        <v>1.1000000000000001E-3</v>
      </c>
      <c r="R44">
        <f>0.0053</f>
        <v>5.3E-3</v>
      </c>
      <c r="S44">
        <v>4.7000000000000002E-3</v>
      </c>
      <c r="T44">
        <v>1.5900000000000001E-2</v>
      </c>
      <c r="U44">
        <v>4.0000000000000001E-3</v>
      </c>
      <c r="V44">
        <v>0.16300000000000001</v>
      </c>
      <c r="W44">
        <v>8.4599999999999995E-2</v>
      </c>
      <c r="X44">
        <v>0.1333</v>
      </c>
      <c r="Y44">
        <v>1.0800000000000001E-2</v>
      </c>
      <c r="Z44">
        <v>5.4999999999999997E-3</v>
      </c>
      <c r="AA44">
        <v>6.7000000000000002E-3</v>
      </c>
    </row>
    <row r="45" spans="1:27" x14ac:dyDescent="0.3">
      <c r="A45" s="1">
        <v>0.8</v>
      </c>
      <c r="B45">
        <v>3</v>
      </c>
      <c r="C45">
        <v>29</v>
      </c>
      <c r="D45">
        <v>9</v>
      </c>
      <c r="E45">
        <v>3</v>
      </c>
      <c r="F45">
        <v>32</v>
      </c>
      <c r="G45">
        <v>9</v>
      </c>
      <c r="H45">
        <v>1</v>
      </c>
      <c r="I45">
        <v>1</v>
      </c>
      <c r="J45">
        <v>1</v>
      </c>
      <c r="K45">
        <v>1</v>
      </c>
      <c r="L45">
        <v>2</v>
      </c>
      <c r="M45">
        <v>1</v>
      </c>
      <c r="O45" s="1">
        <v>0.8</v>
      </c>
      <c r="P45">
        <v>6.4999999999999997E-3</v>
      </c>
      <c r="Q45">
        <f>0.0006</f>
        <v>5.9999999999999995E-4</v>
      </c>
      <c r="R45">
        <f>0.0085</f>
        <v>8.5000000000000006E-3</v>
      </c>
      <c r="S45">
        <v>1.11E-2</v>
      </c>
      <c r="T45" s="3">
        <v>1.6799999999999999E-2</v>
      </c>
      <c r="U45">
        <v>4.7000000000000002E-3</v>
      </c>
      <c r="V45">
        <v>0.16300000000000001</v>
      </c>
      <c r="W45" s="3">
        <v>8.5000000000000006E-2</v>
      </c>
      <c r="X45">
        <v>0.1333</v>
      </c>
      <c r="Y45">
        <v>1.2200000000000001E-2</v>
      </c>
      <c r="Z45">
        <v>4.4000000000000003E-3</v>
      </c>
      <c r="AA45">
        <v>8.3000000000000001E-3</v>
      </c>
    </row>
    <row r="46" spans="1:27" x14ac:dyDescent="0.3">
      <c r="A46" s="1">
        <v>0.85</v>
      </c>
      <c r="B46">
        <v>1</v>
      </c>
      <c r="C46">
        <v>32</v>
      </c>
      <c r="D46">
        <v>1</v>
      </c>
      <c r="E46">
        <v>1</v>
      </c>
      <c r="F46">
        <v>28</v>
      </c>
      <c r="G46">
        <v>2</v>
      </c>
      <c r="H46">
        <v>1</v>
      </c>
      <c r="I46">
        <v>1</v>
      </c>
      <c r="J46">
        <v>1</v>
      </c>
      <c r="K46">
        <v>1</v>
      </c>
      <c r="L46">
        <v>2</v>
      </c>
      <c r="M46">
        <v>1</v>
      </c>
      <c r="O46" s="1">
        <v>0.85</v>
      </c>
      <c r="P46" s="3">
        <v>1.11E-2</v>
      </c>
      <c r="Q46">
        <v>3.2000000000000002E-3</v>
      </c>
      <c r="R46">
        <v>7.4999999999999997E-3</v>
      </c>
      <c r="S46" s="3">
        <v>1.47E-2</v>
      </c>
      <c r="T46">
        <v>5.4999999999999997E-3</v>
      </c>
      <c r="U46">
        <v>1.04E-2</v>
      </c>
      <c r="V46">
        <v>0.16300000000000001</v>
      </c>
      <c r="W46" s="3">
        <v>8.5000000000000006E-2</v>
      </c>
      <c r="X46">
        <v>0.13320000000000001</v>
      </c>
      <c r="Y46" s="3">
        <v>1.2699999999999999E-2</v>
      </c>
      <c r="Z46">
        <v>4.4999999999999997E-3</v>
      </c>
      <c r="AA46">
        <v>9.1000000000000004E-3</v>
      </c>
    </row>
    <row r="47" spans="1:27" x14ac:dyDescent="0.3">
      <c r="A47" s="1">
        <v>0.9</v>
      </c>
      <c r="B47">
        <v>1</v>
      </c>
      <c r="C47">
        <v>6</v>
      </c>
      <c r="D47">
        <v>1</v>
      </c>
      <c r="E47">
        <v>1</v>
      </c>
      <c r="F47">
        <v>6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O47" s="1">
        <v>0.9</v>
      </c>
      <c r="P47" s="3">
        <v>1.11E-2</v>
      </c>
      <c r="Q47">
        <v>1.6000000000000001E-3</v>
      </c>
      <c r="R47" s="3">
        <v>8.2000000000000007E-3</v>
      </c>
      <c r="S47">
        <v>1.46E-2</v>
      </c>
      <c r="T47">
        <v>4.8999999999999998E-3</v>
      </c>
      <c r="U47" s="3">
        <v>1.14E-2</v>
      </c>
      <c r="V47">
        <v>0.16300000000000001</v>
      </c>
      <c r="W47">
        <v>8.4900000000000003E-2</v>
      </c>
      <c r="X47">
        <v>0.13320000000000001</v>
      </c>
      <c r="Y47" s="3">
        <v>1.2699999999999999E-2</v>
      </c>
      <c r="Z47">
        <v>5.1999999999999998E-3</v>
      </c>
      <c r="AA47">
        <v>9.1000000000000004E-3</v>
      </c>
    </row>
    <row r="48" spans="1:27" x14ac:dyDescent="0.3">
      <c r="A48" s="1">
        <v>0.95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O48" s="1">
        <v>0.95</v>
      </c>
      <c r="P48">
        <v>1.0999999999999999E-2</v>
      </c>
      <c r="Q48" s="3">
        <v>4.4000000000000003E-3</v>
      </c>
      <c r="R48">
        <v>8.0000000000000002E-3</v>
      </c>
      <c r="S48">
        <v>1.44E-2</v>
      </c>
      <c r="T48">
        <v>6.4999999999999997E-3</v>
      </c>
      <c r="U48">
        <v>1.0999999999999999E-2</v>
      </c>
      <c r="V48">
        <v>0.16300000000000001</v>
      </c>
      <c r="W48">
        <v>8.4900000000000003E-2</v>
      </c>
      <c r="X48">
        <v>0.13320000000000001</v>
      </c>
      <c r="Y48">
        <v>1.26E-2</v>
      </c>
      <c r="Z48">
        <v>5.4000000000000003E-3</v>
      </c>
      <c r="AA48">
        <v>9.1000000000000004E-3</v>
      </c>
    </row>
    <row r="49" spans="1:27" x14ac:dyDescent="0.3">
      <c r="A49" s="1">
        <v>0.99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O49" s="1">
        <v>0.99</v>
      </c>
      <c r="P49">
        <v>1.0999999999999999E-2</v>
      </c>
      <c r="Q49">
        <v>4.1999999999999997E-3</v>
      </c>
      <c r="R49">
        <v>7.7999999999999996E-3</v>
      </c>
      <c r="S49">
        <v>1.44E-2</v>
      </c>
      <c r="T49">
        <v>6.1999999999999998E-3</v>
      </c>
      <c r="U49">
        <v>1.0800000000000001E-2</v>
      </c>
      <c r="V49">
        <v>0.16300000000000001</v>
      </c>
      <c r="W49">
        <v>8.4900000000000003E-2</v>
      </c>
      <c r="X49">
        <v>0.13320000000000001</v>
      </c>
      <c r="Y49">
        <v>1.26E-2</v>
      </c>
      <c r="Z49">
        <v>5.4000000000000003E-3</v>
      </c>
      <c r="AA49">
        <v>8.9999999999999993E-3</v>
      </c>
    </row>
    <row r="52" spans="1:27" x14ac:dyDescent="0.3">
      <c r="A52" t="s">
        <v>16</v>
      </c>
    </row>
    <row r="53" spans="1:27" x14ac:dyDescent="0.3">
      <c r="A53" t="s">
        <v>32</v>
      </c>
      <c r="O53" t="s">
        <v>13</v>
      </c>
    </row>
    <row r="54" spans="1:27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31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O54" t="s">
        <v>0</v>
      </c>
      <c r="P54" t="s">
        <v>1</v>
      </c>
      <c r="Q54" t="s">
        <v>2</v>
      </c>
      <c r="R54" t="s">
        <v>3</v>
      </c>
      <c r="S54" t="s">
        <v>4</v>
      </c>
      <c r="T54" t="s">
        <v>31</v>
      </c>
      <c r="U54" t="s">
        <v>5</v>
      </c>
      <c r="V54" t="s">
        <v>6</v>
      </c>
      <c r="W54" t="s">
        <v>7</v>
      </c>
      <c r="X54" t="s">
        <v>8</v>
      </c>
      <c r="Y54" t="s">
        <v>9</v>
      </c>
      <c r="Z54" t="s">
        <v>10</v>
      </c>
      <c r="AA54" t="s">
        <v>11</v>
      </c>
    </row>
    <row r="55" spans="1:27" x14ac:dyDescent="0.3">
      <c r="A55" s="1">
        <v>0.3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2</v>
      </c>
      <c r="J55">
        <v>1</v>
      </c>
      <c r="K55">
        <v>1</v>
      </c>
      <c r="L55">
        <v>0</v>
      </c>
      <c r="M55">
        <v>0</v>
      </c>
      <c r="O55" s="1">
        <v>0.3</v>
      </c>
      <c r="P55" s="2">
        <v>-1</v>
      </c>
      <c r="Q55" s="2">
        <v>-1</v>
      </c>
      <c r="R55" s="2">
        <v>-1</v>
      </c>
      <c r="S55">
        <f>0.0215</f>
        <v>2.1499999999999998E-2</v>
      </c>
      <c r="T55" s="2">
        <v>-1</v>
      </c>
      <c r="U55">
        <f>0.0212</f>
        <v>2.12E-2</v>
      </c>
      <c r="V55">
        <v>5.79E-2</v>
      </c>
      <c r="W55">
        <f>0.0573</f>
        <v>5.7299999999999997E-2</v>
      </c>
      <c r="X55">
        <v>7.4499999999999997E-2</v>
      </c>
      <c r="Y55">
        <f>0.0029</f>
        <v>2.8999999999999998E-3</v>
      </c>
      <c r="Z55" s="2">
        <v>-1</v>
      </c>
      <c r="AA55" s="2">
        <v>-1</v>
      </c>
    </row>
    <row r="56" spans="1:27" x14ac:dyDescent="0.3">
      <c r="A56" s="1">
        <v>0.4</v>
      </c>
      <c r="B56">
        <v>0</v>
      </c>
      <c r="C56">
        <v>0</v>
      </c>
      <c r="D56">
        <v>0</v>
      </c>
      <c r="E56">
        <v>2</v>
      </c>
      <c r="F56">
        <v>0</v>
      </c>
      <c r="G56">
        <v>2</v>
      </c>
      <c r="H56">
        <v>1</v>
      </c>
      <c r="I56">
        <v>1</v>
      </c>
      <c r="J56">
        <v>1</v>
      </c>
      <c r="K56">
        <v>2</v>
      </c>
      <c r="L56">
        <v>0</v>
      </c>
      <c r="M56">
        <v>2</v>
      </c>
      <c r="O56" s="1">
        <v>0.4</v>
      </c>
      <c r="P56" s="2">
        <v>-1</v>
      </c>
      <c r="Q56" s="2">
        <v>-1</v>
      </c>
      <c r="R56" s="2">
        <v>-1</v>
      </c>
      <c r="S56">
        <f>0.0017</f>
        <v>1.6999999999999999E-3</v>
      </c>
      <c r="T56" s="2">
        <v>-1</v>
      </c>
      <c r="U56">
        <f>0.0006</f>
        <v>5.9999999999999995E-4</v>
      </c>
      <c r="V56">
        <v>0.1147</v>
      </c>
      <c r="W56">
        <v>3.39E-2</v>
      </c>
      <c r="X56">
        <v>0.1191</v>
      </c>
      <c r="Y56">
        <f>0</f>
        <v>0</v>
      </c>
      <c r="Z56" s="2">
        <v>-1</v>
      </c>
      <c r="AA56">
        <v>3.5000000000000001E-3</v>
      </c>
    </row>
    <row r="57" spans="1:27" x14ac:dyDescent="0.3">
      <c r="A57" s="1">
        <v>0.5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2</v>
      </c>
      <c r="I57">
        <v>1</v>
      </c>
      <c r="J57">
        <v>5</v>
      </c>
      <c r="K57">
        <v>1</v>
      </c>
      <c r="L57">
        <v>2</v>
      </c>
      <c r="M57">
        <v>2</v>
      </c>
      <c r="O57" s="1">
        <v>0.5</v>
      </c>
      <c r="P57" s="2">
        <v>-1</v>
      </c>
      <c r="Q57" s="2">
        <v>-1</v>
      </c>
      <c r="R57" s="2">
        <v>-1</v>
      </c>
      <c r="S57">
        <v>1.9099999999999999E-2</v>
      </c>
      <c r="T57">
        <f>0.0071</f>
        <v>7.1000000000000004E-3</v>
      </c>
      <c r="U57">
        <v>1.41E-2</v>
      </c>
      <c r="V57">
        <v>0.12959999999999999</v>
      </c>
      <c r="W57">
        <v>7.2499999999999995E-2</v>
      </c>
      <c r="X57" s="3">
        <v>0.13170000000000001</v>
      </c>
      <c r="Y57">
        <v>6.0000000000000001E-3</v>
      </c>
      <c r="Z57">
        <v>4.4999999999999997E-3</v>
      </c>
      <c r="AA57">
        <v>9.9000000000000008E-3</v>
      </c>
    </row>
    <row r="58" spans="1:27" x14ac:dyDescent="0.3">
      <c r="A58" s="1">
        <v>0.6</v>
      </c>
      <c r="B58">
        <v>0</v>
      </c>
      <c r="C58">
        <v>0</v>
      </c>
      <c r="D58">
        <v>0</v>
      </c>
      <c r="E58">
        <v>1</v>
      </c>
      <c r="F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2</v>
      </c>
      <c r="M58">
        <v>1</v>
      </c>
      <c r="O58" s="1">
        <v>0.6</v>
      </c>
      <c r="P58" s="2">
        <v>-1</v>
      </c>
      <c r="Q58" s="2">
        <v>-1</v>
      </c>
      <c r="R58" s="2">
        <v>-1</v>
      </c>
      <c r="S58">
        <v>2.4799999999999999E-2</v>
      </c>
      <c r="T58">
        <v>5.4000000000000003E-3</v>
      </c>
      <c r="U58">
        <v>2.1100000000000001E-2</v>
      </c>
      <c r="V58">
        <v>0.16370000000000001</v>
      </c>
      <c r="W58">
        <v>9.4200000000000006E-2</v>
      </c>
      <c r="X58">
        <v>0.1356</v>
      </c>
      <c r="Y58">
        <v>7.0000000000000001E-3</v>
      </c>
      <c r="Z58">
        <v>8.6E-3</v>
      </c>
      <c r="AA58">
        <v>6.7999999999999996E-3</v>
      </c>
    </row>
    <row r="59" spans="1:27" x14ac:dyDescent="0.3">
      <c r="A59" s="1">
        <v>0.65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2</v>
      </c>
      <c r="M59">
        <v>1</v>
      </c>
      <c r="O59" s="1">
        <v>0.65</v>
      </c>
      <c r="P59" s="2">
        <v>-1</v>
      </c>
      <c r="Q59" s="2">
        <v>-1</v>
      </c>
      <c r="R59" s="2">
        <v>-1</v>
      </c>
      <c r="S59" s="3">
        <v>2.6700000000000002E-2</v>
      </c>
      <c r="T59">
        <v>8.2000000000000007E-3</v>
      </c>
      <c r="U59">
        <v>2.3400000000000001E-2</v>
      </c>
      <c r="V59">
        <v>0.1648</v>
      </c>
      <c r="W59">
        <v>9.9000000000000005E-2</v>
      </c>
      <c r="X59">
        <v>0.1394</v>
      </c>
      <c r="Y59">
        <v>8.0000000000000002E-3</v>
      </c>
      <c r="Z59">
        <v>9.5999999999999992E-3</v>
      </c>
      <c r="AA59">
        <v>7.4000000000000003E-3</v>
      </c>
    </row>
    <row r="60" spans="1:27" x14ac:dyDescent="0.3">
      <c r="A60" s="1">
        <v>0.7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4</v>
      </c>
      <c r="J60">
        <v>1</v>
      </c>
      <c r="K60">
        <v>1</v>
      </c>
      <c r="L60">
        <v>2</v>
      </c>
      <c r="M60">
        <v>1</v>
      </c>
      <c r="O60" s="1">
        <v>0.7</v>
      </c>
      <c r="P60">
        <f>0.0048</f>
        <v>4.7999999999999996E-3</v>
      </c>
      <c r="Q60" s="2">
        <v>-1</v>
      </c>
      <c r="R60" s="2">
        <v>-1</v>
      </c>
      <c r="S60">
        <v>2.6200000000000001E-2</v>
      </c>
      <c r="T60">
        <v>1.23E-2</v>
      </c>
      <c r="U60">
        <v>2.46E-2</v>
      </c>
      <c r="V60">
        <v>0.16400000000000001</v>
      </c>
      <c r="W60">
        <v>0.1002</v>
      </c>
      <c r="X60">
        <v>0.13669999999999999</v>
      </c>
      <c r="Y60">
        <v>9.1000000000000004E-3</v>
      </c>
      <c r="Z60">
        <v>1.04E-2</v>
      </c>
      <c r="AA60">
        <v>7.4000000000000003E-3</v>
      </c>
    </row>
    <row r="61" spans="1:27" x14ac:dyDescent="0.3">
      <c r="A61" s="1">
        <v>0.75</v>
      </c>
      <c r="B61">
        <v>1</v>
      </c>
      <c r="C61">
        <v>0</v>
      </c>
      <c r="D61">
        <v>2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O61" s="1">
        <v>0.75</v>
      </c>
      <c r="P61">
        <v>4.0000000000000001E-3</v>
      </c>
      <c r="Q61" s="2">
        <v>-1</v>
      </c>
      <c r="R61">
        <f>0.0073</f>
        <v>7.3000000000000001E-3</v>
      </c>
      <c r="S61">
        <v>2.3E-2</v>
      </c>
      <c r="T61">
        <v>1.41E-2</v>
      </c>
      <c r="U61">
        <v>2.4500000000000001E-2</v>
      </c>
      <c r="V61">
        <v>0.16300000000000001</v>
      </c>
      <c r="W61">
        <v>8.8700000000000001E-2</v>
      </c>
      <c r="X61">
        <v>0.13400000000000001</v>
      </c>
      <c r="Y61">
        <v>9.9000000000000008E-3</v>
      </c>
      <c r="Z61">
        <v>5.1999999999999998E-3</v>
      </c>
      <c r="AA61">
        <v>7.4000000000000003E-3</v>
      </c>
    </row>
    <row r="62" spans="1:27" x14ac:dyDescent="0.3">
      <c r="A62" s="1">
        <v>0.8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O62" s="1">
        <v>0.8</v>
      </c>
      <c r="P62">
        <v>1.12E-2</v>
      </c>
      <c r="Q62" s="2">
        <v>-1</v>
      </c>
      <c r="R62">
        <v>5.7000000000000002E-3</v>
      </c>
      <c r="S62">
        <v>2.01E-2</v>
      </c>
      <c r="T62">
        <v>1.5299999999999999E-2</v>
      </c>
      <c r="U62">
        <v>1.8800000000000001E-2</v>
      </c>
      <c r="V62">
        <v>0.16300000000000001</v>
      </c>
      <c r="W62">
        <v>8.7400000000000005E-2</v>
      </c>
      <c r="X62">
        <v>0.13370000000000001</v>
      </c>
      <c r="Y62">
        <v>1.2E-2</v>
      </c>
      <c r="Z62">
        <v>5.0000000000000001E-3</v>
      </c>
      <c r="AA62">
        <v>7.9000000000000008E-3</v>
      </c>
    </row>
    <row r="63" spans="1:27" x14ac:dyDescent="0.3">
      <c r="A63" s="1">
        <v>0.85</v>
      </c>
      <c r="B63">
        <v>1</v>
      </c>
      <c r="C63">
        <v>2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O63" s="1">
        <v>0.85</v>
      </c>
      <c r="P63">
        <v>1.18E-2</v>
      </c>
      <c r="Q63">
        <f>0.0042</f>
        <v>4.1999999999999997E-3</v>
      </c>
      <c r="R63">
        <v>9.2999999999999992E-3</v>
      </c>
      <c r="S63">
        <v>1.6799999999999999E-2</v>
      </c>
      <c r="T63" s="3">
        <v>1.5599999999999999E-2</v>
      </c>
      <c r="U63">
        <v>1.6899999999999998E-2</v>
      </c>
      <c r="V63">
        <v>0.16300000000000001</v>
      </c>
      <c r="W63">
        <v>8.5699999999999998E-2</v>
      </c>
      <c r="X63">
        <v>0.13339999999999999</v>
      </c>
      <c r="Y63">
        <v>1.29E-2</v>
      </c>
      <c r="Z63">
        <v>5.1000000000000004E-3</v>
      </c>
      <c r="AA63">
        <v>8.8999999999999999E-3</v>
      </c>
    </row>
    <row r="64" spans="1:27" x14ac:dyDescent="0.3">
      <c r="A64" s="1">
        <v>0.9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O64" s="1">
        <v>0.9</v>
      </c>
      <c r="P64">
        <v>1.12E-2</v>
      </c>
      <c r="Q64">
        <v>4.1999999999999997E-3</v>
      </c>
      <c r="R64">
        <v>8.6999999999999994E-3</v>
      </c>
      <c r="S64">
        <v>1.47E-2</v>
      </c>
      <c r="T64">
        <v>1.0800000000000001E-2</v>
      </c>
      <c r="U64">
        <v>1.2699999999999999E-2</v>
      </c>
      <c r="V64">
        <v>0.16300000000000001</v>
      </c>
      <c r="W64">
        <v>8.5099999999999995E-2</v>
      </c>
      <c r="X64">
        <v>0.13320000000000001</v>
      </c>
      <c r="Y64">
        <v>1.2699999999999999E-2</v>
      </c>
      <c r="Z64">
        <v>5.0000000000000001E-3</v>
      </c>
      <c r="AA64">
        <v>9.1999999999999998E-3</v>
      </c>
    </row>
    <row r="65" spans="1:27" x14ac:dyDescent="0.3">
      <c r="A65" s="1">
        <v>0.95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O65" s="1">
        <v>0.95</v>
      </c>
      <c r="P65">
        <v>1.0999999999999999E-2</v>
      </c>
      <c r="Q65">
        <v>4.5999999999999999E-3</v>
      </c>
      <c r="R65">
        <v>8.0000000000000002E-3</v>
      </c>
      <c r="S65">
        <v>1.44E-2</v>
      </c>
      <c r="T65">
        <v>7.1000000000000004E-3</v>
      </c>
      <c r="U65">
        <v>1.11E-2</v>
      </c>
      <c r="V65">
        <v>0.16300000000000001</v>
      </c>
      <c r="W65">
        <v>8.4900000000000003E-2</v>
      </c>
      <c r="X65">
        <v>0.13320000000000001</v>
      </c>
      <c r="Y65">
        <v>1.26E-2</v>
      </c>
      <c r="Z65">
        <v>5.4000000000000003E-3</v>
      </c>
      <c r="AA65">
        <v>9.1000000000000004E-3</v>
      </c>
    </row>
    <row r="66" spans="1:27" x14ac:dyDescent="0.3">
      <c r="A66" s="1">
        <v>0.99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O66" s="1">
        <v>0.99</v>
      </c>
      <c r="P66">
        <v>1.0999999999999999E-2</v>
      </c>
      <c r="Q66">
        <v>4.1999999999999997E-3</v>
      </c>
      <c r="R66">
        <v>7.7999999999999996E-3</v>
      </c>
      <c r="S66">
        <v>1.44E-2</v>
      </c>
      <c r="T66">
        <v>6.1999999999999998E-3</v>
      </c>
      <c r="U66">
        <v>1.0800000000000001E-2</v>
      </c>
      <c r="V66">
        <v>0.16300000000000001</v>
      </c>
      <c r="W66">
        <v>8.4900000000000003E-2</v>
      </c>
      <c r="X66">
        <v>0.13320000000000001</v>
      </c>
      <c r="Y66">
        <v>1.26E-2</v>
      </c>
      <c r="Z66">
        <v>5.4000000000000003E-3</v>
      </c>
      <c r="AA66">
        <v>8.9999999999999993E-3</v>
      </c>
    </row>
    <row r="70" spans="1:27" ht="15" thickBot="1" x14ac:dyDescent="0.35">
      <c r="B70" s="5" t="s">
        <v>17</v>
      </c>
      <c r="C70" s="5" t="s">
        <v>18</v>
      </c>
      <c r="D70" s="5" t="s">
        <v>19</v>
      </c>
      <c r="E70" s="5" t="s">
        <v>20</v>
      </c>
      <c r="F70" s="5" t="s">
        <v>21</v>
      </c>
      <c r="G70" s="5" t="s">
        <v>22</v>
      </c>
      <c r="H70" s="5" t="s">
        <v>23</v>
      </c>
      <c r="I70" s="5" t="s">
        <v>24</v>
      </c>
      <c r="J70" s="5" t="s">
        <v>25</v>
      </c>
      <c r="K70" s="5" t="s">
        <v>26</v>
      </c>
      <c r="L70" s="5" t="s">
        <v>27</v>
      </c>
      <c r="M70" s="5" t="s">
        <v>28</v>
      </c>
    </row>
    <row r="71" spans="1:27" x14ac:dyDescent="0.3">
      <c r="A71" s="6" t="s">
        <v>29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3</v>
      </c>
      <c r="J71">
        <v>2</v>
      </c>
      <c r="K71">
        <v>2</v>
      </c>
      <c r="L71">
        <v>2</v>
      </c>
      <c r="M71">
        <v>2</v>
      </c>
    </row>
    <row r="72" spans="1:27" x14ac:dyDescent="0.3">
      <c r="A72" s="6" t="s">
        <v>0</v>
      </c>
      <c r="B72">
        <v>0.85</v>
      </c>
      <c r="C72">
        <v>0.75</v>
      </c>
      <c r="D72">
        <v>0.6</v>
      </c>
      <c r="E72">
        <v>0.5</v>
      </c>
      <c r="F72">
        <v>0.7</v>
      </c>
      <c r="G72">
        <v>0.6</v>
      </c>
      <c r="H72">
        <v>0.6</v>
      </c>
      <c r="I72">
        <v>0.7</v>
      </c>
      <c r="J72" s="10">
        <v>0.65</v>
      </c>
      <c r="K72" s="13">
        <v>0.85</v>
      </c>
      <c r="L72" s="13">
        <v>0.4</v>
      </c>
      <c r="M72" s="13">
        <v>0.3</v>
      </c>
    </row>
    <row r="73" spans="1:27" x14ac:dyDescent="0.3">
      <c r="A73" s="6" t="s">
        <v>30</v>
      </c>
      <c r="B73">
        <v>1.38E-2</v>
      </c>
      <c r="C73">
        <v>5.0500000000000003E-2</v>
      </c>
      <c r="D73">
        <v>4.5999999999999999E-2</v>
      </c>
      <c r="E73">
        <v>2.3199999999999998E-2</v>
      </c>
      <c r="F73">
        <v>5.4800000000000001E-2</v>
      </c>
      <c r="G73">
        <v>5.21E-2</v>
      </c>
      <c r="H73" s="10">
        <v>0.16009999999999999</v>
      </c>
      <c r="I73" s="10">
        <v>8.2699999999999996E-2</v>
      </c>
      <c r="J73" s="12">
        <v>0.1328</v>
      </c>
      <c r="K73" s="10">
        <v>1.37E-2</v>
      </c>
      <c r="L73" s="10">
        <v>7.0099999999999996E-2</v>
      </c>
      <c r="M73" s="10">
        <v>3.9600000000000003E-2</v>
      </c>
    </row>
    <row r="74" spans="1:27" x14ac:dyDescent="0.3">
      <c r="A74" s="6" t="s">
        <v>32</v>
      </c>
      <c r="B74">
        <v>6</v>
      </c>
      <c r="C74">
        <v>205</v>
      </c>
      <c r="D74">
        <v>205</v>
      </c>
      <c r="E74">
        <v>162</v>
      </c>
      <c r="F74">
        <v>170</v>
      </c>
      <c r="G74">
        <v>181</v>
      </c>
      <c r="H74">
        <v>2</v>
      </c>
      <c r="I74">
        <v>4</v>
      </c>
      <c r="J74" s="11">
        <v>2</v>
      </c>
      <c r="K74" s="11">
        <v>2</v>
      </c>
      <c r="L74" s="11">
        <v>108</v>
      </c>
      <c r="M74" s="11">
        <v>109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A0D3-58C2-4191-9249-9085080DFA8F}">
  <dimension ref="A1:AA75"/>
  <sheetViews>
    <sheetView topLeftCell="K46" zoomScale="79" workbookViewId="0">
      <selection activeCell="B74" sqref="B74"/>
    </sheetView>
  </sheetViews>
  <sheetFormatPr baseColWidth="10" defaultRowHeight="14.4" x14ac:dyDescent="0.3"/>
  <sheetData>
    <row r="1" spans="1:27" x14ac:dyDescent="0.3">
      <c r="A1" t="s">
        <v>12</v>
      </c>
    </row>
    <row r="2" spans="1:27" x14ac:dyDescent="0.3">
      <c r="A2" t="s">
        <v>32</v>
      </c>
      <c r="O2" t="s">
        <v>13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31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31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</row>
    <row r="4" spans="1:27" x14ac:dyDescent="0.3">
      <c r="A4" s="1">
        <v>0.3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3</v>
      </c>
      <c r="I4">
        <v>3</v>
      </c>
      <c r="J4">
        <v>3</v>
      </c>
      <c r="K4">
        <v>1</v>
      </c>
      <c r="L4">
        <v>1</v>
      </c>
      <c r="M4">
        <v>1</v>
      </c>
      <c r="O4" s="1">
        <v>0.3</v>
      </c>
      <c r="P4">
        <v>9.2799999999999994E-2</v>
      </c>
      <c r="Q4">
        <v>8.77E-2</v>
      </c>
      <c r="R4">
        <v>9.35E-2</v>
      </c>
      <c r="S4">
        <v>9.2999999999999999E-2</v>
      </c>
      <c r="T4">
        <v>8.7900000000000006E-2</v>
      </c>
      <c r="U4">
        <v>9.3799999999999994E-2</v>
      </c>
      <c r="V4" s="4">
        <v>0.1648</v>
      </c>
      <c r="W4">
        <v>2.1399999999999999E-2</v>
      </c>
      <c r="X4">
        <v>0.2011</v>
      </c>
      <c r="Y4">
        <v>9.7000000000000003E-2</v>
      </c>
      <c r="Z4">
        <v>8.8800000000000004E-2</v>
      </c>
      <c r="AA4">
        <v>9.5500000000000002E-2</v>
      </c>
    </row>
    <row r="5" spans="1:27" x14ac:dyDescent="0.3">
      <c r="A5" s="1">
        <v>0.4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3</v>
      </c>
      <c r="I5">
        <v>3</v>
      </c>
      <c r="J5">
        <v>3</v>
      </c>
      <c r="K5">
        <v>1</v>
      </c>
      <c r="L5">
        <v>1</v>
      </c>
      <c r="M5">
        <v>1</v>
      </c>
      <c r="O5" s="1">
        <v>0.4</v>
      </c>
      <c r="P5">
        <v>9.2799999999999994E-2</v>
      </c>
      <c r="Q5">
        <v>8.77E-2</v>
      </c>
      <c r="R5">
        <v>9.35E-2</v>
      </c>
      <c r="S5">
        <v>9.2999999999999999E-2</v>
      </c>
      <c r="T5">
        <v>8.7900000000000006E-2</v>
      </c>
      <c r="U5">
        <v>9.3799999999999994E-2</v>
      </c>
      <c r="V5" s="4">
        <v>0.22409999999999999</v>
      </c>
      <c r="W5">
        <v>0.1363</v>
      </c>
      <c r="X5">
        <v>0.26200000000000001</v>
      </c>
      <c r="Y5">
        <v>9.7000000000000003E-2</v>
      </c>
      <c r="Z5">
        <v>8.8800000000000004E-2</v>
      </c>
      <c r="AA5">
        <v>9.5500000000000002E-2</v>
      </c>
    </row>
    <row r="6" spans="1:27" x14ac:dyDescent="0.3">
      <c r="A6" s="1">
        <v>0.5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3</v>
      </c>
      <c r="J6">
        <v>3</v>
      </c>
      <c r="K6">
        <v>1</v>
      </c>
      <c r="L6">
        <v>1</v>
      </c>
      <c r="M6">
        <v>1</v>
      </c>
      <c r="O6" s="1">
        <v>0.5</v>
      </c>
      <c r="P6">
        <v>9.2799999999999994E-2</v>
      </c>
      <c r="Q6">
        <v>8.77E-2</v>
      </c>
      <c r="R6">
        <v>9.35E-2</v>
      </c>
      <c r="S6">
        <v>9.2999999999999999E-2</v>
      </c>
      <c r="T6">
        <v>8.7900000000000006E-2</v>
      </c>
      <c r="U6">
        <v>9.3799999999999994E-2</v>
      </c>
      <c r="V6" s="4">
        <v>0.2787</v>
      </c>
      <c r="W6">
        <v>0.2147</v>
      </c>
      <c r="X6">
        <v>0.29909999999999998</v>
      </c>
      <c r="Y6">
        <v>9.7000000000000003E-2</v>
      </c>
      <c r="Z6">
        <v>8.8800000000000004E-2</v>
      </c>
      <c r="AA6">
        <v>9.5500000000000002E-2</v>
      </c>
    </row>
    <row r="7" spans="1:27" x14ac:dyDescent="0.3">
      <c r="A7" s="1">
        <v>0.6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3</v>
      </c>
      <c r="I7">
        <v>3</v>
      </c>
      <c r="J7">
        <v>3</v>
      </c>
      <c r="K7">
        <v>1</v>
      </c>
      <c r="L7">
        <v>1</v>
      </c>
      <c r="M7">
        <v>1</v>
      </c>
      <c r="O7" s="1">
        <v>0.6</v>
      </c>
      <c r="P7">
        <v>9.2799999999999994E-2</v>
      </c>
      <c r="Q7">
        <v>8.77E-2</v>
      </c>
      <c r="R7">
        <v>9.35E-2</v>
      </c>
      <c r="S7">
        <v>9.2999999999999999E-2</v>
      </c>
      <c r="T7">
        <v>8.7900000000000006E-2</v>
      </c>
      <c r="U7">
        <v>9.3799999999999994E-2</v>
      </c>
      <c r="V7" s="4">
        <v>0.30199999999999999</v>
      </c>
      <c r="W7">
        <v>0.2392</v>
      </c>
      <c r="X7">
        <v>0.30919999999999997</v>
      </c>
      <c r="Y7">
        <v>9.7000000000000003E-2</v>
      </c>
      <c r="Z7">
        <v>8.8800000000000004E-2</v>
      </c>
      <c r="AA7">
        <v>9.5500000000000002E-2</v>
      </c>
    </row>
    <row r="8" spans="1:27" x14ac:dyDescent="0.3">
      <c r="A8" s="1">
        <v>0.65</v>
      </c>
      <c r="B8">
        <v>2</v>
      </c>
      <c r="C8">
        <v>1</v>
      </c>
      <c r="D8">
        <v>1</v>
      </c>
      <c r="E8">
        <v>2</v>
      </c>
      <c r="F8">
        <v>1</v>
      </c>
      <c r="G8">
        <v>1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O8" s="1">
        <v>0.65</v>
      </c>
      <c r="P8">
        <v>8.3500000000000005E-2</v>
      </c>
      <c r="Q8">
        <v>8.77E-2</v>
      </c>
      <c r="R8">
        <v>9.35E-2</v>
      </c>
      <c r="S8">
        <v>8.3299999999999999E-2</v>
      </c>
      <c r="T8">
        <v>8.7900000000000006E-2</v>
      </c>
      <c r="U8">
        <v>9.3799999999999994E-2</v>
      </c>
      <c r="V8" s="4">
        <v>0.30199999999999999</v>
      </c>
      <c r="W8">
        <v>0.25950000000000001</v>
      </c>
      <c r="X8">
        <v>0.30919999999999997</v>
      </c>
      <c r="Y8">
        <v>9.6699999999999994E-2</v>
      </c>
      <c r="Z8">
        <v>8.8800000000000004E-2</v>
      </c>
      <c r="AA8">
        <v>9.5500000000000002E-2</v>
      </c>
    </row>
    <row r="9" spans="1:27" x14ac:dyDescent="0.3">
      <c r="A9" s="1">
        <v>0.7</v>
      </c>
      <c r="B9">
        <v>4</v>
      </c>
      <c r="C9">
        <v>1</v>
      </c>
      <c r="D9">
        <v>2</v>
      </c>
      <c r="E9">
        <v>4</v>
      </c>
      <c r="F9">
        <v>1</v>
      </c>
      <c r="G9">
        <v>2</v>
      </c>
      <c r="H9">
        <v>3</v>
      </c>
      <c r="I9">
        <v>3</v>
      </c>
      <c r="J9">
        <v>3</v>
      </c>
      <c r="K9">
        <v>4</v>
      </c>
      <c r="L9">
        <v>1</v>
      </c>
      <c r="M9">
        <v>1</v>
      </c>
      <c r="O9" s="1">
        <v>0.7</v>
      </c>
      <c r="P9">
        <v>0.1193</v>
      </c>
      <c r="Q9">
        <v>8.77E-2</v>
      </c>
      <c r="R9">
        <v>8.9099999999999999E-2</v>
      </c>
      <c r="S9">
        <v>0.11990000000000001</v>
      </c>
      <c r="T9">
        <v>8.7900000000000006E-2</v>
      </c>
      <c r="U9" s="4">
        <v>0.10299999999999999</v>
      </c>
      <c r="V9" s="4">
        <v>0.29759999999999998</v>
      </c>
      <c r="W9" s="3">
        <v>0.25950000000000001</v>
      </c>
      <c r="X9" s="3">
        <v>0.30919999999999997</v>
      </c>
      <c r="Y9">
        <v>9.2700000000000005E-2</v>
      </c>
      <c r="Z9">
        <v>8.8800000000000004E-2</v>
      </c>
      <c r="AA9">
        <v>9.5500000000000002E-2</v>
      </c>
    </row>
    <row r="10" spans="1:27" x14ac:dyDescent="0.3">
      <c r="A10" s="1">
        <v>0.75</v>
      </c>
      <c r="B10">
        <v>4</v>
      </c>
      <c r="C10">
        <v>1</v>
      </c>
      <c r="D10">
        <v>3</v>
      </c>
      <c r="E10">
        <v>4</v>
      </c>
      <c r="F10">
        <v>1</v>
      </c>
      <c r="G10">
        <v>3</v>
      </c>
      <c r="H10">
        <v>2</v>
      </c>
      <c r="I10">
        <v>3</v>
      </c>
      <c r="J10">
        <v>3</v>
      </c>
      <c r="K10">
        <v>3</v>
      </c>
      <c r="L10">
        <v>1</v>
      </c>
      <c r="M10">
        <v>2</v>
      </c>
      <c r="O10" s="1">
        <v>0.75</v>
      </c>
      <c r="P10">
        <v>0.1193</v>
      </c>
      <c r="Q10">
        <v>8.77E-2</v>
      </c>
      <c r="R10">
        <v>0.1</v>
      </c>
      <c r="S10">
        <v>0.11990000000000001</v>
      </c>
      <c r="T10">
        <v>8.7900000000000006E-2</v>
      </c>
      <c r="U10" s="4">
        <v>0.10050000000000001</v>
      </c>
      <c r="V10" s="3">
        <v>0.307</v>
      </c>
      <c r="W10">
        <v>0.23050000000000001</v>
      </c>
      <c r="X10">
        <v>0.30659999999999998</v>
      </c>
      <c r="Y10">
        <v>0.1021</v>
      </c>
      <c r="Z10">
        <v>8.8800000000000004E-2</v>
      </c>
      <c r="AA10">
        <v>7.2400000000000006E-2</v>
      </c>
    </row>
    <row r="11" spans="1:27" x14ac:dyDescent="0.3">
      <c r="A11" s="1">
        <v>0.8</v>
      </c>
      <c r="B11">
        <v>5</v>
      </c>
      <c r="C11">
        <v>1</v>
      </c>
      <c r="D11">
        <v>5</v>
      </c>
      <c r="E11">
        <v>5</v>
      </c>
      <c r="F11">
        <v>1</v>
      </c>
      <c r="G11">
        <v>5</v>
      </c>
      <c r="H11">
        <v>2</v>
      </c>
      <c r="I11">
        <v>3</v>
      </c>
      <c r="J11">
        <v>3</v>
      </c>
      <c r="K11">
        <v>3</v>
      </c>
      <c r="L11">
        <v>1</v>
      </c>
      <c r="M11">
        <v>4</v>
      </c>
      <c r="O11" s="1">
        <v>0.8</v>
      </c>
      <c r="P11">
        <v>0.12509999999999999</v>
      </c>
      <c r="Q11">
        <v>8.77E-2</v>
      </c>
      <c r="R11">
        <v>0.11940000000000001</v>
      </c>
      <c r="S11">
        <v>0.1265</v>
      </c>
      <c r="T11">
        <v>8.7900000000000006E-2</v>
      </c>
      <c r="U11" s="4">
        <v>0.12130000000000001</v>
      </c>
      <c r="V11" s="3">
        <v>0.307</v>
      </c>
      <c r="W11">
        <v>0.23050000000000001</v>
      </c>
      <c r="X11">
        <v>0.2908</v>
      </c>
      <c r="Y11" s="3">
        <v>0.1169</v>
      </c>
      <c r="Z11">
        <v>8.8800000000000004E-2</v>
      </c>
      <c r="AA11">
        <v>8.9200000000000002E-2</v>
      </c>
    </row>
    <row r="12" spans="1:27" x14ac:dyDescent="0.3">
      <c r="A12" s="1">
        <v>0.85</v>
      </c>
      <c r="B12">
        <v>7</v>
      </c>
      <c r="C12">
        <v>2</v>
      </c>
      <c r="D12">
        <v>5</v>
      </c>
      <c r="E12">
        <v>7</v>
      </c>
      <c r="F12">
        <v>2</v>
      </c>
      <c r="G12">
        <v>5</v>
      </c>
      <c r="H12">
        <v>2</v>
      </c>
      <c r="I12">
        <v>3</v>
      </c>
      <c r="J12">
        <v>2</v>
      </c>
      <c r="K12">
        <v>2</v>
      </c>
      <c r="L12">
        <v>2</v>
      </c>
      <c r="M12">
        <v>2</v>
      </c>
      <c r="O12" s="1">
        <v>0.85</v>
      </c>
      <c r="P12" s="3">
        <v>0.14149999999999999</v>
      </c>
      <c r="Q12">
        <v>9.3399999999999997E-2</v>
      </c>
      <c r="R12" s="3">
        <v>0.11940000000000001</v>
      </c>
      <c r="S12" s="3">
        <v>0.1426</v>
      </c>
      <c r="T12">
        <v>9.3899999999999997E-2</v>
      </c>
      <c r="U12" s="4">
        <v>0.12130000000000001</v>
      </c>
      <c r="V12" s="3">
        <v>0.307</v>
      </c>
      <c r="W12">
        <v>0.23050000000000001</v>
      </c>
      <c r="X12">
        <v>0.28039999999999998</v>
      </c>
      <c r="Y12">
        <v>0.1053</v>
      </c>
      <c r="Z12">
        <v>7.7100000000000002E-2</v>
      </c>
      <c r="AA12">
        <v>0.1031</v>
      </c>
    </row>
    <row r="13" spans="1:27" x14ac:dyDescent="0.3">
      <c r="A13" s="1">
        <v>0.9</v>
      </c>
      <c r="B13">
        <v>3</v>
      </c>
      <c r="C13">
        <v>5</v>
      </c>
      <c r="D13">
        <v>5</v>
      </c>
      <c r="E13">
        <v>2</v>
      </c>
      <c r="F13">
        <v>5</v>
      </c>
      <c r="G13">
        <v>4</v>
      </c>
      <c r="H13">
        <v>1</v>
      </c>
      <c r="I13">
        <v>3</v>
      </c>
      <c r="J13">
        <v>2</v>
      </c>
      <c r="K13">
        <v>1</v>
      </c>
      <c r="L13">
        <v>3</v>
      </c>
      <c r="M13">
        <v>2</v>
      </c>
      <c r="O13" s="1">
        <v>0.9</v>
      </c>
      <c r="P13">
        <v>4.1700000000000001E-2</v>
      </c>
      <c r="Q13" s="3">
        <v>0.10349999999999999</v>
      </c>
      <c r="R13">
        <v>0.1109</v>
      </c>
      <c r="S13">
        <v>3.4200000000000001E-2</v>
      </c>
      <c r="T13" s="3">
        <v>0.1048</v>
      </c>
      <c r="U13" s="4">
        <v>0.1169</v>
      </c>
      <c r="V13" s="4">
        <v>0.24759999999999999</v>
      </c>
      <c r="W13">
        <v>0.2162</v>
      </c>
      <c r="X13">
        <v>0.28039999999999998</v>
      </c>
      <c r="Y13">
        <v>3.5999999999999997E-2</v>
      </c>
      <c r="Z13">
        <v>8.3199999999999996E-2</v>
      </c>
      <c r="AA13">
        <v>0.1076</v>
      </c>
    </row>
    <row r="14" spans="1:27" x14ac:dyDescent="0.3">
      <c r="A14" s="1">
        <v>0.95</v>
      </c>
      <c r="B14">
        <v>1</v>
      </c>
      <c r="C14">
        <v>4</v>
      </c>
      <c r="D14">
        <v>2</v>
      </c>
      <c r="E14">
        <v>1</v>
      </c>
      <c r="F14">
        <v>4</v>
      </c>
      <c r="G14">
        <v>2</v>
      </c>
      <c r="H14">
        <v>1</v>
      </c>
      <c r="I14">
        <v>2</v>
      </c>
      <c r="J14">
        <v>2</v>
      </c>
      <c r="K14">
        <v>1</v>
      </c>
      <c r="L14">
        <v>2</v>
      </c>
      <c r="M14">
        <v>2</v>
      </c>
      <c r="O14" s="1">
        <v>0.95</v>
      </c>
      <c r="P14">
        <v>2.5600000000000001E-2</v>
      </c>
      <c r="Q14">
        <v>0.1002</v>
      </c>
      <c r="R14">
        <v>9.9099999999999994E-2</v>
      </c>
      <c r="S14">
        <v>2.5600000000000001E-2</v>
      </c>
      <c r="T14">
        <v>0.1012</v>
      </c>
      <c r="U14">
        <v>9.9500000000000005E-2</v>
      </c>
      <c r="V14" s="4">
        <v>0.24759999999999999</v>
      </c>
      <c r="W14">
        <v>0.20710000000000001</v>
      </c>
      <c r="X14">
        <v>0.28039999999999998</v>
      </c>
      <c r="Y14">
        <v>3.5999999999999997E-2</v>
      </c>
      <c r="Z14">
        <v>9.5299999999999996E-2</v>
      </c>
      <c r="AA14">
        <v>0.1076</v>
      </c>
    </row>
    <row r="15" spans="1:27" x14ac:dyDescent="0.3">
      <c r="A15" s="1">
        <v>0.99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O15" s="1">
        <v>0.99</v>
      </c>
      <c r="P15">
        <v>2.5100000000000001E-2</v>
      </c>
      <c r="Q15">
        <v>1.5299999999999999E-2</v>
      </c>
      <c r="R15">
        <v>2.0799999999999999E-2</v>
      </c>
      <c r="S15">
        <v>2.5600000000000001E-2</v>
      </c>
      <c r="T15">
        <v>1.55E-2</v>
      </c>
      <c r="U15">
        <v>2.1299999999999999E-2</v>
      </c>
      <c r="V15" s="4">
        <v>0.24759999999999999</v>
      </c>
      <c r="W15">
        <v>0.14599999999999999</v>
      </c>
      <c r="X15">
        <v>0.21540000000000001</v>
      </c>
      <c r="Y15">
        <v>3.5999999999999997E-2</v>
      </c>
      <c r="Z15">
        <v>1.89E-2</v>
      </c>
      <c r="AA15">
        <v>2.92E-2</v>
      </c>
    </row>
    <row r="18" spans="1:27" x14ac:dyDescent="0.3">
      <c r="A18" t="s">
        <v>14</v>
      </c>
    </row>
    <row r="19" spans="1:27" x14ac:dyDescent="0.3">
      <c r="A19" t="s">
        <v>32</v>
      </c>
      <c r="O19" t="s">
        <v>13</v>
      </c>
    </row>
    <row r="20" spans="1:2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31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O20" t="s">
        <v>0</v>
      </c>
      <c r="P20" t="s">
        <v>1</v>
      </c>
      <c r="Q20" t="s">
        <v>2</v>
      </c>
      <c r="R20" t="s">
        <v>3</v>
      </c>
      <c r="S20" t="s">
        <v>4</v>
      </c>
      <c r="T20" t="s">
        <v>31</v>
      </c>
      <c r="U20" t="s">
        <v>5</v>
      </c>
      <c r="V20" t="s">
        <v>6</v>
      </c>
      <c r="W20" t="s">
        <v>7</v>
      </c>
      <c r="X20" t="s">
        <v>8</v>
      </c>
      <c r="Y20" t="s">
        <v>9</v>
      </c>
      <c r="Z20" t="s">
        <v>10</v>
      </c>
      <c r="AA20" t="s">
        <v>11</v>
      </c>
    </row>
    <row r="21" spans="1:27" x14ac:dyDescent="0.3">
      <c r="A21" s="1">
        <v>0.3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  <c r="J21">
        <v>2</v>
      </c>
      <c r="K21">
        <v>1</v>
      </c>
      <c r="L21">
        <v>1</v>
      </c>
      <c r="M21">
        <v>1</v>
      </c>
      <c r="O21" s="1">
        <v>0.3</v>
      </c>
      <c r="P21" t="s">
        <v>34</v>
      </c>
      <c r="Q21" t="s">
        <v>35</v>
      </c>
      <c r="R21" t="s">
        <v>36</v>
      </c>
      <c r="S21" t="s">
        <v>37</v>
      </c>
      <c r="T21" t="s">
        <v>38</v>
      </c>
      <c r="U21" t="s">
        <v>39</v>
      </c>
      <c r="V21" t="s">
        <v>40</v>
      </c>
      <c r="W21" t="s">
        <v>41</v>
      </c>
      <c r="X21" t="s">
        <v>42</v>
      </c>
      <c r="Y21" t="s">
        <v>43</v>
      </c>
      <c r="Z21" t="s">
        <v>44</v>
      </c>
      <c r="AA21" t="s">
        <v>45</v>
      </c>
    </row>
    <row r="22" spans="1:27" x14ac:dyDescent="0.3">
      <c r="A22" s="1">
        <v>0.4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2</v>
      </c>
      <c r="K22">
        <v>1</v>
      </c>
      <c r="L22">
        <v>1</v>
      </c>
      <c r="M22">
        <v>1</v>
      </c>
      <c r="O22" s="1">
        <v>0.4</v>
      </c>
      <c r="P22" t="s">
        <v>34</v>
      </c>
      <c r="Q22" t="s">
        <v>35</v>
      </c>
      <c r="R22" t="s">
        <v>36</v>
      </c>
      <c r="S22" t="s">
        <v>37</v>
      </c>
      <c r="T22" t="s">
        <v>38</v>
      </c>
      <c r="U22" t="s">
        <v>39</v>
      </c>
      <c r="V22" t="s">
        <v>46</v>
      </c>
      <c r="W22" t="s">
        <v>47</v>
      </c>
      <c r="X22" t="s">
        <v>48</v>
      </c>
      <c r="Y22" t="s">
        <v>43</v>
      </c>
      <c r="Z22" t="s">
        <v>44</v>
      </c>
      <c r="AA22" t="s">
        <v>45</v>
      </c>
    </row>
    <row r="23" spans="1:27" x14ac:dyDescent="0.3">
      <c r="A23" s="1">
        <v>0.5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2</v>
      </c>
      <c r="J23">
        <v>2</v>
      </c>
      <c r="K23">
        <v>1</v>
      </c>
      <c r="L23">
        <v>1</v>
      </c>
      <c r="M23">
        <v>1</v>
      </c>
      <c r="O23" s="1">
        <v>0.5</v>
      </c>
      <c r="P23" t="s">
        <v>34</v>
      </c>
      <c r="Q23" t="s">
        <v>35</v>
      </c>
      <c r="R23" t="s">
        <v>36</v>
      </c>
      <c r="S23" t="s">
        <v>37</v>
      </c>
      <c r="T23" t="s">
        <v>38</v>
      </c>
      <c r="U23" t="s">
        <v>39</v>
      </c>
      <c r="V23" t="s">
        <v>49</v>
      </c>
      <c r="W23" t="s">
        <v>50</v>
      </c>
      <c r="X23" t="s">
        <v>51</v>
      </c>
      <c r="Y23" t="s">
        <v>43</v>
      </c>
      <c r="Z23" t="s">
        <v>44</v>
      </c>
      <c r="AA23" t="s">
        <v>45</v>
      </c>
    </row>
    <row r="24" spans="1:27" x14ac:dyDescent="0.3">
      <c r="A24" s="1">
        <v>0.6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  <c r="L24">
        <v>1</v>
      </c>
      <c r="M24">
        <v>1</v>
      </c>
      <c r="O24" s="1">
        <v>0.6</v>
      </c>
      <c r="P24" t="s">
        <v>34</v>
      </c>
      <c r="Q24" t="s">
        <v>35</v>
      </c>
      <c r="R24" t="s">
        <v>36</v>
      </c>
      <c r="S24" t="s">
        <v>37</v>
      </c>
      <c r="T24" t="s">
        <v>38</v>
      </c>
      <c r="U24" t="s">
        <v>39</v>
      </c>
      <c r="V24" t="s">
        <v>52</v>
      </c>
      <c r="W24" t="s">
        <v>53</v>
      </c>
      <c r="X24" t="s">
        <v>54</v>
      </c>
      <c r="Y24" t="s">
        <v>43</v>
      </c>
      <c r="Z24" t="s">
        <v>44</v>
      </c>
      <c r="AA24" t="s">
        <v>45</v>
      </c>
    </row>
    <row r="25" spans="1:27" x14ac:dyDescent="0.3">
      <c r="A25" s="1">
        <v>0.65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1</v>
      </c>
      <c r="L25">
        <v>1</v>
      </c>
      <c r="M25">
        <v>1</v>
      </c>
      <c r="O25" s="1">
        <v>0.65</v>
      </c>
      <c r="P25" t="s">
        <v>34</v>
      </c>
      <c r="Q25" t="s">
        <v>35</v>
      </c>
      <c r="R25" t="s">
        <v>36</v>
      </c>
      <c r="S25" t="s">
        <v>37</v>
      </c>
      <c r="T25" t="s">
        <v>38</v>
      </c>
      <c r="U25" t="s">
        <v>39</v>
      </c>
      <c r="V25" t="s">
        <v>52</v>
      </c>
      <c r="W25" t="s">
        <v>55</v>
      </c>
      <c r="X25" t="s">
        <v>54</v>
      </c>
      <c r="Y25" t="s">
        <v>43</v>
      </c>
      <c r="Z25" t="s">
        <v>44</v>
      </c>
      <c r="AA25" t="s">
        <v>45</v>
      </c>
    </row>
    <row r="26" spans="1:27" x14ac:dyDescent="0.3">
      <c r="A26" s="1">
        <v>0.7</v>
      </c>
      <c r="B26">
        <v>2</v>
      </c>
      <c r="C26">
        <v>1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1</v>
      </c>
      <c r="L26">
        <v>1</v>
      </c>
      <c r="M26">
        <v>1</v>
      </c>
      <c r="O26" s="1">
        <v>0.7</v>
      </c>
      <c r="P26" t="s">
        <v>56</v>
      </c>
      <c r="Q26" t="s">
        <v>35</v>
      </c>
      <c r="R26" t="s">
        <v>36</v>
      </c>
      <c r="S26" t="s">
        <v>57</v>
      </c>
      <c r="T26" t="s">
        <v>38</v>
      </c>
      <c r="U26" t="s">
        <v>58</v>
      </c>
      <c r="V26" t="s">
        <v>59</v>
      </c>
      <c r="W26" t="s">
        <v>55</v>
      </c>
      <c r="X26" t="s">
        <v>54</v>
      </c>
      <c r="Y26" t="s">
        <v>43</v>
      </c>
      <c r="Z26" t="s">
        <v>44</v>
      </c>
      <c r="AA26" t="s">
        <v>45</v>
      </c>
    </row>
    <row r="27" spans="1:27" x14ac:dyDescent="0.3">
      <c r="A27" s="1">
        <v>0.75</v>
      </c>
      <c r="B27">
        <v>2</v>
      </c>
      <c r="C27">
        <v>1</v>
      </c>
      <c r="D27">
        <v>2</v>
      </c>
      <c r="E27">
        <v>2</v>
      </c>
      <c r="F27">
        <v>1</v>
      </c>
      <c r="G27">
        <v>2</v>
      </c>
      <c r="H27">
        <v>1</v>
      </c>
      <c r="I27">
        <v>1</v>
      </c>
      <c r="J27">
        <v>1</v>
      </c>
      <c r="K27">
        <v>2</v>
      </c>
      <c r="L27">
        <v>1</v>
      </c>
      <c r="M27">
        <v>1</v>
      </c>
      <c r="O27" s="1">
        <v>0.75</v>
      </c>
      <c r="P27" t="s">
        <v>56</v>
      </c>
      <c r="Q27" t="s">
        <v>35</v>
      </c>
      <c r="R27" t="s">
        <v>60</v>
      </c>
      <c r="S27" t="s">
        <v>57</v>
      </c>
      <c r="T27" t="s">
        <v>38</v>
      </c>
      <c r="U27" t="s">
        <v>58</v>
      </c>
      <c r="V27" t="s">
        <v>61</v>
      </c>
      <c r="W27" t="s">
        <v>62</v>
      </c>
      <c r="X27" t="s">
        <v>63</v>
      </c>
      <c r="Y27" t="s">
        <v>64</v>
      </c>
      <c r="Z27" t="s">
        <v>44</v>
      </c>
      <c r="AA27" t="s">
        <v>45</v>
      </c>
    </row>
    <row r="28" spans="1:27" x14ac:dyDescent="0.3">
      <c r="A28" s="1">
        <v>0.8</v>
      </c>
      <c r="B28">
        <v>3</v>
      </c>
      <c r="C28">
        <v>1</v>
      </c>
      <c r="D28">
        <v>3</v>
      </c>
      <c r="E28">
        <v>3</v>
      </c>
      <c r="F28">
        <v>1</v>
      </c>
      <c r="G28">
        <v>3</v>
      </c>
      <c r="H28">
        <v>1</v>
      </c>
      <c r="I28">
        <v>1</v>
      </c>
      <c r="J28">
        <v>1</v>
      </c>
      <c r="K28">
        <v>2</v>
      </c>
      <c r="L28">
        <v>1</v>
      </c>
      <c r="M28">
        <v>2</v>
      </c>
      <c r="O28" s="1">
        <v>0.8</v>
      </c>
      <c r="P28" t="s">
        <v>65</v>
      </c>
      <c r="Q28" t="s">
        <v>35</v>
      </c>
      <c r="R28" t="s">
        <v>66</v>
      </c>
      <c r="S28" t="s">
        <v>67</v>
      </c>
      <c r="T28" t="s">
        <v>38</v>
      </c>
      <c r="U28" t="s">
        <v>68</v>
      </c>
      <c r="V28" t="s">
        <v>61</v>
      </c>
      <c r="W28" t="s">
        <v>62</v>
      </c>
      <c r="X28" t="s">
        <v>69</v>
      </c>
      <c r="Y28" t="s">
        <v>70</v>
      </c>
      <c r="Z28" t="s">
        <v>44</v>
      </c>
      <c r="AA28" t="s">
        <v>71</v>
      </c>
    </row>
    <row r="29" spans="1:27" x14ac:dyDescent="0.3">
      <c r="A29" s="1">
        <v>0.85</v>
      </c>
      <c r="B29">
        <v>3</v>
      </c>
      <c r="C29">
        <v>2</v>
      </c>
      <c r="D29">
        <v>3</v>
      </c>
      <c r="E29">
        <v>3</v>
      </c>
      <c r="F29">
        <v>2</v>
      </c>
      <c r="G29">
        <v>3</v>
      </c>
      <c r="H29">
        <v>1</v>
      </c>
      <c r="I29">
        <v>1</v>
      </c>
      <c r="J29">
        <v>1</v>
      </c>
      <c r="K29">
        <v>2</v>
      </c>
      <c r="L29">
        <v>1</v>
      </c>
      <c r="M29">
        <v>2</v>
      </c>
      <c r="O29" s="1">
        <v>0.85</v>
      </c>
      <c r="P29" t="s">
        <v>65</v>
      </c>
      <c r="Q29" t="s">
        <v>72</v>
      </c>
      <c r="R29" t="s">
        <v>66</v>
      </c>
      <c r="S29" t="s">
        <v>67</v>
      </c>
      <c r="T29" t="s">
        <v>73</v>
      </c>
      <c r="U29" t="s">
        <v>68</v>
      </c>
      <c r="V29" t="s">
        <v>61</v>
      </c>
      <c r="W29" t="s">
        <v>62</v>
      </c>
      <c r="X29" t="s">
        <v>74</v>
      </c>
      <c r="Y29" t="s">
        <v>75</v>
      </c>
      <c r="Z29" t="s">
        <v>44</v>
      </c>
      <c r="AA29" t="s">
        <v>76</v>
      </c>
    </row>
    <row r="30" spans="1:27" x14ac:dyDescent="0.3">
      <c r="A30" s="1">
        <v>0.9</v>
      </c>
      <c r="B30">
        <v>2</v>
      </c>
      <c r="C30">
        <v>3</v>
      </c>
      <c r="D30">
        <v>4</v>
      </c>
      <c r="E30">
        <v>2</v>
      </c>
      <c r="F30">
        <v>3</v>
      </c>
      <c r="G30">
        <v>3</v>
      </c>
      <c r="H30">
        <v>1</v>
      </c>
      <c r="I30">
        <v>1</v>
      </c>
      <c r="J30">
        <v>1</v>
      </c>
      <c r="K30">
        <v>1</v>
      </c>
      <c r="L30">
        <v>2</v>
      </c>
      <c r="M30">
        <v>2</v>
      </c>
      <c r="O30" s="1">
        <v>0.9</v>
      </c>
      <c r="P30" t="s">
        <v>77</v>
      </c>
      <c r="Q30" t="s">
        <v>78</v>
      </c>
      <c r="R30" t="s">
        <v>79</v>
      </c>
      <c r="S30" t="s">
        <v>80</v>
      </c>
      <c r="T30" t="s">
        <v>81</v>
      </c>
      <c r="U30" t="s">
        <v>82</v>
      </c>
      <c r="V30" t="s">
        <v>83</v>
      </c>
      <c r="W30" t="s">
        <v>84</v>
      </c>
      <c r="X30" t="s">
        <v>74</v>
      </c>
      <c r="Y30" t="s">
        <v>85</v>
      </c>
      <c r="Z30" t="s">
        <v>44</v>
      </c>
      <c r="AA30" t="s">
        <v>86</v>
      </c>
    </row>
    <row r="31" spans="1:27" x14ac:dyDescent="0.3">
      <c r="A31" s="1">
        <v>0.95</v>
      </c>
      <c r="B31">
        <v>1</v>
      </c>
      <c r="C31">
        <v>3</v>
      </c>
      <c r="D31">
        <v>2</v>
      </c>
      <c r="E31">
        <v>1</v>
      </c>
      <c r="F31">
        <v>3</v>
      </c>
      <c r="G31">
        <v>2</v>
      </c>
      <c r="H31">
        <v>1</v>
      </c>
      <c r="I31">
        <v>1</v>
      </c>
      <c r="J31">
        <v>1</v>
      </c>
      <c r="K31">
        <v>1</v>
      </c>
      <c r="L31">
        <v>2</v>
      </c>
      <c r="M31">
        <v>2</v>
      </c>
      <c r="O31" s="1">
        <v>0.95</v>
      </c>
      <c r="P31" t="s">
        <v>87</v>
      </c>
      <c r="Q31" t="s">
        <v>88</v>
      </c>
      <c r="R31" t="s">
        <v>89</v>
      </c>
      <c r="S31" t="s">
        <v>87</v>
      </c>
      <c r="T31" t="s">
        <v>89</v>
      </c>
      <c r="U31" t="s">
        <v>66</v>
      </c>
      <c r="V31" t="s">
        <v>83</v>
      </c>
      <c r="W31" t="s">
        <v>90</v>
      </c>
      <c r="X31" t="s">
        <v>74</v>
      </c>
      <c r="Y31" t="s">
        <v>85</v>
      </c>
      <c r="Z31" t="s">
        <v>91</v>
      </c>
      <c r="AA31" t="s">
        <v>86</v>
      </c>
    </row>
    <row r="32" spans="1:27" x14ac:dyDescent="0.3">
      <c r="A32" s="1">
        <v>0.99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O32" s="1">
        <v>0.99</v>
      </c>
      <c r="P32" t="s">
        <v>92</v>
      </c>
      <c r="Q32" t="s">
        <v>93</v>
      </c>
      <c r="R32" t="s">
        <v>94</v>
      </c>
      <c r="S32" t="s">
        <v>87</v>
      </c>
      <c r="T32" t="s">
        <v>95</v>
      </c>
      <c r="U32" t="s">
        <v>96</v>
      </c>
      <c r="V32" t="s">
        <v>83</v>
      </c>
      <c r="W32" t="s">
        <v>97</v>
      </c>
      <c r="X32" t="s">
        <v>98</v>
      </c>
      <c r="Y32" t="s">
        <v>85</v>
      </c>
      <c r="Z32" t="s">
        <v>99</v>
      </c>
      <c r="AA32" t="s">
        <v>100</v>
      </c>
    </row>
    <row r="35" spans="1:27" x14ac:dyDescent="0.3">
      <c r="A35" t="s">
        <v>15</v>
      </c>
    </row>
    <row r="36" spans="1:27" x14ac:dyDescent="0.3">
      <c r="A36" t="s">
        <v>32</v>
      </c>
      <c r="O36" t="s">
        <v>13</v>
      </c>
    </row>
    <row r="37" spans="1:27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31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31</v>
      </c>
      <c r="U37" t="s">
        <v>5</v>
      </c>
      <c r="V37" t="s">
        <v>6</v>
      </c>
      <c r="W37" t="s">
        <v>7</v>
      </c>
      <c r="X37" t="s">
        <v>8</v>
      </c>
      <c r="Y37" t="s">
        <v>9</v>
      </c>
      <c r="Z37" t="s">
        <v>10</v>
      </c>
      <c r="AA37" t="s">
        <v>11</v>
      </c>
    </row>
    <row r="38" spans="1:27" x14ac:dyDescent="0.3">
      <c r="A38" s="1">
        <v>0.3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O38" s="1">
        <v>0.3</v>
      </c>
      <c r="P38">
        <v>9.2799999999999994E-2</v>
      </c>
      <c r="Q38">
        <v>8.77E-2</v>
      </c>
      <c r="R38">
        <v>9.35E-2</v>
      </c>
      <c r="S38">
        <v>9.2999999999999999E-2</v>
      </c>
      <c r="T38">
        <v>8.7900000000000006E-2</v>
      </c>
      <c r="U38">
        <v>9.3799999999999994E-2</v>
      </c>
      <c r="V38">
        <v>0.107</v>
      </c>
      <c r="W38">
        <v>0.12859999999999999</v>
      </c>
      <c r="X38">
        <v>0.14549999999999999</v>
      </c>
      <c r="Y38">
        <v>9.7000000000000003E-2</v>
      </c>
      <c r="Z38">
        <v>8.8800000000000004E-2</v>
      </c>
      <c r="AA38">
        <v>9.5500000000000002E-2</v>
      </c>
    </row>
    <row r="39" spans="1:27" x14ac:dyDescent="0.3">
      <c r="A39" s="1">
        <v>0.4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O39" s="1">
        <v>0.4</v>
      </c>
      <c r="P39">
        <v>9.2799999999999994E-2</v>
      </c>
      <c r="Q39">
        <v>8.77E-2</v>
      </c>
      <c r="R39">
        <v>9.35E-2</v>
      </c>
      <c r="S39">
        <v>9.2999999999999999E-2</v>
      </c>
      <c r="T39">
        <v>8.7900000000000006E-2</v>
      </c>
      <c r="U39">
        <v>9.3799999999999994E-2</v>
      </c>
      <c r="V39">
        <v>0.16800000000000001</v>
      </c>
      <c r="W39">
        <v>8.1900000000000001E-2</v>
      </c>
      <c r="X39">
        <v>0.20780000000000001</v>
      </c>
      <c r="Y39">
        <v>9.7000000000000003E-2</v>
      </c>
      <c r="Z39">
        <v>8.8800000000000004E-2</v>
      </c>
      <c r="AA39">
        <v>9.5500000000000002E-2</v>
      </c>
    </row>
    <row r="40" spans="1:27" x14ac:dyDescent="0.3">
      <c r="A40" s="1">
        <v>0.5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O40" s="1">
        <v>0.5</v>
      </c>
      <c r="P40">
        <v>9.2799999999999994E-2</v>
      </c>
      <c r="Q40">
        <v>8.77E-2</v>
      </c>
      <c r="R40">
        <v>9.35E-2</v>
      </c>
      <c r="S40">
        <v>9.2999999999999999E-2</v>
      </c>
      <c r="T40">
        <v>8.7900000000000006E-2</v>
      </c>
      <c r="U40">
        <v>9.3799999999999994E-2</v>
      </c>
      <c r="V40">
        <v>0.22889999999999999</v>
      </c>
      <c r="W40">
        <v>0.1613</v>
      </c>
      <c r="X40">
        <v>0.2462</v>
      </c>
      <c r="Y40">
        <v>9.7000000000000003E-2</v>
      </c>
      <c r="Z40">
        <v>8.8800000000000004E-2</v>
      </c>
      <c r="AA40">
        <v>9.5500000000000002E-2</v>
      </c>
    </row>
    <row r="41" spans="1:27" x14ac:dyDescent="0.3">
      <c r="A41" s="1">
        <v>0.6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O41" s="1">
        <v>0.6</v>
      </c>
      <c r="P41">
        <v>9.2799999999999994E-2</v>
      </c>
      <c r="Q41">
        <v>8.77E-2</v>
      </c>
      <c r="R41">
        <v>9.35E-2</v>
      </c>
      <c r="S41">
        <v>9.2999999999999999E-2</v>
      </c>
      <c r="T41">
        <v>8.7900000000000006E-2</v>
      </c>
      <c r="U41">
        <v>9.3799999999999994E-2</v>
      </c>
      <c r="V41">
        <v>0.25409999999999999</v>
      </c>
      <c r="W41">
        <v>0.1862</v>
      </c>
      <c r="X41">
        <v>0.24879999999999999</v>
      </c>
      <c r="Y41">
        <v>9.7000000000000003E-2</v>
      </c>
      <c r="Z41">
        <v>8.8800000000000004E-2</v>
      </c>
      <c r="AA41">
        <v>9.5500000000000002E-2</v>
      </c>
    </row>
    <row r="42" spans="1:27" x14ac:dyDescent="0.3">
      <c r="A42" s="1">
        <v>0.65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O42" s="1">
        <v>0.65</v>
      </c>
      <c r="P42">
        <v>9.2799999999999994E-2</v>
      </c>
      <c r="Q42">
        <v>8.77E-2</v>
      </c>
      <c r="R42">
        <v>9.35E-2</v>
      </c>
      <c r="S42">
        <v>9.2999999999999999E-2</v>
      </c>
      <c r="T42">
        <v>8.7900000000000006E-2</v>
      </c>
      <c r="U42">
        <v>9.3799999999999994E-2</v>
      </c>
      <c r="V42">
        <v>0.25409999999999999</v>
      </c>
      <c r="W42">
        <v>0.20749999999999999</v>
      </c>
      <c r="X42">
        <v>0.24879999999999999</v>
      </c>
      <c r="Y42">
        <v>9.7000000000000003E-2</v>
      </c>
      <c r="Z42">
        <v>8.8800000000000004E-2</v>
      </c>
      <c r="AA42">
        <v>9.5500000000000002E-2</v>
      </c>
    </row>
    <row r="43" spans="1:27" x14ac:dyDescent="0.3">
      <c r="A43" s="1">
        <v>0.7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O43" s="1">
        <v>0.7</v>
      </c>
      <c r="P43">
        <v>0.10100000000000001</v>
      </c>
      <c r="Q43">
        <v>8.77E-2</v>
      </c>
      <c r="R43">
        <v>9.35E-2</v>
      </c>
      <c r="S43">
        <v>0.1017</v>
      </c>
      <c r="T43">
        <v>8.7900000000000006E-2</v>
      </c>
      <c r="U43">
        <v>0.10299999999999999</v>
      </c>
      <c r="V43">
        <v>0.25950000000000001</v>
      </c>
      <c r="W43">
        <v>0.20749999999999999</v>
      </c>
      <c r="X43">
        <v>0.24879999999999999</v>
      </c>
      <c r="Y43">
        <v>9.7000000000000003E-2</v>
      </c>
      <c r="Z43">
        <v>8.8800000000000004E-2</v>
      </c>
      <c r="AA43">
        <v>9.5500000000000002E-2</v>
      </c>
    </row>
    <row r="44" spans="1:27" x14ac:dyDescent="0.3">
      <c r="A44" s="1">
        <v>0.75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O44" s="1">
        <v>0.75</v>
      </c>
      <c r="P44">
        <v>0.10100000000000001</v>
      </c>
      <c r="Q44">
        <v>8.77E-2</v>
      </c>
      <c r="R44">
        <v>0.1022</v>
      </c>
      <c r="S44">
        <v>0.1017</v>
      </c>
      <c r="T44">
        <v>8.7900000000000006E-2</v>
      </c>
      <c r="U44">
        <v>0.10299999999999999</v>
      </c>
      <c r="V44">
        <v>0.26569999999999999</v>
      </c>
      <c r="W44">
        <v>0.17380000000000001</v>
      </c>
      <c r="X44">
        <v>0.24979999999999999</v>
      </c>
      <c r="Y44">
        <v>8.7599999999999997E-2</v>
      </c>
      <c r="Z44">
        <v>8.8800000000000004E-2</v>
      </c>
      <c r="AA44">
        <v>9.5500000000000002E-2</v>
      </c>
    </row>
    <row r="45" spans="1:27" x14ac:dyDescent="0.3">
      <c r="A45" s="1">
        <v>0.8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O45" s="1">
        <v>0.8</v>
      </c>
      <c r="P45">
        <v>9.8500000000000004E-2</v>
      </c>
      <c r="Q45">
        <v>8.77E-2</v>
      </c>
      <c r="R45">
        <v>9.9500000000000005E-2</v>
      </c>
      <c r="S45">
        <v>9.8799999999999999E-2</v>
      </c>
      <c r="T45">
        <v>8.7900000000000006E-2</v>
      </c>
      <c r="U45">
        <v>9.9900000000000003E-2</v>
      </c>
      <c r="V45">
        <v>0.26569999999999999</v>
      </c>
      <c r="W45">
        <v>0.17380000000000001</v>
      </c>
      <c r="X45">
        <v>0.24</v>
      </c>
      <c r="Y45">
        <v>0.1045</v>
      </c>
      <c r="Z45">
        <v>8.8800000000000004E-2</v>
      </c>
      <c r="AA45">
        <v>9.0800000000000006E-2</v>
      </c>
    </row>
    <row r="46" spans="1:27" x14ac:dyDescent="0.3">
      <c r="A46" s="1">
        <v>0.85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O46" s="1">
        <v>0.85</v>
      </c>
      <c r="P46">
        <v>9.8500000000000004E-2</v>
      </c>
      <c r="Q46">
        <v>9.3399999999999997E-2</v>
      </c>
      <c r="R46">
        <v>9.9500000000000005E-2</v>
      </c>
      <c r="S46">
        <v>9.8799999999999999E-2</v>
      </c>
      <c r="T46">
        <v>9.3899999999999997E-2</v>
      </c>
      <c r="U46">
        <v>9.9900000000000003E-2</v>
      </c>
      <c r="V46">
        <v>0.26569999999999999</v>
      </c>
      <c r="W46">
        <v>0.17380000000000001</v>
      </c>
      <c r="X46">
        <v>0.23469999999999999</v>
      </c>
      <c r="Y46">
        <v>0.1053</v>
      </c>
      <c r="Z46">
        <v>8.8800000000000004E-2</v>
      </c>
      <c r="AA46">
        <v>0.1031</v>
      </c>
    </row>
    <row r="47" spans="1:27" x14ac:dyDescent="0.3">
      <c r="A47" s="1">
        <v>0.9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O47" s="1">
        <v>0.9</v>
      </c>
      <c r="P47">
        <v>3.8100000000000002E-2</v>
      </c>
      <c r="Q47">
        <v>9.2399999999999996E-2</v>
      </c>
      <c r="R47">
        <v>0.106</v>
      </c>
      <c r="S47">
        <v>3.4200000000000001E-2</v>
      </c>
      <c r="T47">
        <v>9.2700000000000005E-2</v>
      </c>
      <c r="U47">
        <v>0.1129</v>
      </c>
      <c r="V47">
        <v>0.24759999999999999</v>
      </c>
      <c r="W47">
        <v>0.16550000000000001</v>
      </c>
      <c r="X47">
        <v>0.23469999999999999</v>
      </c>
      <c r="Y47">
        <v>3.5999999999999997E-2</v>
      </c>
      <c r="Z47">
        <v>8.8800000000000004E-2</v>
      </c>
      <c r="AA47">
        <v>0.1076</v>
      </c>
    </row>
    <row r="48" spans="1:27" x14ac:dyDescent="0.3">
      <c r="A48" s="1">
        <v>0.95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O48" s="1">
        <v>0.95</v>
      </c>
      <c r="P48">
        <v>2.5600000000000001E-2</v>
      </c>
      <c r="Q48">
        <v>9.7799999999999998E-2</v>
      </c>
      <c r="R48">
        <v>9.9099999999999994E-2</v>
      </c>
      <c r="S48">
        <v>2.5600000000000001E-2</v>
      </c>
      <c r="T48">
        <v>9.9099999999999994E-2</v>
      </c>
      <c r="U48">
        <v>9.9500000000000005E-2</v>
      </c>
      <c r="V48">
        <v>0.24759999999999999</v>
      </c>
      <c r="W48">
        <v>0.1608</v>
      </c>
      <c r="X48">
        <v>0.23469999999999999</v>
      </c>
      <c r="Y48">
        <v>3.5999999999999997E-2</v>
      </c>
      <c r="Z48">
        <v>9.5299999999999996E-2</v>
      </c>
      <c r="AA48">
        <v>0.1076</v>
      </c>
    </row>
    <row r="49" spans="1:27" x14ac:dyDescent="0.3">
      <c r="A49" s="1">
        <v>0.99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O49" s="1">
        <v>0.99</v>
      </c>
      <c r="P49">
        <v>2.5100000000000001E-2</v>
      </c>
      <c r="Q49">
        <v>1.5299999999999999E-2</v>
      </c>
      <c r="R49">
        <v>2.0799999999999999E-2</v>
      </c>
      <c r="S49">
        <v>2.5600000000000001E-2</v>
      </c>
      <c r="T49">
        <v>1.55E-2</v>
      </c>
      <c r="U49">
        <v>2.1299999999999999E-2</v>
      </c>
      <c r="V49">
        <v>0.24759999999999999</v>
      </c>
      <c r="W49">
        <v>0.14599999999999999</v>
      </c>
      <c r="X49">
        <v>0.21540000000000001</v>
      </c>
      <c r="Y49">
        <v>3.5999999999999997E-2</v>
      </c>
      <c r="Z49">
        <v>1.89E-2</v>
      </c>
      <c r="AA49">
        <v>2.92E-2</v>
      </c>
    </row>
    <row r="52" spans="1:27" x14ac:dyDescent="0.3">
      <c r="A52" t="s">
        <v>33</v>
      </c>
    </row>
    <row r="53" spans="1:27" x14ac:dyDescent="0.3">
      <c r="A53" t="s">
        <v>32</v>
      </c>
      <c r="O53" t="s">
        <v>13</v>
      </c>
    </row>
    <row r="54" spans="1:27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31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O54" t="s">
        <v>0</v>
      </c>
      <c r="P54" t="s">
        <v>1</v>
      </c>
      <c r="Q54" t="s">
        <v>2</v>
      </c>
      <c r="R54" t="s">
        <v>3</v>
      </c>
      <c r="S54" t="s">
        <v>4</v>
      </c>
      <c r="T54" t="s">
        <v>31</v>
      </c>
      <c r="U54" t="s">
        <v>5</v>
      </c>
      <c r="V54" t="s">
        <v>6</v>
      </c>
      <c r="W54" t="s">
        <v>7</v>
      </c>
      <c r="X54" t="s">
        <v>8</v>
      </c>
      <c r="Y54" t="s">
        <v>9</v>
      </c>
      <c r="Z54" t="s">
        <v>10</v>
      </c>
      <c r="AA54" t="s">
        <v>11</v>
      </c>
    </row>
    <row r="55" spans="1:27" x14ac:dyDescent="0.3">
      <c r="A55" s="1">
        <v>0.3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 s="1">
        <v>0.3</v>
      </c>
      <c r="P55" s="2">
        <v>-1</v>
      </c>
      <c r="Q55" s="2">
        <v>-1</v>
      </c>
      <c r="R55" s="2">
        <v>-1</v>
      </c>
      <c r="S55" s="2">
        <v>-1</v>
      </c>
      <c r="T55" s="2">
        <v>-1</v>
      </c>
      <c r="U55" s="2">
        <v>-1</v>
      </c>
      <c r="V55" s="2">
        <v>-1</v>
      </c>
      <c r="W55" s="2">
        <v>-1</v>
      </c>
      <c r="X55" s="2">
        <v>-1</v>
      </c>
      <c r="Y55" s="2">
        <v>-1</v>
      </c>
      <c r="Z55" s="2">
        <v>-1</v>
      </c>
      <c r="AA55" s="2">
        <v>-1</v>
      </c>
    </row>
    <row r="56" spans="1:27" x14ac:dyDescent="0.3">
      <c r="A56" s="1">
        <v>0.4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O56" s="1">
        <v>0.4</v>
      </c>
      <c r="P56" s="2">
        <v>-1</v>
      </c>
      <c r="Q56" s="2">
        <v>-1</v>
      </c>
      <c r="R56" s="2">
        <v>-1</v>
      </c>
      <c r="S56" s="2">
        <v>-1</v>
      </c>
      <c r="T56" s="2">
        <v>-1</v>
      </c>
      <c r="U56" s="2">
        <v>-1</v>
      </c>
      <c r="V56">
        <v>0.1037</v>
      </c>
      <c r="W56" s="2">
        <v>-1</v>
      </c>
      <c r="X56">
        <v>0.13739999999999999</v>
      </c>
      <c r="Y56" s="2">
        <v>-1</v>
      </c>
      <c r="Z56" s="2">
        <v>-1</v>
      </c>
      <c r="AA56" s="2">
        <v>-1</v>
      </c>
    </row>
    <row r="57" spans="1:27" x14ac:dyDescent="0.3">
      <c r="A57" s="1">
        <v>0.5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O57" s="1">
        <v>0.5</v>
      </c>
      <c r="P57" s="2">
        <v>-1</v>
      </c>
      <c r="Q57" s="2">
        <v>-1</v>
      </c>
      <c r="R57" s="2">
        <v>-1</v>
      </c>
      <c r="S57" s="2">
        <v>-1</v>
      </c>
      <c r="T57" s="2">
        <v>-1</v>
      </c>
      <c r="U57" s="2">
        <v>-1</v>
      </c>
      <c r="V57">
        <v>0.22889999999999999</v>
      </c>
      <c r="W57">
        <v>8.5500000000000007E-2</v>
      </c>
      <c r="X57">
        <v>0.17560000000000001</v>
      </c>
      <c r="Y57" s="2">
        <v>-1</v>
      </c>
      <c r="Z57" s="2">
        <v>-1</v>
      </c>
      <c r="AA57" s="2">
        <v>-1</v>
      </c>
    </row>
    <row r="58" spans="1:27" x14ac:dyDescent="0.3">
      <c r="A58" s="1">
        <v>0.6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O58" s="1">
        <v>0.6</v>
      </c>
      <c r="P58" s="2">
        <v>-1</v>
      </c>
      <c r="Q58" s="2">
        <v>-1</v>
      </c>
      <c r="R58" s="2">
        <v>-1</v>
      </c>
      <c r="S58" s="2">
        <v>-1</v>
      </c>
      <c r="T58" s="2">
        <v>-1</v>
      </c>
      <c r="U58" s="2">
        <v>-1</v>
      </c>
      <c r="V58">
        <v>0.25409999999999999</v>
      </c>
      <c r="W58">
        <v>0.1158</v>
      </c>
      <c r="X58">
        <v>0.24879999999999999</v>
      </c>
      <c r="Y58" s="2">
        <v>-1</v>
      </c>
      <c r="Z58" s="2">
        <v>-1</v>
      </c>
      <c r="AA58" s="2">
        <v>-1</v>
      </c>
    </row>
    <row r="59" spans="1:27" x14ac:dyDescent="0.3">
      <c r="A59" s="1">
        <v>0.65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O59" s="1">
        <v>0.65</v>
      </c>
      <c r="P59" s="2">
        <v>-1</v>
      </c>
      <c r="Q59" s="2">
        <v>-1</v>
      </c>
      <c r="R59" s="2">
        <v>-1</v>
      </c>
      <c r="S59" s="2">
        <v>-1</v>
      </c>
      <c r="T59" s="2">
        <v>-1</v>
      </c>
      <c r="U59" s="2">
        <v>-1</v>
      </c>
      <c r="V59">
        <v>0.25409999999999999</v>
      </c>
      <c r="W59">
        <v>0.1389</v>
      </c>
      <c r="X59">
        <v>0.24879999999999999</v>
      </c>
      <c r="Y59" s="2">
        <v>-1</v>
      </c>
      <c r="Z59" s="2">
        <v>-1</v>
      </c>
      <c r="AA59" s="2">
        <v>-1</v>
      </c>
    </row>
    <row r="60" spans="1:27" x14ac:dyDescent="0.3">
      <c r="A60" s="1">
        <v>0.7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O60" s="1">
        <v>0.7</v>
      </c>
      <c r="P60" s="2">
        <v>-1</v>
      </c>
      <c r="Q60" s="2">
        <v>-1</v>
      </c>
      <c r="R60" s="2">
        <v>-1</v>
      </c>
      <c r="S60" s="2">
        <v>-1</v>
      </c>
      <c r="T60" s="2">
        <v>-1</v>
      </c>
      <c r="U60" s="2">
        <v>-1</v>
      </c>
      <c r="V60">
        <v>0.26129999999999998</v>
      </c>
      <c r="W60">
        <v>0.14810000000000001</v>
      </c>
      <c r="X60">
        <v>0.24879999999999999</v>
      </c>
      <c r="Y60" s="2">
        <v>-1</v>
      </c>
      <c r="Z60" s="2">
        <v>-1</v>
      </c>
      <c r="AA60" s="2">
        <v>-1</v>
      </c>
    </row>
    <row r="61" spans="1:27" x14ac:dyDescent="0.3">
      <c r="A61" s="1">
        <v>0.75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O61" s="1">
        <v>0.75</v>
      </c>
      <c r="P61" s="2">
        <v>-1</v>
      </c>
      <c r="Q61" s="2">
        <v>-1</v>
      </c>
      <c r="R61" s="2">
        <v>-1</v>
      </c>
      <c r="S61" s="2">
        <v>-1</v>
      </c>
      <c r="T61" s="2">
        <v>-1</v>
      </c>
      <c r="U61" s="2">
        <v>-1</v>
      </c>
      <c r="V61">
        <v>0.25629999999999997</v>
      </c>
      <c r="W61">
        <v>0.17380000000000001</v>
      </c>
      <c r="X61">
        <v>0.24979999999999999</v>
      </c>
      <c r="Y61" s="2">
        <v>-1</v>
      </c>
      <c r="Z61" s="2">
        <v>-1</v>
      </c>
      <c r="AA61" s="2">
        <v>-1</v>
      </c>
    </row>
    <row r="62" spans="1:27" x14ac:dyDescent="0.3">
      <c r="A62" s="1">
        <v>0.8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O62" s="1">
        <v>0.8</v>
      </c>
      <c r="P62" s="2">
        <v>-1</v>
      </c>
      <c r="Q62" s="2">
        <v>-1</v>
      </c>
      <c r="R62" s="2">
        <v>-1</v>
      </c>
      <c r="S62" s="2">
        <v>-1</v>
      </c>
      <c r="T62" s="2">
        <v>-1</v>
      </c>
      <c r="U62" s="2">
        <v>-1</v>
      </c>
      <c r="V62">
        <v>0.26569999999999999</v>
      </c>
      <c r="W62">
        <v>0.17380000000000001</v>
      </c>
      <c r="X62">
        <v>0.24399999999999999</v>
      </c>
      <c r="Y62" s="2">
        <v>-1</v>
      </c>
      <c r="Z62" s="2">
        <v>-1</v>
      </c>
      <c r="AA62" s="2">
        <v>-1</v>
      </c>
    </row>
    <row r="63" spans="1:27" x14ac:dyDescent="0.3">
      <c r="A63" s="1">
        <v>0.85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O63" s="1">
        <v>0.85</v>
      </c>
      <c r="P63" s="2">
        <v>-1</v>
      </c>
      <c r="Q63" s="2">
        <v>-1</v>
      </c>
      <c r="R63" s="2">
        <v>-1</v>
      </c>
      <c r="S63" s="2">
        <v>-1</v>
      </c>
      <c r="T63" s="2">
        <v>-1</v>
      </c>
      <c r="U63" s="2">
        <v>-1</v>
      </c>
      <c r="V63">
        <v>0.26569999999999999</v>
      </c>
      <c r="W63">
        <v>0.17380000000000001</v>
      </c>
      <c r="X63">
        <v>0.23230000000000001</v>
      </c>
      <c r="Y63">
        <v>2.3699999999999999E-2</v>
      </c>
      <c r="Z63" s="2">
        <v>-1</v>
      </c>
      <c r="AA63" s="2">
        <v>-1</v>
      </c>
    </row>
    <row r="64" spans="1:27" x14ac:dyDescent="0.3">
      <c r="A64" s="1">
        <v>0.9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O64" s="1">
        <v>0.9</v>
      </c>
      <c r="P64" s="2">
        <v>-1</v>
      </c>
      <c r="Q64" s="2">
        <v>-1</v>
      </c>
      <c r="R64" s="2">
        <v>-1</v>
      </c>
      <c r="S64" s="2">
        <v>-1</v>
      </c>
      <c r="T64" s="2">
        <v>-1</v>
      </c>
      <c r="U64" s="2">
        <v>-1</v>
      </c>
      <c r="V64">
        <v>0.24759999999999999</v>
      </c>
      <c r="W64">
        <v>0.16880000000000001</v>
      </c>
      <c r="X64">
        <v>0.23469999999999999</v>
      </c>
      <c r="Y64">
        <v>3.6600000000000001E-2</v>
      </c>
      <c r="Z64" s="2">
        <v>-1</v>
      </c>
      <c r="AA64">
        <v>2.9399999999999999E-2</v>
      </c>
    </row>
    <row r="65" spans="1:27" x14ac:dyDescent="0.3">
      <c r="A65" s="1">
        <v>0.95</v>
      </c>
      <c r="B65">
        <v>1</v>
      </c>
      <c r="C65">
        <v>0</v>
      </c>
      <c r="D65">
        <v>1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O65" s="1">
        <v>0.95</v>
      </c>
      <c r="P65">
        <v>2.1999999999999999E-2</v>
      </c>
      <c r="Q65" s="2">
        <v>-1</v>
      </c>
      <c r="R65">
        <v>2.6100000000000002E-2</v>
      </c>
      <c r="S65">
        <v>2.1399999999999999E-2</v>
      </c>
      <c r="T65" s="2">
        <v>-1</v>
      </c>
      <c r="U65">
        <v>2.7799999999999998E-2</v>
      </c>
      <c r="V65">
        <v>0.24759999999999999</v>
      </c>
      <c r="W65">
        <v>0.1608</v>
      </c>
      <c r="X65">
        <v>0.23469999999999999</v>
      </c>
      <c r="Y65">
        <v>3.5900000000000001E-2</v>
      </c>
      <c r="Z65">
        <v>1.9300000000000001E-2</v>
      </c>
      <c r="AA65">
        <v>3.6799999999999999E-2</v>
      </c>
    </row>
    <row r="66" spans="1:27" x14ac:dyDescent="0.3">
      <c r="A66" s="1">
        <v>0.99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O66" s="1">
        <v>0.99</v>
      </c>
      <c r="P66">
        <v>2.5100000000000001E-2</v>
      </c>
      <c r="Q66">
        <v>1.5100000000000001E-2</v>
      </c>
      <c r="R66">
        <v>2.0799999999999999E-2</v>
      </c>
      <c r="S66">
        <v>2.5600000000000001E-2</v>
      </c>
      <c r="T66">
        <v>1.54E-2</v>
      </c>
      <c r="U66">
        <v>2.1299999999999999E-2</v>
      </c>
      <c r="V66">
        <v>0.24759999999999999</v>
      </c>
      <c r="W66">
        <v>0.14599999999999999</v>
      </c>
      <c r="X66">
        <v>0.21540000000000001</v>
      </c>
      <c r="Y66">
        <v>3.5900000000000001E-2</v>
      </c>
      <c r="Z66">
        <v>1.9300000000000001E-2</v>
      </c>
      <c r="AA66">
        <v>2.9600000000000001E-2</v>
      </c>
    </row>
    <row r="70" spans="1:27" ht="15" thickBot="1" x14ac:dyDescent="0.35">
      <c r="B70" s="5" t="s">
        <v>17</v>
      </c>
      <c r="C70" s="5" t="s">
        <v>18</v>
      </c>
      <c r="D70" s="5" t="s">
        <v>19</v>
      </c>
      <c r="E70" s="5" t="s">
        <v>20</v>
      </c>
      <c r="F70" s="5" t="s">
        <v>21</v>
      </c>
      <c r="G70" s="5" t="s">
        <v>22</v>
      </c>
      <c r="H70" s="5" t="s">
        <v>23</v>
      </c>
      <c r="I70" s="5" t="s">
        <v>24</v>
      </c>
      <c r="J70" s="5" t="s">
        <v>25</v>
      </c>
      <c r="K70" s="5" t="s">
        <v>26</v>
      </c>
      <c r="L70" s="5" t="s">
        <v>27</v>
      </c>
      <c r="M70" s="5" t="s">
        <v>28</v>
      </c>
    </row>
    <row r="71" spans="1:27" x14ac:dyDescent="0.3">
      <c r="A71" s="6" t="s">
        <v>29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3</v>
      </c>
      <c r="M71">
        <v>2</v>
      </c>
    </row>
    <row r="72" spans="1:27" x14ac:dyDescent="0.3">
      <c r="A72" s="6" t="s">
        <v>0</v>
      </c>
      <c r="B72">
        <v>0.85</v>
      </c>
      <c r="C72">
        <v>0.9</v>
      </c>
      <c r="D72">
        <v>0.8</v>
      </c>
      <c r="E72">
        <v>0.85</v>
      </c>
      <c r="F72">
        <v>0.9</v>
      </c>
      <c r="G72">
        <v>0.85</v>
      </c>
      <c r="H72">
        <v>0.8</v>
      </c>
      <c r="I72">
        <v>0.65</v>
      </c>
      <c r="J72">
        <v>0.65</v>
      </c>
      <c r="K72">
        <v>0.8</v>
      </c>
      <c r="L72">
        <v>0.95</v>
      </c>
      <c r="M72">
        <v>0.9</v>
      </c>
    </row>
    <row r="73" spans="1:27" x14ac:dyDescent="0.3">
      <c r="A73" s="6" t="s">
        <v>30</v>
      </c>
      <c r="B73" s="10">
        <v>0.14149999999999999</v>
      </c>
      <c r="C73">
        <f>MAX(Q4:Q66)</f>
        <v>0.10349999999999999</v>
      </c>
      <c r="D73">
        <f>MAX(R4:R66)</f>
        <v>0.11940000000000001</v>
      </c>
      <c r="E73">
        <f>MAX(S4:S66)</f>
        <v>0.1426</v>
      </c>
      <c r="F73">
        <f t="shared" ref="D73:M73" si="0">MAX(T4:T66)</f>
        <v>0.1048</v>
      </c>
      <c r="G73">
        <f>MAX(U4:U66)</f>
        <v>0.12130000000000001</v>
      </c>
      <c r="H73">
        <f>MAX(V4:V66)</f>
        <v>0.307</v>
      </c>
      <c r="I73">
        <f t="shared" si="0"/>
        <v>0.25950000000000001</v>
      </c>
      <c r="J73">
        <f t="shared" si="0"/>
        <v>0.30919999999999997</v>
      </c>
      <c r="K73">
        <f t="shared" si="0"/>
        <v>0.1169</v>
      </c>
      <c r="L73">
        <f t="shared" si="0"/>
        <v>9.5299999999999996E-2</v>
      </c>
      <c r="M73">
        <f t="shared" si="0"/>
        <v>0.1076</v>
      </c>
    </row>
    <row r="74" spans="1:27" x14ac:dyDescent="0.3">
      <c r="A74" s="6" t="s">
        <v>32</v>
      </c>
      <c r="B74">
        <v>7</v>
      </c>
      <c r="C74">
        <v>5</v>
      </c>
      <c r="D74">
        <v>5</v>
      </c>
      <c r="E74">
        <v>7</v>
      </c>
      <c r="F74">
        <v>5</v>
      </c>
      <c r="G74">
        <v>5</v>
      </c>
      <c r="H74">
        <v>2</v>
      </c>
      <c r="I74">
        <v>3</v>
      </c>
      <c r="J74">
        <v>3</v>
      </c>
      <c r="K74">
        <v>3</v>
      </c>
      <c r="L74">
        <v>2</v>
      </c>
      <c r="M74">
        <v>2</v>
      </c>
    </row>
    <row r="75" spans="1:27" x14ac:dyDescent="0.3">
      <c r="B75">
        <f>INDEX(B4:B66,MATCH(MAX(P4:P66),P4:P66,0),0)</f>
        <v>7</v>
      </c>
      <c r="C75">
        <f>INDEX(C4:C66,MATCH(MAX(Q4:Q66),Q4:Q66,0),0)</f>
        <v>5</v>
      </c>
      <c r="D75">
        <f t="shared" ref="D75:M75" si="1">INDEX(D4:D66,MATCH(MAX(R4:R66),R4:R66,0),0)</f>
        <v>5</v>
      </c>
      <c r="E75">
        <f t="shared" si="1"/>
        <v>7</v>
      </c>
      <c r="F75">
        <f t="shared" si="1"/>
        <v>5</v>
      </c>
      <c r="G75">
        <f t="shared" si="1"/>
        <v>5</v>
      </c>
      <c r="H75">
        <f t="shared" si="1"/>
        <v>2</v>
      </c>
      <c r="I75">
        <f t="shared" si="1"/>
        <v>3</v>
      </c>
      <c r="J75">
        <f t="shared" si="1"/>
        <v>3</v>
      </c>
      <c r="K75">
        <f t="shared" si="1"/>
        <v>3</v>
      </c>
      <c r="L75">
        <f t="shared" si="1"/>
        <v>2</v>
      </c>
      <c r="M75">
        <f t="shared" si="1"/>
        <v>2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6322-052B-48BD-AED2-BC38AF5C7974}">
  <dimension ref="A1:AG74"/>
  <sheetViews>
    <sheetView tabSelected="1" topLeftCell="A44" zoomScale="71" workbookViewId="0">
      <selection activeCell="B71" sqref="B71:D74"/>
    </sheetView>
  </sheetViews>
  <sheetFormatPr baseColWidth="10" defaultRowHeight="14.4" x14ac:dyDescent="0.3"/>
  <sheetData>
    <row r="1" spans="1:33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3">
      <c r="A2" s="7" t="s">
        <v>32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13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3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31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/>
      <c r="O3" s="7" t="s">
        <v>0</v>
      </c>
      <c r="P3" s="7" t="s">
        <v>1</v>
      </c>
      <c r="Q3" s="7" t="s">
        <v>2</v>
      </c>
      <c r="R3" s="7" t="s">
        <v>3</v>
      </c>
      <c r="S3" s="7" t="s">
        <v>4</v>
      </c>
      <c r="T3" s="7" t="s">
        <v>31</v>
      </c>
      <c r="U3" s="7" t="s">
        <v>5</v>
      </c>
      <c r="V3" s="7" t="s">
        <v>6</v>
      </c>
      <c r="W3" s="7" t="s">
        <v>7</v>
      </c>
      <c r="X3" s="7" t="s">
        <v>8</v>
      </c>
      <c r="Y3" s="7" t="s">
        <v>9</v>
      </c>
      <c r="Z3" s="7" t="s">
        <v>10</v>
      </c>
      <c r="AA3" s="7" t="s">
        <v>11</v>
      </c>
    </row>
    <row r="4" spans="1:33" x14ac:dyDescent="0.3">
      <c r="A4" s="8">
        <v>0.3</v>
      </c>
      <c r="B4" s="7">
        <v>12</v>
      </c>
      <c r="C4" s="7">
        <v>6</v>
      </c>
      <c r="D4" s="7">
        <v>8</v>
      </c>
      <c r="E4" s="7">
        <v>13</v>
      </c>
      <c r="F4" s="7">
        <v>7</v>
      </c>
      <c r="G4" s="7">
        <v>10</v>
      </c>
      <c r="H4" s="7">
        <v>23</v>
      </c>
      <c r="I4" s="7">
        <v>18</v>
      </c>
      <c r="J4" s="7">
        <v>24</v>
      </c>
      <c r="K4" s="7">
        <v>13</v>
      </c>
      <c r="L4" s="7">
        <v>9</v>
      </c>
      <c r="M4" s="7">
        <v>10</v>
      </c>
      <c r="N4" s="7"/>
      <c r="O4" s="8">
        <v>0.3</v>
      </c>
      <c r="P4" s="7">
        <v>4.0500000000000001E-2</v>
      </c>
      <c r="Q4" s="7">
        <v>2.7400000000000001E-2</v>
      </c>
      <c r="R4" s="7">
        <v>2.5399999999999999E-2</v>
      </c>
      <c r="S4" s="7">
        <v>4.58E-2</v>
      </c>
      <c r="T4" s="7">
        <v>3.4500000000000003E-2</v>
      </c>
      <c r="U4" s="7">
        <v>3.5900000000000001E-2</v>
      </c>
      <c r="V4" s="7">
        <v>4.4699999999999997E-2</v>
      </c>
      <c r="W4" s="7">
        <f>0.0052</f>
        <v>5.1999999999999998E-3</v>
      </c>
      <c r="X4" s="7">
        <v>4.2099999999999999E-2</v>
      </c>
      <c r="Y4" s="7">
        <v>6.1499999999999999E-2</v>
      </c>
      <c r="Z4" s="7">
        <v>6.1600000000000002E-2</v>
      </c>
      <c r="AA4" s="7">
        <v>6.0900000000000003E-2</v>
      </c>
      <c r="AC4">
        <v>2</v>
      </c>
    </row>
    <row r="5" spans="1:33" x14ac:dyDescent="0.3">
      <c r="A5" s="8">
        <v>0.4</v>
      </c>
      <c r="B5" s="7">
        <v>16</v>
      </c>
      <c r="C5" s="7">
        <v>8</v>
      </c>
      <c r="D5" s="7">
        <v>16</v>
      </c>
      <c r="E5" s="7">
        <v>16</v>
      </c>
      <c r="F5" s="7">
        <v>9</v>
      </c>
      <c r="G5" s="7">
        <v>15</v>
      </c>
      <c r="H5" s="7">
        <v>23</v>
      </c>
      <c r="I5" s="7">
        <v>19</v>
      </c>
      <c r="J5" s="7">
        <v>22</v>
      </c>
      <c r="K5" s="7">
        <v>13</v>
      </c>
      <c r="L5" s="7">
        <v>10</v>
      </c>
      <c r="M5" s="7">
        <v>13</v>
      </c>
      <c r="N5" s="7"/>
      <c r="O5" s="8">
        <v>0.4</v>
      </c>
      <c r="P5" s="7">
        <v>5.3600000000000002E-2</v>
      </c>
      <c r="Q5" s="7">
        <v>3.4000000000000002E-2</v>
      </c>
      <c r="R5" s="7">
        <v>5.9499999999999997E-2</v>
      </c>
      <c r="S5" s="7">
        <v>5.4899999999999997E-2</v>
      </c>
      <c r="T5" s="7">
        <v>4.1000000000000002E-2</v>
      </c>
      <c r="U5" s="7">
        <v>5.79E-2</v>
      </c>
      <c r="V5" s="7">
        <v>9.3899999999999997E-2</v>
      </c>
      <c r="W5" s="7">
        <v>3.49E-2</v>
      </c>
      <c r="X5" s="7">
        <v>9.2499999999999999E-2</v>
      </c>
      <c r="Y5" s="7">
        <v>6.1499999999999999E-2</v>
      </c>
      <c r="Z5" s="7">
        <v>6.5500000000000003E-2</v>
      </c>
      <c r="AA5" s="7">
        <v>7.0300000000000001E-2</v>
      </c>
      <c r="AC5">
        <v>2</v>
      </c>
    </row>
    <row r="6" spans="1:33" x14ac:dyDescent="0.3">
      <c r="A6" s="8">
        <v>0.5</v>
      </c>
      <c r="B6" s="7">
        <v>26</v>
      </c>
      <c r="C6" s="7">
        <v>14</v>
      </c>
      <c r="D6" s="7">
        <v>26</v>
      </c>
      <c r="E6" s="7">
        <v>29</v>
      </c>
      <c r="F6" s="7">
        <v>14</v>
      </c>
      <c r="G6" s="7">
        <v>28</v>
      </c>
      <c r="H6" s="7">
        <v>15</v>
      </c>
      <c r="I6" s="7">
        <v>24</v>
      </c>
      <c r="J6" s="7">
        <v>18</v>
      </c>
      <c r="K6" s="7">
        <v>21</v>
      </c>
      <c r="L6" s="7">
        <v>13</v>
      </c>
      <c r="M6" s="7">
        <v>18</v>
      </c>
      <c r="N6" s="7"/>
      <c r="O6" s="8">
        <v>0.5</v>
      </c>
      <c r="P6" s="7">
        <v>6.4500000000000002E-2</v>
      </c>
      <c r="Q6" s="7">
        <v>5.5300000000000002E-2</v>
      </c>
      <c r="R6" s="7">
        <v>7.5399999999999995E-2</v>
      </c>
      <c r="S6" s="7">
        <v>7.7399999999999997E-2</v>
      </c>
      <c r="T6" s="7">
        <v>5.9400000000000001E-2</v>
      </c>
      <c r="U6" s="7">
        <v>8.3599999999999994E-2</v>
      </c>
      <c r="V6" s="7">
        <v>6.59E-2</v>
      </c>
      <c r="W6" s="7">
        <v>8.9099999999999999E-2</v>
      </c>
      <c r="X6" s="7">
        <v>0.1084</v>
      </c>
      <c r="Y6" s="7">
        <v>7.8299999999999995E-2</v>
      </c>
      <c r="Z6" s="7">
        <v>6.9599999999999995E-2</v>
      </c>
      <c r="AA6" s="7">
        <v>7.9899999999999999E-2</v>
      </c>
      <c r="AC6">
        <v>2</v>
      </c>
    </row>
    <row r="7" spans="1:33" x14ac:dyDescent="0.3">
      <c r="A7" s="8">
        <v>0.6</v>
      </c>
      <c r="B7" s="7">
        <v>39</v>
      </c>
      <c r="C7" s="7">
        <v>17</v>
      </c>
      <c r="D7" s="7">
        <v>29</v>
      </c>
      <c r="E7" s="7">
        <v>38</v>
      </c>
      <c r="F7" s="7">
        <v>17</v>
      </c>
      <c r="G7" s="7">
        <v>31</v>
      </c>
      <c r="H7" s="7">
        <v>3</v>
      </c>
      <c r="I7" s="7">
        <v>22</v>
      </c>
      <c r="J7" s="7">
        <v>6</v>
      </c>
      <c r="K7" s="7">
        <v>27</v>
      </c>
      <c r="L7" s="7">
        <v>14</v>
      </c>
      <c r="M7" s="7">
        <v>26</v>
      </c>
      <c r="N7" s="7"/>
      <c r="O7" s="8">
        <v>0.6</v>
      </c>
      <c r="P7" s="7">
        <v>0.1014</v>
      </c>
      <c r="Q7" s="7">
        <v>6.0600000000000001E-2</v>
      </c>
      <c r="R7" s="7">
        <v>8.9599999999999999E-2</v>
      </c>
      <c r="S7" s="7">
        <v>0.1017</v>
      </c>
      <c r="T7" s="7">
        <v>6.3500000000000001E-2</v>
      </c>
      <c r="U7" s="7">
        <v>9.8199999999999996E-2</v>
      </c>
      <c r="V7" s="7">
        <v>0.13020000000000001</v>
      </c>
      <c r="W7" s="7">
        <v>9.4700000000000006E-2</v>
      </c>
      <c r="X7" s="7">
        <v>3.7499999999999999E-2</v>
      </c>
      <c r="Y7" s="7">
        <v>9.6199999999999994E-2</v>
      </c>
      <c r="Z7" s="7">
        <v>6.93E-2</v>
      </c>
      <c r="AA7" s="7">
        <v>9.7500000000000003E-2</v>
      </c>
      <c r="AC7">
        <v>2</v>
      </c>
    </row>
    <row r="8" spans="1:33" x14ac:dyDescent="0.3">
      <c r="A8" s="8">
        <v>0.65</v>
      </c>
      <c r="B8" s="7">
        <v>45</v>
      </c>
      <c r="C8" s="7">
        <v>20</v>
      </c>
      <c r="D8" s="7">
        <v>33</v>
      </c>
      <c r="E8" s="7">
        <v>46</v>
      </c>
      <c r="F8" s="7">
        <v>20</v>
      </c>
      <c r="G8" s="7">
        <v>35</v>
      </c>
      <c r="H8" s="7">
        <v>4</v>
      </c>
      <c r="I8" s="7">
        <v>22</v>
      </c>
      <c r="J8" s="7">
        <v>4</v>
      </c>
      <c r="K8" s="7">
        <v>27</v>
      </c>
      <c r="L8" s="7">
        <v>14</v>
      </c>
      <c r="M8" s="7">
        <v>28</v>
      </c>
      <c r="N8" s="7"/>
      <c r="O8" s="8">
        <v>0.65</v>
      </c>
      <c r="P8" s="9">
        <v>0.1211</v>
      </c>
      <c r="Q8" s="7">
        <v>6.3E-2</v>
      </c>
      <c r="R8" s="7">
        <v>9.6000000000000002E-2</v>
      </c>
      <c r="S8" s="9">
        <v>0.1288</v>
      </c>
      <c r="T8" s="7">
        <v>6.6199999999999995E-2</v>
      </c>
      <c r="U8" s="7">
        <v>0.1016</v>
      </c>
      <c r="V8" s="7">
        <v>0.1226</v>
      </c>
      <c r="W8" s="9">
        <v>0.113</v>
      </c>
      <c r="X8" s="7">
        <v>4.8599999999999997E-2</v>
      </c>
      <c r="Y8" s="7">
        <v>9.2399999999999996E-2</v>
      </c>
      <c r="Z8" s="7">
        <v>6.93E-2</v>
      </c>
      <c r="AA8" s="9">
        <v>0.10059999999999999</v>
      </c>
      <c r="AC8">
        <v>2</v>
      </c>
    </row>
    <row r="9" spans="1:33" x14ac:dyDescent="0.3">
      <c r="A9" s="8">
        <v>0.7</v>
      </c>
      <c r="B9" s="7">
        <v>45</v>
      </c>
      <c r="C9" s="7">
        <v>27</v>
      </c>
      <c r="D9" s="7">
        <v>42</v>
      </c>
      <c r="E9" s="7">
        <v>46</v>
      </c>
      <c r="F9" s="7">
        <v>29</v>
      </c>
      <c r="G9" s="7">
        <v>41</v>
      </c>
      <c r="H9" s="7">
        <v>3</v>
      </c>
      <c r="I9" s="7">
        <v>19</v>
      </c>
      <c r="J9" s="7">
        <v>4</v>
      </c>
      <c r="K9" s="7">
        <v>21</v>
      </c>
      <c r="L9" s="7">
        <v>19</v>
      </c>
      <c r="M9" s="7">
        <v>30</v>
      </c>
      <c r="N9" s="7"/>
      <c r="O9" s="8">
        <v>0.7</v>
      </c>
      <c r="P9" s="9">
        <v>0.1201</v>
      </c>
      <c r="Q9" s="7">
        <v>7.1400000000000005E-2</v>
      </c>
      <c r="R9" s="7">
        <v>0.11269999999999999</v>
      </c>
      <c r="S9" s="9">
        <v>0.12429999999999999</v>
      </c>
      <c r="T9" s="7">
        <v>7.9399999999999998E-2</v>
      </c>
      <c r="U9" s="7">
        <v>0.1139</v>
      </c>
      <c r="V9" s="9">
        <v>0.13830000000000001</v>
      </c>
      <c r="W9" s="7">
        <v>9.6699999999999994E-2</v>
      </c>
      <c r="X9" s="7">
        <v>0.1087</v>
      </c>
      <c r="Y9" s="7">
        <v>6.8000000000000005E-2</v>
      </c>
      <c r="Z9" s="7">
        <v>7.6700000000000004E-2</v>
      </c>
      <c r="AA9" s="9">
        <v>0.1052</v>
      </c>
      <c r="AC9">
        <v>2</v>
      </c>
    </row>
    <row r="10" spans="1:33" x14ac:dyDescent="0.3">
      <c r="A10" s="8">
        <v>0.75</v>
      </c>
      <c r="B10" s="7">
        <v>42</v>
      </c>
      <c r="C10" s="7">
        <v>29</v>
      </c>
      <c r="D10" s="7">
        <v>45</v>
      </c>
      <c r="E10" s="7">
        <v>43</v>
      </c>
      <c r="F10" s="7">
        <v>31</v>
      </c>
      <c r="G10" s="7">
        <v>46</v>
      </c>
      <c r="H10" s="7">
        <v>3</v>
      </c>
      <c r="I10" s="7">
        <v>6</v>
      </c>
      <c r="J10" s="7">
        <v>3</v>
      </c>
      <c r="K10" s="7">
        <v>15</v>
      </c>
      <c r="L10" s="7">
        <v>26</v>
      </c>
      <c r="M10" s="7">
        <v>23</v>
      </c>
      <c r="N10" s="7"/>
      <c r="O10" s="8">
        <v>0.75</v>
      </c>
      <c r="P10" s="7">
        <v>0.1177</v>
      </c>
      <c r="Q10" s="7">
        <v>7.8299999999999995E-2</v>
      </c>
      <c r="R10" s="9">
        <v>0.1201</v>
      </c>
      <c r="S10" s="7">
        <v>0.11459999999999999</v>
      </c>
      <c r="T10" s="7">
        <v>8.6499999999999994E-2</v>
      </c>
      <c r="U10" s="9">
        <v>0.12189999999999999</v>
      </c>
      <c r="V10" s="9">
        <v>0.13769999999999999</v>
      </c>
      <c r="W10" s="7">
        <v>3.5999999999999997E-2</v>
      </c>
      <c r="X10" s="9">
        <v>0.1164</v>
      </c>
      <c r="Y10" s="7">
        <v>6.6600000000000006E-2</v>
      </c>
      <c r="Z10" s="7">
        <v>8.5699999999999998E-2</v>
      </c>
      <c r="AA10" s="7">
        <v>9.0999999999999998E-2</v>
      </c>
      <c r="AC10">
        <v>2</v>
      </c>
    </row>
    <row r="11" spans="1:33" x14ac:dyDescent="0.3">
      <c r="A11" s="8">
        <v>0.8</v>
      </c>
      <c r="B11" s="7">
        <v>35</v>
      </c>
      <c r="C11" s="7">
        <v>43</v>
      </c>
      <c r="D11" s="7">
        <v>47</v>
      </c>
      <c r="E11" s="7">
        <v>33</v>
      </c>
      <c r="F11" s="7">
        <v>42</v>
      </c>
      <c r="G11" s="7">
        <v>44</v>
      </c>
      <c r="H11" s="7">
        <v>1</v>
      </c>
      <c r="I11" s="7">
        <v>4</v>
      </c>
      <c r="J11" s="7">
        <v>3</v>
      </c>
      <c r="K11" s="7">
        <v>9</v>
      </c>
      <c r="L11" s="7">
        <v>30</v>
      </c>
      <c r="M11" s="7">
        <v>12</v>
      </c>
      <c r="N11" s="7"/>
      <c r="O11" s="8">
        <v>0.8</v>
      </c>
      <c r="P11" s="7">
        <v>9.3399999999999997E-2</v>
      </c>
      <c r="Q11" s="7">
        <v>9.1800000000000007E-2</v>
      </c>
      <c r="R11" s="9">
        <v>0.1202</v>
      </c>
      <c r="S11" s="7">
        <v>9.5500000000000002E-2</v>
      </c>
      <c r="T11" s="7">
        <v>9.5000000000000001E-2</v>
      </c>
      <c r="U11" s="7">
        <v>0.1171</v>
      </c>
      <c r="V11" s="7">
        <v>0.12470000000000001</v>
      </c>
      <c r="W11" s="7">
        <v>7.3700000000000002E-2</v>
      </c>
      <c r="X11" s="7">
        <v>0.1158</v>
      </c>
      <c r="Y11" s="7">
        <v>5.2900000000000003E-2</v>
      </c>
      <c r="Z11" s="7">
        <v>9.0700000000000003E-2</v>
      </c>
      <c r="AA11" s="7">
        <v>5.4300000000000001E-2</v>
      </c>
      <c r="AC11">
        <v>2</v>
      </c>
    </row>
    <row r="12" spans="1:33" x14ac:dyDescent="0.3">
      <c r="A12" s="8">
        <v>0.85</v>
      </c>
      <c r="B12" s="7">
        <v>15</v>
      </c>
      <c r="C12" s="7">
        <v>44</v>
      </c>
      <c r="D12" s="7">
        <v>27</v>
      </c>
      <c r="E12" s="7">
        <v>12</v>
      </c>
      <c r="F12" s="7">
        <v>45</v>
      </c>
      <c r="G12" s="7">
        <v>23</v>
      </c>
      <c r="H12" s="7">
        <v>1</v>
      </c>
      <c r="I12" s="7">
        <v>3</v>
      </c>
      <c r="J12" s="7">
        <v>3</v>
      </c>
      <c r="K12" s="7">
        <v>7</v>
      </c>
      <c r="L12" s="7">
        <v>25</v>
      </c>
      <c r="M12" s="7">
        <v>9</v>
      </c>
      <c r="N12" s="7"/>
      <c r="O12" s="8">
        <v>0.85</v>
      </c>
      <c r="P12" s="7">
        <v>4.7399999999999998E-2</v>
      </c>
      <c r="Q12" s="7">
        <v>9.1200000000000003E-2</v>
      </c>
      <c r="R12" s="7">
        <v>6.5699999999999995E-2</v>
      </c>
      <c r="S12" s="7">
        <v>3.7400000000000003E-2</v>
      </c>
      <c r="T12" s="7">
        <v>9.5500000000000002E-2</v>
      </c>
      <c r="U12" s="7">
        <v>5.4100000000000002E-2</v>
      </c>
      <c r="V12" s="7">
        <v>0.12429999999999999</v>
      </c>
      <c r="W12" s="7">
        <v>7.7899999999999997E-2</v>
      </c>
      <c r="X12" s="7">
        <v>0.1158</v>
      </c>
      <c r="Y12" s="7">
        <v>3.6799999999999999E-2</v>
      </c>
      <c r="Z12" s="7">
        <v>8.2699999999999996E-2</v>
      </c>
      <c r="AA12" s="7">
        <v>4.19E-2</v>
      </c>
      <c r="AC12">
        <v>2</v>
      </c>
    </row>
    <row r="13" spans="1:33" x14ac:dyDescent="0.3">
      <c r="A13" s="8">
        <v>0.9</v>
      </c>
      <c r="B13" s="7">
        <v>4</v>
      </c>
      <c r="C13" s="7">
        <v>40</v>
      </c>
      <c r="D13" s="7">
        <v>7</v>
      </c>
      <c r="E13" s="7">
        <v>4</v>
      </c>
      <c r="F13" s="7">
        <v>37</v>
      </c>
      <c r="G13" s="7">
        <v>7</v>
      </c>
      <c r="H13" s="7">
        <v>1</v>
      </c>
      <c r="I13" s="7">
        <v>3</v>
      </c>
      <c r="J13" s="7">
        <v>3</v>
      </c>
      <c r="K13" s="7">
        <v>5</v>
      </c>
      <c r="L13" s="7">
        <v>10</v>
      </c>
      <c r="M13" s="7">
        <v>7</v>
      </c>
      <c r="N13" s="7"/>
      <c r="O13" s="8">
        <v>0.9</v>
      </c>
      <c r="P13" s="7">
        <v>1.5299999999999999E-2</v>
      </c>
      <c r="Q13" s="7">
        <v>7.5499999999999998E-2</v>
      </c>
      <c r="R13" s="7">
        <v>1.7299999999999999E-2</v>
      </c>
      <c r="S13" s="7">
        <v>1.55E-2</v>
      </c>
      <c r="T13" s="7">
        <v>7.2300000000000003E-2</v>
      </c>
      <c r="U13" s="7">
        <v>1.9800000000000002E-2</v>
      </c>
      <c r="V13" s="7">
        <v>0.12429999999999999</v>
      </c>
      <c r="W13" s="7">
        <v>7.7399999999999997E-2</v>
      </c>
      <c r="X13" s="7">
        <v>0.1154</v>
      </c>
      <c r="Y13" s="7">
        <v>3.3000000000000002E-2</v>
      </c>
      <c r="Z13" s="7">
        <v>4.6300000000000001E-2</v>
      </c>
      <c r="AA13" s="7">
        <v>3.7400000000000003E-2</v>
      </c>
      <c r="AC13">
        <v>2</v>
      </c>
    </row>
    <row r="14" spans="1:33" x14ac:dyDescent="0.3">
      <c r="A14" s="8">
        <v>0.95</v>
      </c>
      <c r="B14" s="7">
        <v>2</v>
      </c>
      <c r="C14" s="7">
        <v>7</v>
      </c>
      <c r="D14" s="7">
        <v>4</v>
      </c>
      <c r="E14" s="7">
        <v>2</v>
      </c>
      <c r="F14" s="7">
        <v>7</v>
      </c>
      <c r="G14" s="7">
        <v>4</v>
      </c>
      <c r="H14" s="7">
        <v>1</v>
      </c>
      <c r="I14" s="7">
        <v>3</v>
      </c>
      <c r="J14" s="7">
        <v>1</v>
      </c>
      <c r="K14" s="7">
        <v>5</v>
      </c>
      <c r="L14" s="7">
        <v>7</v>
      </c>
      <c r="M14" s="7">
        <v>6</v>
      </c>
      <c r="N14" s="7"/>
      <c r="O14" s="8">
        <v>0.95</v>
      </c>
      <c r="P14" s="7">
        <v>1.11E-2</v>
      </c>
      <c r="Q14" s="7">
        <v>1.1599999999999999E-2</v>
      </c>
      <c r="R14" s="7">
        <v>1.5900000000000001E-2</v>
      </c>
      <c r="S14" s="7">
        <v>1.12E-2</v>
      </c>
      <c r="T14" s="7">
        <v>1.5100000000000001E-2</v>
      </c>
      <c r="U14" s="7">
        <v>1.8100000000000002E-2</v>
      </c>
      <c r="V14" s="7">
        <v>0.12429999999999999</v>
      </c>
      <c r="W14" s="7">
        <v>7.7100000000000002E-2</v>
      </c>
      <c r="X14" s="7">
        <v>0.1013</v>
      </c>
      <c r="Y14" s="7">
        <v>3.2899999999999999E-2</v>
      </c>
      <c r="Z14" s="7">
        <v>3.09E-2</v>
      </c>
      <c r="AA14" s="7">
        <v>3.3500000000000002E-2</v>
      </c>
      <c r="AC14">
        <v>2</v>
      </c>
    </row>
    <row r="15" spans="1:33" x14ac:dyDescent="0.3">
      <c r="A15" s="8">
        <v>0.99</v>
      </c>
      <c r="B15" s="7">
        <v>2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1</v>
      </c>
      <c r="I15" s="7">
        <v>1</v>
      </c>
      <c r="J15" s="7">
        <v>1</v>
      </c>
      <c r="K15" s="7">
        <v>5</v>
      </c>
      <c r="L15" s="7">
        <v>5</v>
      </c>
      <c r="M15" s="7">
        <v>5</v>
      </c>
      <c r="N15" s="7"/>
      <c r="O15" s="8">
        <v>0.99</v>
      </c>
      <c r="P15" s="7">
        <v>1.11E-2</v>
      </c>
      <c r="Q15" s="7">
        <v>6.1000000000000004E-3</v>
      </c>
      <c r="R15" s="7">
        <v>9.2999999999999992E-3</v>
      </c>
      <c r="S15" s="7">
        <v>1.11E-2</v>
      </c>
      <c r="T15" s="7">
        <v>6.1000000000000004E-3</v>
      </c>
      <c r="U15" s="7">
        <v>9.4000000000000004E-3</v>
      </c>
      <c r="V15" s="7">
        <v>0.12429999999999999</v>
      </c>
      <c r="W15" s="7">
        <v>6.3200000000000006E-2</v>
      </c>
      <c r="X15" s="7">
        <v>0.1009</v>
      </c>
      <c r="Y15" s="7">
        <v>3.2899999999999999E-2</v>
      </c>
      <c r="Z15" s="7">
        <v>2.5700000000000001E-2</v>
      </c>
      <c r="AA15" s="7">
        <v>3.0200000000000001E-2</v>
      </c>
      <c r="AC15">
        <v>2</v>
      </c>
    </row>
    <row r="16" spans="1:3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D16" s="7"/>
      <c r="AE16" s="7"/>
      <c r="AF16" s="7"/>
      <c r="AG16" s="7"/>
    </row>
    <row r="17" spans="1:3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D17" s="7"/>
      <c r="AE17" s="7"/>
      <c r="AF17" s="7"/>
      <c r="AG17" s="7"/>
    </row>
    <row r="18" spans="1:33" x14ac:dyDescent="0.3">
      <c r="A18" s="7" t="s">
        <v>14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D18" s="7"/>
      <c r="AE18" s="7"/>
      <c r="AF18" s="7"/>
      <c r="AG18" s="7"/>
    </row>
    <row r="19" spans="1:33" x14ac:dyDescent="0.3">
      <c r="A19" s="7" t="s">
        <v>32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 t="s">
        <v>13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D19" s="7"/>
    </row>
    <row r="20" spans="1:33" x14ac:dyDescent="0.3">
      <c r="A20" s="7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31</v>
      </c>
      <c r="G20" s="7" t="s">
        <v>5</v>
      </c>
      <c r="H20" s="7" t="s">
        <v>6</v>
      </c>
      <c r="I20" s="7" t="s">
        <v>7</v>
      </c>
      <c r="J20" s="7" t="s">
        <v>8</v>
      </c>
      <c r="K20" s="7" t="s">
        <v>9</v>
      </c>
      <c r="L20" s="7" t="s">
        <v>10</v>
      </c>
      <c r="M20" s="7" t="s">
        <v>11</v>
      </c>
      <c r="N20" s="7"/>
      <c r="O20" s="7" t="s">
        <v>0</v>
      </c>
      <c r="P20" s="7" t="s">
        <v>1</v>
      </c>
      <c r="Q20" s="7" t="s">
        <v>2</v>
      </c>
      <c r="R20" s="7" t="s">
        <v>3</v>
      </c>
      <c r="S20" s="7" t="s">
        <v>4</v>
      </c>
      <c r="T20" s="7" t="s">
        <v>31</v>
      </c>
      <c r="U20" s="7" t="s">
        <v>5</v>
      </c>
      <c r="V20" s="7" t="s">
        <v>6</v>
      </c>
      <c r="W20" s="7" t="s">
        <v>7</v>
      </c>
      <c r="X20" s="7" t="s">
        <v>8</v>
      </c>
      <c r="Y20" s="7" t="s">
        <v>9</v>
      </c>
      <c r="Z20" s="7" t="s">
        <v>10</v>
      </c>
      <c r="AA20" s="7" t="s">
        <v>11</v>
      </c>
    </row>
    <row r="21" spans="1:33" x14ac:dyDescent="0.3">
      <c r="A21" s="8">
        <v>0.3</v>
      </c>
      <c r="B21" s="7">
        <v>3</v>
      </c>
      <c r="C21" s="7">
        <v>2</v>
      </c>
      <c r="D21" s="7">
        <v>2</v>
      </c>
      <c r="E21" s="7">
        <v>3</v>
      </c>
      <c r="F21" s="7">
        <v>2</v>
      </c>
      <c r="G21" s="7">
        <v>2</v>
      </c>
      <c r="H21" s="7">
        <v>10</v>
      </c>
      <c r="I21" s="7">
        <v>5</v>
      </c>
      <c r="J21" s="7">
        <v>7</v>
      </c>
      <c r="K21" s="7">
        <v>5</v>
      </c>
      <c r="L21" s="7">
        <v>3</v>
      </c>
      <c r="M21" s="7">
        <v>3</v>
      </c>
      <c r="N21" s="7"/>
      <c r="O21" s="8">
        <v>0.3</v>
      </c>
      <c r="P21" s="7">
        <v>2.9000000000000001E-2</v>
      </c>
      <c r="Q21" s="7">
        <v>1.9300000000000001E-2</v>
      </c>
      <c r="R21" s="7">
        <v>0.02</v>
      </c>
      <c r="S21" s="7">
        <v>2.8899999999999999E-2</v>
      </c>
      <c r="T21" s="7">
        <v>1.9300000000000001E-2</v>
      </c>
      <c r="U21" s="7">
        <v>1.9900000000000001E-2</v>
      </c>
      <c r="V21" s="7">
        <f>0.0038</f>
        <v>3.8E-3</v>
      </c>
      <c r="W21" s="7">
        <f>0.0259</f>
        <v>2.5899999999999999E-2</v>
      </c>
      <c r="X21" s="7">
        <f>0.0194</f>
        <v>1.9400000000000001E-2</v>
      </c>
      <c r="Y21" s="7">
        <v>2.9100000000000001E-2</v>
      </c>
      <c r="Z21" s="7">
        <v>3.0300000000000001E-2</v>
      </c>
      <c r="AA21" s="7">
        <v>3.09E-2</v>
      </c>
      <c r="AC21">
        <v>3</v>
      </c>
    </row>
    <row r="22" spans="1:33" x14ac:dyDescent="0.3">
      <c r="A22" s="8">
        <v>0.4</v>
      </c>
      <c r="B22" s="7">
        <v>3</v>
      </c>
      <c r="C22" s="7">
        <v>2</v>
      </c>
      <c r="D22" s="7">
        <v>3</v>
      </c>
      <c r="E22" s="7">
        <v>3</v>
      </c>
      <c r="F22" s="7">
        <v>2</v>
      </c>
      <c r="G22" s="7">
        <v>3</v>
      </c>
      <c r="H22" s="7">
        <v>9</v>
      </c>
      <c r="I22" s="7">
        <v>7</v>
      </c>
      <c r="J22" s="7">
        <v>9</v>
      </c>
      <c r="K22" s="7">
        <v>5</v>
      </c>
      <c r="L22" s="7">
        <v>3</v>
      </c>
      <c r="M22" s="7">
        <v>5</v>
      </c>
      <c r="N22" s="7"/>
      <c r="O22" s="8">
        <v>0.4</v>
      </c>
      <c r="P22" s="7">
        <v>2.9000000000000001E-2</v>
      </c>
      <c r="Q22" s="7">
        <v>1.9300000000000001E-2</v>
      </c>
      <c r="R22" s="7">
        <v>2.8799999999999999E-2</v>
      </c>
      <c r="S22" s="7">
        <v>2.8899999999999999E-2</v>
      </c>
      <c r="T22" s="7">
        <v>1.9300000000000001E-2</v>
      </c>
      <c r="U22" s="7">
        <v>2.87E-2</v>
      </c>
      <c r="V22" s="7">
        <v>7.1400000000000005E-2</v>
      </c>
      <c r="W22" s="7">
        <f>0.0146</f>
        <v>1.46E-2</v>
      </c>
      <c r="X22" s="7">
        <v>8.2500000000000004E-2</v>
      </c>
      <c r="Y22" s="7">
        <v>2.9100000000000001E-2</v>
      </c>
      <c r="Z22" s="7">
        <v>3.0300000000000001E-2</v>
      </c>
      <c r="AA22" s="7">
        <v>3.5099999999999999E-2</v>
      </c>
      <c r="AC22">
        <v>3</v>
      </c>
    </row>
    <row r="23" spans="1:33" x14ac:dyDescent="0.3">
      <c r="A23" s="8">
        <v>0.5</v>
      </c>
      <c r="B23" s="7">
        <v>5</v>
      </c>
      <c r="C23" s="7">
        <v>3</v>
      </c>
      <c r="D23" s="7">
        <v>5</v>
      </c>
      <c r="E23" s="7">
        <v>6</v>
      </c>
      <c r="F23" s="7">
        <v>3</v>
      </c>
      <c r="G23" s="7">
        <v>5</v>
      </c>
      <c r="H23" s="7">
        <v>8</v>
      </c>
      <c r="I23" s="7">
        <v>10</v>
      </c>
      <c r="J23" s="7">
        <v>10</v>
      </c>
      <c r="K23" s="7">
        <v>8</v>
      </c>
      <c r="L23" s="7">
        <v>5</v>
      </c>
      <c r="M23" s="7">
        <v>7</v>
      </c>
      <c r="N23" s="7"/>
      <c r="O23" s="8">
        <v>0.5</v>
      </c>
      <c r="P23" s="7">
        <v>3.1800000000000002E-2</v>
      </c>
      <c r="Q23" s="7">
        <v>2.53E-2</v>
      </c>
      <c r="R23" s="7">
        <v>3.2599999999999997E-2</v>
      </c>
      <c r="S23" s="7">
        <v>3.3399999999999999E-2</v>
      </c>
      <c r="T23" s="7">
        <v>2.53E-2</v>
      </c>
      <c r="U23" s="7">
        <v>3.2899999999999999E-2</v>
      </c>
      <c r="V23" s="7">
        <v>5.3699999999999998E-2</v>
      </c>
      <c r="W23" s="7">
        <v>6.1100000000000002E-2</v>
      </c>
      <c r="X23" s="7">
        <v>8.5699999999999998E-2</v>
      </c>
      <c r="Y23" s="7">
        <v>4.5400000000000003E-2</v>
      </c>
      <c r="Z23" s="7">
        <v>3.5099999999999999E-2</v>
      </c>
      <c r="AA23" s="7">
        <v>4.7300000000000002E-2</v>
      </c>
      <c r="AC23">
        <v>3</v>
      </c>
    </row>
    <row r="24" spans="1:33" x14ac:dyDescent="0.3">
      <c r="A24" s="8">
        <v>0.6</v>
      </c>
      <c r="B24" s="7">
        <v>12</v>
      </c>
      <c r="C24" s="7">
        <v>3</v>
      </c>
      <c r="D24" s="7">
        <v>10</v>
      </c>
      <c r="E24" s="7">
        <v>11</v>
      </c>
      <c r="F24" s="7">
        <v>3</v>
      </c>
      <c r="G24" s="7">
        <v>10</v>
      </c>
      <c r="H24" s="7">
        <v>1</v>
      </c>
      <c r="I24" s="7">
        <v>9</v>
      </c>
      <c r="J24" s="7">
        <v>1</v>
      </c>
      <c r="K24" s="7">
        <v>13</v>
      </c>
      <c r="L24" s="7">
        <v>5</v>
      </c>
      <c r="M24" s="7">
        <v>11</v>
      </c>
      <c r="N24" s="7"/>
      <c r="O24" s="8">
        <v>0.6</v>
      </c>
      <c r="P24" s="7">
        <v>3.6700000000000003E-2</v>
      </c>
      <c r="Q24" s="7">
        <v>2.53E-2</v>
      </c>
      <c r="R24" s="7">
        <v>4.1300000000000003E-2</v>
      </c>
      <c r="S24" s="7">
        <v>3.9100000000000003E-2</v>
      </c>
      <c r="T24" s="7">
        <v>2.53E-2</v>
      </c>
      <c r="U24" s="7">
        <v>4.1799999999999997E-2</v>
      </c>
      <c r="V24" s="7">
        <v>0.1193</v>
      </c>
      <c r="W24" s="7">
        <v>6.7699999999999996E-2</v>
      </c>
      <c r="X24" s="7">
        <v>9.5399999999999999E-2</v>
      </c>
      <c r="Y24" s="7">
        <v>5.3199999999999997E-2</v>
      </c>
      <c r="Z24" s="7">
        <v>3.5099999999999999E-2</v>
      </c>
      <c r="AA24" s="7">
        <v>5.2499999999999998E-2</v>
      </c>
      <c r="AC24">
        <v>3</v>
      </c>
    </row>
    <row r="25" spans="1:33" x14ac:dyDescent="0.3">
      <c r="A25" s="8">
        <v>0.65</v>
      </c>
      <c r="B25" s="7">
        <v>18</v>
      </c>
      <c r="C25" s="7">
        <v>3</v>
      </c>
      <c r="D25" s="7">
        <v>12</v>
      </c>
      <c r="E25" s="7">
        <v>19</v>
      </c>
      <c r="F25" s="7">
        <v>4</v>
      </c>
      <c r="G25" s="7">
        <v>11</v>
      </c>
      <c r="H25" s="7">
        <v>1</v>
      </c>
      <c r="I25" s="7">
        <v>10</v>
      </c>
      <c r="J25" s="7">
        <v>1</v>
      </c>
      <c r="K25" s="7">
        <v>13</v>
      </c>
      <c r="L25" s="7">
        <v>5</v>
      </c>
      <c r="M25" s="7">
        <v>12</v>
      </c>
      <c r="N25" s="7"/>
      <c r="O25" s="8">
        <v>0.65</v>
      </c>
      <c r="P25" s="7">
        <v>5.7700000000000001E-2</v>
      </c>
      <c r="Q25" s="7">
        <v>2.53E-2</v>
      </c>
      <c r="R25" s="7">
        <v>4.2700000000000002E-2</v>
      </c>
      <c r="S25" s="7">
        <v>5.8900000000000001E-2</v>
      </c>
      <c r="T25" s="7">
        <v>2.69E-2</v>
      </c>
      <c r="U25" s="7">
        <v>4.3900000000000002E-2</v>
      </c>
      <c r="V25" s="7">
        <v>0.12529999999999999</v>
      </c>
      <c r="W25" s="7">
        <v>7.3499999999999996E-2</v>
      </c>
      <c r="X25" s="7">
        <v>9.9199999999999997E-2</v>
      </c>
      <c r="Y25" s="7">
        <v>5.0999999999999997E-2</v>
      </c>
      <c r="Z25" s="7">
        <v>3.5099999999999999E-2</v>
      </c>
      <c r="AA25" s="7">
        <v>5.3600000000000002E-2</v>
      </c>
      <c r="AC25">
        <v>3</v>
      </c>
    </row>
    <row r="26" spans="1:33" x14ac:dyDescent="0.3">
      <c r="A26" s="8">
        <v>0.7</v>
      </c>
      <c r="B26" s="7">
        <v>21</v>
      </c>
      <c r="C26" s="7">
        <v>5</v>
      </c>
      <c r="D26" s="7">
        <v>18</v>
      </c>
      <c r="E26" s="7">
        <v>23</v>
      </c>
      <c r="F26" s="7">
        <v>5</v>
      </c>
      <c r="G26" s="7">
        <v>18</v>
      </c>
      <c r="H26" s="7">
        <v>1</v>
      </c>
      <c r="I26" s="7">
        <v>10</v>
      </c>
      <c r="J26" s="7">
        <v>1</v>
      </c>
      <c r="K26" s="7">
        <v>10</v>
      </c>
      <c r="L26" s="7">
        <v>7</v>
      </c>
      <c r="M26" s="7">
        <v>15</v>
      </c>
      <c r="N26" s="7"/>
      <c r="O26" s="8">
        <v>0.7</v>
      </c>
      <c r="P26" s="7">
        <v>6.7000000000000004E-2</v>
      </c>
      <c r="Q26" s="7">
        <v>2.93E-2</v>
      </c>
      <c r="R26" s="7">
        <v>5.6099999999999997E-2</v>
      </c>
      <c r="S26" s="7">
        <v>6.9599999999999995E-2</v>
      </c>
      <c r="T26" s="7">
        <v>2.9499999999999998E-2</v>
      </c>
      <c r="U26" s="7">
        <v>5.6399999999999999E-2</v>
      </c>
      <c r="V26" s="7">
        <v>0.1275</v>
      </c>
      <c r="W26" s="7">
        <v>7.0599999999999996E-2</v>
      </c>
      <c r="X26" s="7">
        <v>0.1026</v>
      </c>
      <c r="Y26" s="7">
        <v>3.8699999999999998E-2</v>
      </c>
      <c r="Z26" s="7">
        <v>4.3799999999999999E-2</v>
      </c>
      <c r="AA26" s="7">
        <v>5.9299999999999999E-2</v>
      </c>
      <c r="AC26">
        <v>3</v>
      </c>
    </row>
    <row r="27" spans="1:33" x14ac:dyDescent="0.3">
      <c r="A27" s="8">
        <v>0.75</v>
      </c>
      <c r="B27" s="7">
        <v>25</v>
      </c>
      <c r="C27" s="7">
        <v>10</v>
      </c>
      <c r="D27" s="7">
        <v>22</v>
      </c>
      <c r="E27" s="7">
        <v>25</v>
      </c>
      <c r="F27" s="7">
        <v>10</v>
      </c>
      <c r="G27" s="7">
        <v>23</v>
      </c>
      <c r="H27" s="7">
        <v>1</v>
      </c>
      <c r="I27" s="7">
        <v>1</v>
      </c>
      <c r="J27" s="7">
        <v>1</v>
      </c>
      <c r="K27" s="7">
        <v>7</v>
      </c>
      <c r="L27" s="7">
        <v>11</v>
      </c>
      <c r="M27" s="7">
        <v>14</v>
      </c>
      <c r="N27" s="7"/>
      <c r="O27" s="8">
        <v>0.75</v>
      </c>
      <c r="P27" s="7">
        <v>7.8899999999999998E-2</v>
      </c>
      <c r="Q27" s="7">
        <v>3.7499999999999999E-2</v>
      </c>
      <c r="R27" s="7">
        <v>6.7299999999999999E-2</v>
      </c>
      <c r="S27" s="7">
        <v>7.7200000000000005E-2</v>
      </c>
      <c r="T27" s="7">
        <v>3.7900000000000003E-2</v>
      </c>
      <c r="U27" s="7">
        <v>6.5699999999999995E-2</v>
      </c>
      <c r="V27" s="7">
        <v>0.12690000000000001</v>
      </c>
      <c r="W27" s="7">
        <v>6.1400000000000003E-2</v>
      </c>
      <c r="X27" s="7">
        <v>0.1041</v>
      </c>
      <c r="Y27" s="7">
        <v>4.2599999999999999E-2</v>
      </c>
      <c r="Z27" s="7">
        <v>4.7399999999999998E-2</v>
      </c>
      <c r="AA27" s="7">
        <v>5.8900000000000001E-2</v>
      </c>
      <c r="AC27">
        <v>3</v>
      </c>
    </row>
    <row r="28" spans="1:33" x14ac:dyDescent="0.3">
      <c r="A28" s="8">
        <v>0.8</v>
      </c>
      <c r="B28" s="7">
        <v>20</v>
      </c>
      <c r="C28" s="7">
        <v>16</v>
      </c>
      <c r="D28" s="7">
        <v>26</v>
      </c>
      <c r="E28" s="7">
        <v>21</v>
      </c>
      <c r="F28" s="7">
        <v>16</v>
      </c>
      <c r="G28" s="7">
        <v>28</v>
      </c>
      <c r="H28" s="7">
        <v>1</v>
      </c>
      <c r="I28" s="7">
        <v>1</v>
      </c>
      <c r="J28" s="7">
        <v>1</v>
      </c>
      <c r="K28" s="7">
        <v>4</v>
      </c>
      <c r="L28" s="7">
        <v>15</v>
      </c>
      <c r="M28" s="7">
        <v>7</v>
      </c>
      <c r="N28" s="7"/>
      <c r="O28" s="8">
        <v>0.8</v>
      </c>
      <c r="P28" s="7">
        <v>6.8199999999999997E-2</v>
      </c>
      <c r="Q28" s="7">
        <v>4.5900000000000003E-2</v>
      </c>
      <c r="R28" s="7">
        <v>7.3899999999999993E-2</v>
      </c>
      <c r="S28" s="7">
        <v>7.0900000000000005E-2</v>
      </c>
      <c r="T28" s="7">
        <v>4.7899999999999998E-2</v>
      </c>
      <c r="U28" s="7">
        <v>7.5399999999999995E-2</v>
      </c>
      <c r="V28" s="7">
        <v>0.12470000000000001</v>
      </c>
      <c r="W28" s="7">
        <v>6.4299999999999996E-2</v>
      </c>
      <c r="X28" s="7">
        <v>0.1036</v>
      </c>
      <c r="Y28" s="7">
        <v>3.1899999999999998E-2</v>
      </c>
      <c r="Z28" s="7">
        <v>5.0799999999999998E-2</v>
      </c>
      <c r="AA28" s="7">
        <v>3.0599999999999999E-2</v>
      </c>
      <c r="AC28">
        <v>3</v>
      </c>
    </row>
    <row r="29" spans="1:33" x14ac:dyDescent="0.3">
      <c r="A29" s="8">
        <v>0.85</v>
      </c>
      <c r="B29" s="7">
        <v>7</v>
      </c>
      <c r="C29" s="7">
        <v>19</v>
      </c>
      <c r="D29" s="7">
        <v>12</v>
      </c>
      <c r="E29" s="7">
        <v>5</v>
      </c>
      <c r="F29" s="7">
        <v>20</v>
      </c>
      <c r="G29" s="7">
        <v>8</v>
      </c>
      <c r="H29" s="7">
        <v>1</v>
      </c>
      <c r="I29" s="7">
        <v>1</v>
      </c>
      <c r="J29" s="7">
        <v>1</v>
      </c>
      <c r="K29" s="7">
        <v>3</v>
      </c>
      <c r="L29" s="7">
        <v>16</v>
      </c>
      <c r="M29" s="7">
        <v>3</v>
      </c>
      <c r="N29" s="7"/>
      <c r="O29" s="8">
        <v>0.85</v>
      </c>
      <c r="P29" s="7">
        <v>3.04E-2</v>
      </c>
      <c r="Q29" s="7">
        <v>4.8800000000000003E-2</v>
      </c>
      <c r="R29" s="7">
        <v>4.2999999999999997E-2</v>
      </c>
      <c r="S29" s="7">
        <v>1.8100000000000002E-2</v>
      </c>
      <c r="T29" s="7">
        <v>4.8599999999999997E-2</v>
      </c>
      <c r="U29" s="7">
        <v>2.76E-2</v>
      </c>
      <c r="V29" s="7">
        <v>0.12429999999999999</v>
      </c>
      <c r="W29" s="7">
        <v>6.54E-2</v>
      </c>
      <c r="X29" s="7">
        <v>0.1036</v>
      </c>
      <c r="Y29" s="7">
        <v>2.1100000000000001E-2</v>
      </c>
      <c r="Z29" s="7">
        <v>5.5599999999999997E-2</v>
      </c>
      <c r="AA29" s="7">
        <v>1.9900000000000001E-2</v>
      </c>
      <c r="AC29">
        <v>3</v>
      </c>
    </row>
    <row r="30" spans="1:33" x14ac:dyDescent="0.3">
      <c r="A30" s="8">
        <v>0.9</v>
      </c>
      <c r="B30" s="7">
        <v>1</v>
      </c>
      <c r="C30" s="7">
        <v>23</v>
      </c>
      <c r="D30" s="7">
        <v>2</v>
      </c>
      <c r="E30" s="7">
        <v>1</v>
      </c>
      <c r="F30" s="7">
        <v>24</v>
      </c>
      <c r="G30" s="7">
        <v>2</v>
      </c>
      <c r="H30" s="7">
        <v>1</v>
      </c>
      <c r="I30" s="7">
        <v>1</v>
      </c>
      <c r="J30" s="7">
        <v>1</v>
      </c>
      <c r="K30" s="7">
        <v>2</v>
      </c>
      <c r="L30" s="7">
        <v>5</v>
      </c>
      <c r="M30" s="7">
        <v>3</v>
      </c>
      <c r="N30" s="7"/>
      <c r="O30" s="8">
        <v>0.9</v>
      </c>
      <c r="P30" s="7">
        <v>6.7000000000000002E-3</v>
      </c>
      <c r="Q30" s="7">
        <v>4.5600000000000002E-2</v>
      </c>
      <c r="R30" s="7">
        <v>4.3E-3</v>
      </c>
      <c r="S30" s="7">
        <v>6.7999999999999996E-3</v>
      </c>
      <c r="T30" s="7">
        <v>4.87E-2</v>
      </c>
      <c r="U30" s="7">
        <v>4.4999999999999997E-3</v>
      </c>
      <c r="V30" s="7">
        <v>0.12429999999999999</v>
      </c>
      <c r="W30" s="7">
        <v>6.4899999999999999E-2</v>
      </c>
      <c r="X30" s="7">
        <v>0.1032</v>
      </c>
      <c r="Y30" s="7">
        <v>1.84E-2</v>
      </c>
      <c r="Z30" s="7">
        <v>2.53E-2</v>
      </c>
      <c r="AA30" s="7">
        <v>1.9699999999999999E-2</v>
      </c>
      <c r="AC30">
        <v>3</v>
      </c>
    </row>
    <row r="31" spans="1:33" x14ac:dyDescent="0.3">
      <c r="A31" s="8">
        <v>0.95</v>
      </c>
      <c r="B31" s="7">
        <v>1</v>
      </c>
      <c r="C31" s="7">
        <v>2</v>
      </c>
      <c r="D31" s="7">
        <v>1</v>
      </c>
      <c r="E31" s="7">
        <v>1</v>
      </c>
      <c r="F31" s="7">
        <v>2</v>
      </c>
      <c r="G31" s="7">
        <v>1</v>
      </c>
      <c r="H31" s="7">
        <v>1</v>
      </c>
      <c r="I31" s="7">
        <v>1</v>
      </c>
      <c r="J31" s="7">
        <v>1</v>
      </c>
      <c r="K31" s="7">
        <v>2</v>
      </c>
      <c r="L31" s="7">
        <v>3</v>
      </c>
      <c r="M31" s="7">
        <v>3</v>
      </c>
      <c r="N31" s="7"/>
      <c r="O31" s="8">
        <v>0.95</v>
      </c>
      <c r="P31" s="7">
        <v>6.6E-3</v>
      </c>
      <c r="Q31" s="7">
        <v>2.5999999999999999E-3</v>
      </c>
      <c r="R31" s="7">
        <v>5.4000000000000003E-3</v>
      </c>
      <c r="S31" s="7">
        <v>6.7000000000000002E-3</v>
      </c>
      <c r="T31" s="7">
        <v>2.8E-3</v>
      </c>
      <c r="U31" s="7">
        <v>5.4999999999999997E-3</v>
      </c>
      <c r="V31" s="7">
        <v>0.12429999999999999</v>
      </c>
      <c r="W31" s="7">
        <v>6.4600000000000005E-2</v>
      </c>
      <c r="X31" s="7">
        <v>0.1013</v>
      </c>
      <c r="Y31" s="7">
        <v>1.83E-2</v>
      </c>
      <c r="Z31" s="7">
        <v>1.6E-2</v>
      </c>
      <c r="AA31" s="7">
        <v>1.9599999999999999E-2</v>
      </c>
      <c r="AC31">
        <v>3</v>
      </c>
    </row>
    <row r="32" spans="1:33" x14ac:dyDescent="0.3">
      <c r="A32" s="8">
        <v>0.99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2</v>
      </c>
      <c r="L32" s="7">
        <v>2</v>
      </c>
      <c r="M32" s="7">
        <v>2</v>
      </c>
      <c r="N32" s="7"/>
      <c r="O32" s="8">
        <v>0.99</v>
      </c>
      <c r="P32" s="7">
        <v>6.6E-3</v>
      </c>
      <c r="Q32" s="7">
        <v>2.8999999999999998E-3</v>
      </c>
      <c r="R32" s="7">
        <v>5.1000000000000004E-3</v>
      </c>
      <c r="S32" s="7">
        <v>6.7000000000000002E-3</v>
      </c>
      <c r="T32" s="7">
        <v>3.0000000000000001E-3</v>
      </c>
      <c r="U32" s="7">
        <v>5.1999999999999998E-3</v>
      </c>
      <c r="V32" s="7">
        <v>0.12429999999999999</v>
      </c>
      <c r="W32" s="7">
        <v>6.3200000000000006E-2</v>
      </c>
      <c r="X32" s="7">
        <v>0.1009</v>
      </c>
      <c r="Y32" s="7">
        <v>1.83E-2</v>
      </c>
      <c r="Z32" s="7">
        <v>1.38E-2</v>
      </c>
      <c r="AA32" s="7">
        <v>1.6400000000000001E-2</v>
      </c>
      <c r="AC32">
        <v>3</v>
      </c>
    </row>
    <row r="33" spans="1:33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D33" s="7"/>
      <c r="AE33" s="7"/>
      <c r="AF33" s="7"/>
      <c r="AG33" s="7"/>
    </row>
    <row r="34" spans="1:33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D34" s="7"/>
      <c r="AE34" s="7"/>
      <c r="AF34" s="7"/>
      <c r="AG34" s="7"/>
    </row>
    <row r="35" spans="1:33" x14ac:dyDescent="0.3">
      <c r="A35" s="7" t="s">
        <v>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D35" s="7"/>
      <c r="AE35" s="7"/>
      <c r="AF35" s="7"/>
      <c r="AG35" s="7"/>
    </row>
    <row r="36" spans="1:33" x14ac:dyDescent="0.3">
      <c r="A36" s="7" t="s">
        <v>32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 t="s">
        <v>13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D36" s="7"/>
    </row>
    <row r="37" spans="1:33" x14ac:dyDescent="0.3">
      <c r="A37" s="7" t="s">
        <v>0</v>
      </c>
      <c r="B37" s="7" t="s">
        <v>1</v>
      </c>
      <c r="C37" s="7" t="s">
        <v>2</v>
      </c>
      <c r="D37" s="7" t="s">
        <v>3</v>
      </c>
      <c r="E37" s="7" t="s">
        <v>4</v>
      </c>
      <c r="F37" s="7" t="s">
        <v>31</v>
      </c>
      <c r="G37" s="7" t="s">
        <v>5</v>
      </c>
      <c r="H37" s="7" t="s">
        <v>6</v>
      </c>
      <c r="I37" s="7" t="s">
        <v>7</v>
      </c>
      <c r="J37" s="7" t="s">
        <v>8</v>
      </c>
      <c r="K37" s="7" t="s">
        <v>9</v>
      </c>
      <c r="L37" s="7" t="s">
        <v>10</v>
      </c>
      <c r="M37" s="7" t="s">
        <v>11</v>
      </c>
      <c r="N37" s="7"/>
      <c r="O37" s="7" t="s">
        <v>0</v>
      </c>
      <c r="P37" s="7" t="s">
        <v>1</v>
      </c>
      <c r="Q37" s="7" t="s">
        <v>2</v>
      </c>
      <c r="R37" s="7" t="s">
        <v>3</v>
      </c>
      <c r="S37" s="7" t="s">
        <v>4</v>
      </c>
      <c r="T37" s="7" t="s">
        <v>31</v>
      </c>
      <c r="U37" s="7" t="s">
        <v>5</v>
      </c>
      <c r="V37" s="7" t="s">
        <v>6</v>
      </c>
      <c r="W37" s="7" t="s">
        <v>7</v>
      </c>
      <c r="X37" s="7" t="s">
        <v>8</v>
      </c>
      <c r="Y37" s="7" t="s">
        <v>9</v>
      </c>
      <c r="Z37" s="7" t="s">
        <v>10</v>
      </c>
      <c r="AA37" s="7" t="s">
        <v>11</v>
      </c>
    </row>
    <row r="38" spans="1:33" x14ac:dyDescent="0.3">
      <c r="A38" s="8">
        <v>0.3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3</v>
      </c>
      <c r="I38" s="7">
        <v>2</v>
      </c>
      <c r="J38" s="7">
        <v>2</v>
      </c>
      <c r="K38" s="7">
        <v>1</v>
      </c>
      <c r="L38" s="7">
        <v>0</v>
      </c>
      <c r="M38" s="7">
        <v>0</v>
      </c>
      <c r="N38" s="7"/>
      <c r="O38" s="8">
        <v>0.3</v>
      </c>
      <c r="P38" s="7">
        <v>-1</v>
      </c>
      <c r="Q38" s="7">
        <v>-1</v>
      </c>
      <c r="R38" s="7">
        <v>-1</v>
      </c>
      <c r="S38" s="7">
        <v>-1</v>
      </c>
      <c r="T38" s="7">
        <v>-1</v>
      </c>
      <c r="U38" s="7">
        <v>-1</v>
      </c>
      <c r="V38" s="7">
        <f>0.0217</f>
        <v>2.1700000000000001E-2</v>
      </c>
      <c r="W38" s="7">
        <f>0.0811</f>
        <v>8.1100000000000005E-2</v>
      </c>
      <c r="X38" s="7">
        <f>0.0077</f>
        <v>7.7000000000000002E-3</v>
      </c>
      <c r="Y38" s="7">
        <v>9.1000000000000004E-3</v>
      </c>
      <c r="Z38" s="7">
        <v>-1</v>
      </c>
      <c r="AA38" s="7">
        <v>-1</v>
      </c>
      <c r="AC38">
        <v>5</v>
      </c>
    </row>
    <row r="39" spans="1:33" x14ac:dyDescent="0.3">
      <c r="A39" s="8">
        <v>0.4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2</v>
      </c>
      <c r="I39" s="7">
        <v>2</v>
      </c>
      <c r="J39" s="7">
        <v>2</v>
      </c>
      <c r="K39" s="7">
        <v>1</v>
      </c>
      <c r="L39" s="7">
        <v>0</v>
      </c>
      <c r="M39" s="7">
        <v>1</v>
      </c>
      <c r="N39" s="7"/>
      <c r="O39" s="8">
        <v>0.4</v>
      </c>
      <c r="P39" s="7">
        <v>-1</v>
      </c>
      <c r="Q39" s="7">
        <v>-1</v>
      </c>
      <c r="R39" s="7">
        <v>-1</v>
      </c>
      <c r="S39" s="7">
        <v>-1</v>
      </c>
      <c r="T39" s="7">
        <v>-1</v>
      </c>
      <c r="U39" s="7">
        <v>-1</v>
      </c>
      <c r="V39" s="7">
        <v>6.3500000000000001E-2</v>
      </c>
      <c r="W39" s="7">
        <f>0.0105</f>
        <v>1.0500000000000001E-2</v>
      </c>
      <c r="X39" s="7">
        <v>8.0299999999999996E-2</v>
      </c>
      <c r="Y39" s="7">
        <v>9.1000000000000004E-3</v>
      </c>
      <c r="Z39" s="7">
        <v>-1</v>
      </c>
      <c r="AA39" s="7">
        <v>9.4000000000000004E-3</v>
      </c>
      <c r="AC39">
        <v>5</v>
      </c>
    </row>
    <row r="40" spans="1:33" x14ac:dyDescent="0.3">
      <c r="A40" s="8">
        <v>0.5</v>
      </c>
      <c r="B40" s="7">
        <v>1</v>
      </c>
      <c r="C40" s="7">
        <v>0</v>
      </c>
      <c r="D40" s="7">
        <v>1</v>
      </c>
      <c r="E40" s="7">
        <v>1</v>
      </c>
      <c r="F40" s="7">
        <v>0</v>
      </c>
      <c r="G40" s="7">
        <v>1</v>
      </c>
      <c r="H40" s="7">
        <v>3</v>
      </c>
      <c r="I40" s="7">
        <v>3</v>
      </c>
      <c r="J40" s="7">
        <v>3</v>
      </c>
      <c r="K40" s="7">
        <v>2</v>
      </c>
      <c r="L40" s="7">
        <v>1</v>
      </c>
      <c r="M40" s="7">
        <v>1</v>
      </c>
      <c r="N40" s="7"/>
      <c r="O40" s="8">
        <v>0.5</v>
      </c>
      <c r="P40" s="7">
        <v>8.8000000000000005E-3</v>
      </c>
      <c r="Q40" s="7">
        <v>-1</v>
      </c>
      <c r="R40" s="7">
        <v>7.7999999999999996E-3</v>
      </c>
      <c r="S40" s="7">
        <v>8.9999999999999993E-3</v>
      </c>
      <c r="T40" s="7">
        <v>-1</v>
      </c>
      <c r="U40" s="7">
        <v>8.0999999999999996E-3</v>
      </c>
      <c r="V40" s="9">
        <v>8.9300000000000004E-2</v>
      </c>
      <c r="W40" s="7">
        <v>2.5600000000000001E-2</v>
      </c>
      <c r="X40" s="7">
        <v>0.1109</v>
      </c>
      <c r="Y40" s="7">
        <v>4.5999999999999999E-3</v>
      </c>
      <c r="Z40" s="7">
        <v>8.2000000000000007E-3</v>
      </c>
      <c r="AA40" s="7">
        <v>9.2999999999999992E-3</v>
      </c>
      <c r="AC40">
        <v>5</v>
      </c>
    </row>
    <row r="41" spans="1:33" x14ac:dyDescent="0.3">
      <c r="A41" s="8">
        <v>0.6</v>
      </c>
      <c r="B41" s="7">
        <v>1</v>
      </c>
      <c r="C41" s="7">
        <v>0</v>
      </c>
      <c r="D41" s="7">
        <v>1</v>
      </c>
      <c r="E41" s="7">
        <v>1</v>
      </c>
      <c r="F41" s="7">
        <v>0</v>
      </c>
      <c r="G41" s="7">
        <v>1</v>
      </c>
      <c r="H41" s="7">
        <v>1</v>
      </c>
      <c r="I41" s="7">
        <v>2</v>
      </c>
      <c r="J41" s="7">
        <v>3</v>
      </c>
      <c r="K41" s="7">
        <v>2</v>
      </c>
      <c r="L41" s="7">
        <v>1</v>
      </c>
      <c r="M41" s="7">
        <v>2</v>
      </c>
      <c r="N41" s="7"/>
      <c r="O41" s="8">
        <v>0.6</v>
      </c>
      <c r="P41" s="7">
        <v>8.8000000000000005E-3</v>
      </c>
      <c r="Q41" s="7">
        <v>-1</v>
      </c>
      <c r="R41" s="7">
        <v>7.7999999999999996E-3</v>
      </c>
      <c r="S41" s="7">
        <v>8.9999999999999993E-3</v>
      </c>
      <c r="T41" s="7">
        <v>-1</v>
      </c>
      <c r="U41" s="7">
        <v>8.0999999999999996E-3</v>
      </c>
      <c r="V41" s="7">
        <v>0.11849999999999999</v>
      </c>
      <c r="W41" s="7">
        <v>6.4399999999999999E-2</v>
      </c>
      <c r="X41" s="7">
        <v>9.9099999999999994E-2</v>
      </c>
      <c r="Y41" s="7">
        <v>8.5000000000000006E-3</v>
      </c>
      <c r="Z41" s="7">
        <v>8.2000000000000007E-3</v>
      </c>
      <c r="AA41" s="7">
        <v>9.2999999999999992E-3</v>
      </c>
      <c r="AC41">
        <v>5</v>
      </c>
    </row>
    <row r="42" spans="1:33" x14ac:dyDescent="0.3">
      <c r="A42" s="8">
        <v>0.65</v>
      </c>
      <c r="B42" s="7">
        <v>1</v>
      </c>
      <c r="C42" s="7">
        <v>0</v>
      </c>
      <c r="D42" s="7">
        <v>1</v>
      </c>
      <c r="E42" s="7">
        <v>1</v>
      </c>
      <c r="F42" s="7">
        <v>0</v>
      </c>
      <c r="G42" s="7">
        <v>1</v>
      </c>
      <c r="H42" s="7">
        <v>1</v>
      </c>
      <c r="I42" s="7">
        <v>2</v>
      </c>
      <c r="J42" s="7">
        <v>2</v>
      </c>
      <c r="K42" s="7">
        <v>2</v>
      </c>
      <c r="L42" s="7">
        <v>1</v>
      </c>
      <c r="M42" s="7">
        <v>2</v>
      </c>
      <c r="N42" s="7"/>
      <c r="O42" s="8">
        <v>0.65</v>
      </c>
      <c r="P42" s="7">
        <v>8.8000000000000005E-3</v>
      </c>
      <c r="Q42" s="7">
        <v>-1</v>
      </c>
      <c r="R42" s="7">
        <v>7.7999999999999996E-3</v>
      </c>
      <c r="S42" s="7">
        <v>8.9999999999999993E-3</v>
      </c>
      <c r="T42" s="7">
        <v>-1</v>
      </c>
      <c r="U42" s="7">
        <v>8.0999999999999996E-3</v>
      </c>
      <c r="V42" s="7">
        <v>0.1234</v>
      </c>
      <c r="W42" s="7">
        <v>7.3499999999999996E-2</v>
      </c>
      <c r="X42" s="7">
        <v>9.1600000000000001E-2</v>
      </c>
      <c r="Y42" s="7">
        <v>7.6E-3</v>
      </c>
      <c r="Z42" s="7">
        <v>8.2000000000000007E-3</v>
      </c>
      <c r="AA42" s="7">
        <v>9.2999999999999992E-3</v>
      </c>
      <c r="AC42">
        <v>5</v>
      </c>
    </row>
    <row r="43" spans="1:33" x14ac:dyDescent="0.3">
      <c r="A43" s="8">
        <v>0.7</v>
      </c>
      <c r="B43" s="7">
        <v>3</v>
      </c>
      <c r="C43" s="7">
        <v>1</v>
      </c>
      <c r="D43" s="7">
        <v>1</v>
      </c>
      <c r="E43" s="7">
        <v>3</v>
      </c>
      <c r="F43" s="7">
        <v>1</v>
      </c>
      <c r="G43" s="7">
        <v>1</v>
      </c>
      <c r="H43" s="7">
        <v>1</v>
      </c>
      <c r="I43" s="7">
        <v>3</v>
      </c>
      <c r="J43" s="7">
        <v>1</v>
      </c>
      <c r="K43" s="7">
        <v>2</v>
      </c>
      <c r="L43" s="7">
        <v>1</v>
      </c>
      <c r="M43" s="7">
        <v>3</v>
      </c>
      <c r="N43" s="7"/>
      <c r="O43" s="8">
        <v>0.7</v>
      </c>
      <c r="P43" s="7">
        <v>2.64E-2</v>
      </c>
      <c r="Q43" s="7">
        <v>4.7999999999999996E-3</v>
      </c>
      <c r="R43" s="7">
        <v>7.7999999999999996E-3</v>
      </c>
      <c r="S43" s="7">
        <v>2.6800000000000001E-2</v>
      </c>
      <c r="T43" s="7">
        <v>5.1000000000000004E-3</v>
      </c>
      <c r="U43" s="7">
        <v>8.0999999999999996E-3</v>
      </c>
      <c r="V43" s="7">
        <v>0.12790000000000001</v>
      </c>
      <c r="W43" s="7">
        <v>0.08</v>
      </c>
      <c r="X43" s="7">
        <v>0.1023</v>
      </c>
      <c r="Y43" s="7">
        <v>1.2E-2</v>
      </c>
      <c r="Z43" s="7">
        <v>7.9000000000000008E-3</v>
      </c>
      <c r="AA43" s="7">
        <v>8.0000000000000002E-3</v>
      </c>
      <c r="AC43">
        <v>5</v>
      </c>
    </row>
    <row r="44" spans="1:33" x14ac:dyDescent="0.3">
      <c r="A44" s="8">
        <v>0.75</v>
      </c>
      <c r="B44" s="7">
        <v>9</v>
      </c>
      <c r="C44" s="7">
        <v>1</v>
      </c>
      <c r="D44" s="7">
        <v>1</v>
      </c>
      <c r="E44" s="7">
        <v>8</v>
      </c>
      <c r="F44" s="7">
        <v>1</v>
      </c>
      <c r="G44" s="7">
        <v>2</v>
      </c>
      <c r="H44" s="7">
        <v>1</v>
      </c>
      <c r="I44" s="7">
        <v>3</v>
      </c>
      <c r="J44" s="7">
        <v>1</v>
      </c>
      <c r="K44" s="7">
        <v>3</v>
      </c>
      <c r="L44" s="7">
        <v>2</v>
      </c>
      <c r="M44" s="7">
        <v>4</v>
      </c>
      <c r="N44" s="7"/>
      <c r="O44" s="8">
        <v>0.75</v>
      </c>
      <c r="P44" s="7">
        <v>3.7100000000000001E-2</v>
      </c>
      <c r="Q44" s="7">
        <v>4.7999999999999996E-3</v>
      </c>
      <c r="R44" s="7">
        <v>7.7999999999999996E-3</v>
      </c>
      <c r="S44" s="7">
        <v>3.32E-2</v>
      </c>
      <c r="T44" s="7">
        <v>5.1000000000000004E-3</v>
      </c>
      <c r="U44" s="7">
        <v>3.3999999999999998E-3</v>
      </c>
      <c r="V44" s="7">
        <v>0.12709999999999999</v>
      </c>
      <c r="W44" s="7">
        <v>6.7100000000000007E-2</v>
      </c>
      <c r="X44" s="7">
        <v>0.1047</v>
      </c>
      <c r="Y44" s="7">
        <v>1.54E-2</v>
      </c>
      <c r="Z44" s="7">
        <v>8.2000000000000007E-3</v>
      </c>
      <c r="AA44" s="7">
        <v>1.2E-2</v>
      </c>
      <c r="AC44">
        <v>5</v>
      </c>
    </row>
    <row r="45" spans="1:33" x14ac:dyDescent="0.3">
      <c r="A45" s="8">
        <v>0.8</v>
      </c>
      <c r="B45" s="7">
        <v>11</v>
      </c>
      <c r="C45" s="7">
        <v>1</v>
      </c>
      <c r="D45" s="7">
        <v>6</v>
      </c>
      <c r="E45" s="7">
        <v>12</v>
      </c>
      <c r="F45" s="7">
        <v>1</v>
      </c>
      <c r="G45" s="7">
        <v>9</v>
      </c>
      <c r="H45" s="7">
        <v>1</v>
      </c>
      <c r="I45" s="7">
        <v>1</v>
      </c>
      <c r="J45" s="7">
        <v>1</v>
      </c>
      <c r="K45" s="7">
        <v>2</v>
      </c>
      <c r="L45" s="7">
        <v>2</v>
      </c>
      <c r="M45" s="7">
        <v>2</v>
      </c>
      <c r="N45" s="7"/>
      <c r="O45" s="8">
        <v>0.8</v>
      </c>
      <c r="P45" s="7">
        <v>4.0500000000000001E-2</v>
      </c>
      <c r="Q45" s="7">
        <v>4.7999999999999996E-3</v>
      </c>
      <c r="R45" s="7">
        <v>1.06E-2</v>
      </c>
      <c r="S45" s="7">
        <v>4.24E-2</v>
      </c>
      <c r="T45" s="7">
        <v>5.1000000000000004E-3</v>
      </c>
      <c r="U45" s="7">
        <v>3.0300000000000001E-2</v>
      </c>
      <c r="V45" s="7">
        <v>0.12470000000000001</v>
      </c>
      <c r="W45" s="7">
        <v>6.3899999999999998E-2</v>
      </c>
      <c r="X45" s="7">
        <v>0.1036</v>
      </c>
      <c r="Y45" s="7">
        <v>9.9000000000000008E-3</v>
      </c>
      <c r="Z45" s="7">
        <v>7.4999999999999997E-3</v>
      </c>
      <c r="AA45" s="7">
        <v>6.1000000000000004E-3</v>
      </c>
      <c r="AC45">
        <v>5</v>
      </c>
    </row>
    <row r="46" spans="1:33" x14ac:dyDescent="0.3">
      <c r="A46" s="8">
        <v>0.85</v>
      </c>
      <c r="B46" s="7">
        <v>6</v>
      </c>
      <c r="C46" s="7">
        <v>1</v>
      </c>
      <c r="D46" s="7">
        <v>13</v>
      </c>
      <c r="E46" s="7">
        <v>7</v>
      </c>
      <c r="F46" s="7">
        <v>1</v>
      </c>
      <c r="G46" s="7">
        <v>8</v>
      </c>
      <c r="H46" s="7">
        <v>1</v>
      </c>
      <c r="I46" s="7">
        <v>1</v>
      </c>
      <c r="J46" s="7">
        <v>1</v>
      </c>
      <c r="K46" s="7">
        <v>1</v>
      </c>
      <c r="L46" s="7">
        <v>4</v>
      </c>
      <c r="M46" s="7">
        <v>2</v>
      </c>
      <c r="N46" s="7"/>
      <c r="O46" s="8">
        <v>0.85</v>
      </c>
      <c r="P46" s="7">
        <v>3.1699999999999999E-2</v>
      </c>
      <c r="Q46" s="7">
        <v>4.7999999999999996E-3</v>
      </c>
      <c r="R46" s="7">
        <v>3.8600000000000002E-2</v>
      </c>
      <c r="S46" s="7">
        <v>3.49E-2</v>
      </c>
      <c r="T46" s="7">
        <v>5.1000000000000004E-3</v>
      </c>
      <c r="U46" s="7">
        <v>2.5999999999999999E-2</v>
      </c>
      <c r="V46" s="7">
        <v>0.12429999999999999</v>
      </c>
      <c r="W46" s="7">
        <v>6.5699999999999995E-2</v>
      </c>
      <c r="X46" s="7">
        <v>0.1036</v>
      </c>
      <c r="Y46" s="7">
        <v>8.3999999999999995E-3</v>
      </c>
      <c r="Z46" s="7">
        <v>7.7000000000000002E-3</v>
      </c>
      <c r="AA46" s="7">
        <v>8.8000000000000005E-3</v>
      </c>
      <c r="AC46">
        <v>5</v>
      </c>
    </row>
    <row r="47" spans="1:33" x14ac:dyDescent="0.3">
      <c r="A47" s="8">
        <v>0.9</v>
      </c>
      <c r="B47" s="7">
        <v>1</v>
      </c>
      <c r="C47" s="7">
        <v>11</v>
      </c>
      <c r="D47" s="7">
        <v>2</v>
      </c>
      <c r="E47" s="7">
        <v>1</v>
      </c>
      <c r="F47" s="7">
        <v>12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2</v>
      </c>
      <c r="M47" s="7">
        <v>1</v>
      </c>
      <c r="N47" s="7"/>
      <c r="O47" s="8">
        <v>0.9</v>
      </c>
      <c r="P47" s="7">
        <v>6.4000000000000003E-3</v>
      </c>
      <c r="Q47" s="7">
        <v>2.69E-2</v>
      </c>
      <c r="R47" s="7">
        <v>7.4000000000000003E-3</v>
      </c>
      <c r="S47" s="7">
        <v>6.7000000000000002E-3</v>
      </c>
      <c r="T47" s="7">
        <v>2.8199999999999999E-2</v>
      </c>
      <c r="U47" s="7">
        <v>4.4999999999999997E-3</v>
      </c>
      <c r="V47" s="7">
        <v>0.12429999999999999</v>
      </c>
      <c r="W47" s="7">
        <v>6.4899999999999999E-2</v>
      </c>
      <c r="X47" s="7">
        <v>0.1032</v>
      </c>
      <c r="Y47" s="7">
        <v>8.8000000000000005E-3</v>
      </c>
      <c r="Z47" s="7">
        <v>3.5999999999999999E-3</v>
      </c>
      <c r="AA47" s="7">
        <v>7.1000000000000004E-3</v>
      </c>
      <c r="AC47">
        <v>5</v>
      </c>
    </row>
    <row r="48" spans="1:33" x14ac:dyDescent="0.3">
      <c r="A48" s="8">
        <v>0.95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/>
      <c r="O48" s="8">
        <v>0.95</v>
      </c>
      <c r="P48" s="7">
        <v>6.6E-3</v>
      </c>
      <c r="Q48" s="7">
        <v>2.5999999999999999E-3</v>
      </c>
      <c r="R48" s="7">
        <v>5.4000000000000003E-3</v>
      </c>
      <c r="S48" s="7">
        <v>6.7000000000000002E-3</v>
      </c>
      <c r="T48" s="7">
        <v>2.8999999999999998E-3</v>
      </c>
      <c r="U48" s="7">
        <v>5.4999999999999997E-3</v>
      </c>
      <c r="V48" s="7">
        <v>0.12429999999999999</v>
      </c>
      <c r="W48" s="7">
        <v>6.4600000000000005E-2</v>
      </c>
      <c r="X48" s="7">
        <v>0.1013</v>
      </c>
      <c r="Y48" s="7">
        <v>8.6999999999999994E-3</v>
      </c>
      <c r="Z48" s="7">
        <v>4.4000000000000003E-3</v>
      </c>
      <c r="AA48" s="7">
        <v>7.0000000000000001E-3</v>
      </c>
      <c r="AC48">
        <v>5</v>
      </c>
    </row>
    <row r="49" spans="1:33" x14ac:dyDescent="0.3">
      <c r="A49" s="8">
        <v>0.99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/>
      <c r="O49" s="8">
        <v>0.99</v>
      </c>
      <c r="P49" s="7">
        <v>6.6E-3</v>
      </c>
      <c r="Q49" s="7">
        <v>2.8999999999999998E-3</v>
      </c>
      <c r="R49" s="7">
        <v>5.1000000000000004E-3</v>
      </c>
      <c r="S49" s="7">
        <v>6.7000000000000002E-3</v>
      </c>
      <c r="T49" s="7">
        <v>3.0000000000000001E-3</v>
      </c>
      <c r="U49" s="7">
        <v>5.1000000000000004E-3</v>
      </c>
      <c r="V49" s="7">
        <v>0.12429999999999999</v>
      </c>
      <c r="W49" s="7">
        <v>6.3200000000000006E-2</v>
      </c>
      <c r="X49" s="7">
        <v>0.1009</v>
      </c>
      <c r="Y49" s="7">
        <v>8.6999999999999994E-3</v>
      </c>
      <c r="Z49" s="7">
        <v>4.1999999999999997E-3</v>
      </c>
      <c r="AA49" s="7">
        <v>6.7999999999999996E-3</v>
      </c>
      <c r="AC49">
        <v>5</v>
      </c>
    </row>
    <row r="50" spans="1:33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D50" s="7"/>
      <c r="AE50" s="7"/>
      <c r="AF50" s="7"/>
      <c r="AG50" s="7"/>
    </row>
    <row r="51" spans="1:33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D51" s="7"/>
      <c r="AE51" s="7"/>
      <c r="AF51" s="7"/>
      <c r="AG51" s="7"/>
    </row>
    <row r="52" spans="1:33" x14ac:dyDescent="0.3">
      <c r="A52" s="7" t="s">
        <v>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D52" s="7"/>
      <c r="AE52" s="7"/>
      <c r="AF52" s="7"/>
      <c r="AG52" s="7"/>
    </row>
    <row r="53" spans="1:33" x14ac:dyDescent="0.3">
      <c r="A53" s="7" t="s">
        <v>32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 t="s">
        <v>13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D53" s="7"/>
    </row>
    <row r="54" spans="1:33" x14ac:dyDescent="0.3">
      <c r="A54" s="7" t="s">
        <v>0</v>
      </c>
      <c r="B54" s="7" t="s">
        <v>1</v>
      </c>
      <c r="C54" s="7" t="s">
        <v>2</v>
      </c>
      <c r="D54" s="7" t="s">
        <v>3</v>
      </c>
      <c r="E54" s="7" t="s">
        <v>4</v>
      </c>
      <c r="F54" s="7" t="s">
        <v>31</v>
      </c>
      <c r="G54" s="7" t="s">
        <v>5</v>
      </c>
      <c r="H54" s="7" t="s">
        <v>6</v>
      </c>
      <c r="I54" s="7" t="s">
        <v>7</v>
      </c>
      <c r="J54" s="7" t="s">
        <v>8</v>
      </c>
      <c r="K54" s="7" t="s">
        <v>9</v>
      </c>
      <c r="L54" s="7" t="s">
        <v>10</v>
      </c>
      <c r="M54" s="7" t="s">
        <v>11</v>
      </c>
      <c r="N54" s="7"/>
      <c r="O54" s="7" t="s">
        <v>0</v>
      </c>
      <c r="P54" s="7" t="s">
        <v>1</v>
      </c>
      <c r="Q54" s="7" t="s">
        <v>2</v>
      </c>
      <c r="R54" s="7" t="s">
        <v>3</v>
      </c>
      <c r="S54" s="7" t="s">
        <v>4</v>
      </c>
      <c r="T54" s="7" t="s">
        <v>31</v>
      </c>
      <c r="U54" s="7" t="s">
        <v>5</v>
      </c>
      <c r="V54" s="7" t="s">
        <v>6</v>
      </c>
      <c r="W54" s="7" t="s">
        <v>7</v>
      </c>
      <c r="X54" s="7" t="s">
        <v>8</v>
      </c>
      <c r="Y54" s="7" t="s">
        <v>9</v>
      </c>
      <c r="Z54" s="7" t="s">
        <v>10</v>
      </c>
      <c r="AA54" s="7" t="s">
        <v>11</v>
      </c>
    </row>
    <row r="55" spans="1:33" x14ac:dyDescent="0.3">
      <c r="A55" s="8">
        <v>0.3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/>
      <c r="O55" s="8">
        <v>0.3</v>
      </c>
      <c r="P55" s="7">
        <v>-1</v>
      </c>
      <c r="Q55" s="7">
        <v>-1</v>
      </c>
      <c r="R55" s="7">
        <v>-1</v>
      </c>
      <c r="S55" s="7">
        <v>-1</v>
      </c>
      <c r="T55" s="7">
        <v>-1</v>
      </c>
      <c r="U55" s="7">
        <v>-1</v>
      </c>
      <c r="V55" s="7">
        <v>-1</v>
      </c>
      <c r="W55" s="7">
        <v>-1</v>
      </c>
      <c r="X55" s="7">
        <v>-1</v>
      </c>
      <c r="Y55" s="7">
        <v>-1</v>
      </c>
      <c r="Z55" s="7">
        <v>-1</v>
      </c>
      <c r="AA55" s="7">
        <v>-1</v>
      </c>
      <c r="AC55">
        <v>30</v>
      </c>
    </row>
    <row r="56" spans="1:33" x14ac:dyDescent="0.3">
      <c r="A56" s="8">
        <v>0.4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/>
      <c r="O56" s="8">
        <v>0.4</v>
      </c>
      <c r="P56" s="7">
        <v>-1</v>
      </c>
      <c r="Q56" s="7">
        <v>-1</v>
      </c>
      <c r="R56" s="7">
        <v>-1</v>
      </c>
      <c r="S56" s="7">
        <v>-1</v>
      </c>
      <c r="T56" s="7">
        <v>-1</v>
      </c>
      <c r="U56" s="7">
        <v>-1</v>
      </c>
      <c r="V56" s="7">
        <v>3.7199999999999997E-2</v>
      </c>
      <c r="W56" s="7">
        <v>-1</v>
      </c>
      <c r="X56" s="7">
        <v>4.58E-2</v>
      </c>
      <c r="Y56" s="7">
        <v>-1</v>
      </c>
      <c r="Z56" s="7">
        <v>-1</v>
      </c>
      <c r="AA56" s="7">
        <v>-1</v>
      </c>
      <c r="AC56">
        <v>30</v>
      </c>
    </row>
    <row r="57" spans="1:33" x14ac:dyDescent="0.3">
      <c r="A57" s="8">
        <v>0.5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</v>
      </c>
      <c r="I57" s="7">
        <v>1</v>
      </c>
      <c r="J57" s="7">
        <v>1</v>
      </c>
      <c r="K57" s="7">
        <v>0</v>
      </c>
      <c r="L57" s="7">
        <v>0</v>
      </c>
      <c r="M57" s="7">
        <v>0</v>
      </c>
      <c r="N57" s="7"/>
      <c r="O57" s="8">
        <v>0.5</v>
      </c>
      <c r="P57" s="7">
        <v>-1</v>
      </c>
      <c r="Q57" s="7">
        <v>-1</v>
      </c>
      <c r="R57" s="7">
        <v>-1</v>
      </c>
      <c r="S57" s="7">
        <v>-1</v>
      </c>
      <c r="T57" s="7">
        <v>-1</v>
      </c>
      <c r="U57" s="7">
        <v>-1</v>
      </c>
      <c r="V57" s="7">
        <v>8.9200000000000002E-2</v>
      </c>
      <c r="W57" s="7">
        <f>0.0084</f>
        <v>8.3999999999999995E-3</v>
      </c>
      <c r="X57" s="7">
        <v>0.1009</v>
      </c>
      <c r="Y57" s="7">
        <v>-1</v>
      </c>
      <c r="Z57" s="7">
        <v>-1</v>
      </c>
      <c r="AA57" s="7">
        <v>-1</v>
      </c>
      <c r="AC57">
        <v>30</v>
      </c>
    </row>
    <row r="58" spans="1:33" x14ac:dyDescent="0.3">
      <c r="A58" s="8">
        <v>0.6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1</v>
      </c>
      <c r="I58" s="7">
        <v>1</v>
      </c>
      <c r="J58" s="7">
        <v>1</v>
      </c>
      <c r="K58" s="7">
        <v>0</v>
      </c>
      <c r="L58" s="7">
        <v>0</v>
      </c>
      <c r="M58" s="7">
        <v>0</v>
      </c>
      <c r="N58" s="7"/>
      <c r="O58" s="8">
        <v>0.6</v>
      </c>
      <c r="P58" s="7">
        <v>-1</v>
      </c>
      <c r="Q58" s="7">
        <v>-1</v>
      </c>
      <c r="R58" s="7">
        <v>-1</v>
      </c>
      <c r="S58" s="7">
        <v>-1</v>
      </c>
      <c r="T58" s="7">
        <v>-1</v>
      </c>
      <c r="U58" s="7">
        <v>-1</v>
      </c>
      <c r="V58" s="7">
        <v>0.112</v>
      </c>
      <c r="W58" s="7">
        <v>5.2900000000000003E-2</v>
      </c>
      <c r="X58" s="7">
        <v>0.1134</v>
      </c>
      <c r="Y58" s="7">
        <v>-1</v>
      </c>
      <c r="Z58" s="7">
        <v>-1</v>
      </c>
      <c r="AA58" s="7">
        <v>-1</v>
      </c>
      <c r="AC58">
        <v>30</v>
      </c>
    </row>
    <row r="59" spans="1:33" x14ac:dyDescent="0.3">
      <c r="A59" s="8">
        <v>0.65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1</v>
      </c>
      <c r="I59" s="7">
        <v>1</v>
      </c>
      <c r="J59" s="7">
        <v>1</v>
      </c>
      <c r="K59" s="7">
        <v>0</v>
      </c>
      <c r="L59" s="7">
        <v>0</v>
      </c>
      <c r="M59" s="7">
        <v>0</v>
      </c>
      <c r="N59" s="7"/>
      <c r="O59" s="8">
        <v>0.65</v>
      </c>
      <c r="P59" s="7">
        <v>-1</v>
      </c>
      <c r="Q59" s="7">
        <v>-1</v>
      </c>
      <c r="R59" s="7">
        <v>-1</v>
      </c>
      <c r="S59" s="7">
        <v>-1</v>
      </c>
      <c r="T59" s="7">
        <v>-1</v>
      </c>
      <c r="U59" s="7">
        <v>-1</v>
      </c>
      <c r="V59" s="7">
        <v>0.1235</v>
      </c>
      <c r="W59" s="7">
        <v>6.8000000000000005E-2</v>
      </c>
      <c r="X59" s="7">
        <v>0.1188</v>
      </c>
      <c r="Y59" s="7">
        <v>-1</v>
      </c>
      <c r="Z59" s="7">
        <v>-1</v>
      </c>
      <c r="AA59" s="7">
        <v>-1</v>
      </c>
      <c r="AC59">
        <v>30</v>
      </c>
    </row>
    <row r="60" spans="1:33" x14ac:dyDescent="0.3">
      <c r="A60" s="8">
        <v>0.7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</v>
      </c>
      <c r="I60" s="7">
        <v>1</v>
      </c>
      <c r="J60" s="7">
        <v>1</v>
      </c>
      <c r="K60" s="7">
        <v>0</v>
      </c>
      <c r="L60" s="7">
        <v>0</v>
      </c>
      <c r="M60" s="7">
        <v>0</v>
      </c>
      <c r="N60" s="7"/>
      <c r="O60" s="8">
        <v>0.7</v>
      </c>
      <c r="P60" s="7">
        <v>-1</v>
      </c>
      <c r="Q60" s="7">
        <v>-1</v>
      </c>
      <c r="R60" s="7">
        <v>-1</v>
      </c>
      <c r="S60" s="7">
        <v>-1</v>
      </c>
      <c r="T60" s="7">
        <v>-1</v>
      </c>
      <c r="U60" s="7">
        <v>-1</v>
      </c>
      <c r="V60" s="7">
        <v>0.1318</v>
      </c>
      <c r="W60" s="7">
        <v>7.2599999999999998E-2</v>
      </c>
      <c r="X60" s="7">
        <v>0.1205</v>
      </c>
      <c r="Y60" s="7">
        <v>-1</v>
      </c>
      <c r="Z60" s="7">
        <v>-1</v>
      </c>
      <c r="AA60" s="7">
        <v>-1</v>
      </c>
      <c r="AC60">
        <v>30</v>
      </c>
    </row>
    <row r="61" spans="1:33" x14ac:dyDescent="0.3">
      <c r="A61" s="8">
        <v>0.75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1</v>
      </c>
      <c r="I61" s="7">
        <v>1</v>
      </c>
      <c r="J61" s="7">
        <v>1</v>
      </c>
      <c r="K61" s="7">
        <v>0</v>
      </c>
      <c r="L61" s="7">
        <v>0</v>
      </c>
      <c r="M61" s="7">
        <v>0</v>
      </c>
      <c r="N61" s="7"/>
      <c r="O61" s="8">
        <v>0.75</v>
      </c>
      <c r="P61" s="7">
        <v>-1</v>
      </c>
      <c r="Q61" s="7">
        <v>-1</v>
      </c>
      <c r="R61" s="7">
        <v>-1</v>
      </c>
      <c r="S61" s="7">
        <v>-1</v>
      </c>
      <c r="T61" s="7">
        <v>-1</v>
      </c>
      <c r="U61" s="7">
        <v>-1</v>
      </c>
      <c r="V61" s="7">
        <v>0.1326</v>
      </c>
      <c r="W61" s="7">
        <v>7.7899999999999997E-2</v>
      </c>
      <c r="X61" s="7">
        <v>0.12089999999999999</v>
      </c>
      <c r="Y61" s="7">
        <v>-1</v>
      </c>
      <c r="Z61" s="7">
        <v>-1</v>
      </c>
      <c r="AA61" s="7">
        <v>-1</v>
      </c>
      <c r="AC61">
        <v>30</v>
      </c>
    </row>
    <row r="62" spans="1:33" x14ac:dyDescent="0.3">
      <c r="A62" s="8">
        <v>0.8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</v>
      </c>
      <c r="I62" s="7">
        <v>1</v>
      </c>
      <c r="J62" s="7">
        <v>1</v>
      </c>
      <c r="K62" s="7">
        <v>0</v>
      </c>
      <c r="L62" s="7">
        <v>0</v>
      </c>
      <c r="M62" s="7">
        <v>0</v>
      </c>
      <c r="N62" s="7"/>
      <c r="O62" s="8">
        <v>0.8</v>
      </c>
      <c r="P62" s="7">
        <v>-1</v>
      </c>
      <c r="Q62" s="7">
        <v>-1</v>
      </c>
      <c r="R62" s="7">
        <v>-1</v>
      </c>
      <c r="S62" s="7">
        <v>-1</v>
      </c>
      <c r="T62" s="7">
        <v>-1</v>
      </c>
      <c r="U62" s="7">
        <v>-1</v>
      </c>
      <c r="V62" s="7">
        <v>0.12590000000000001</v>
      </c>
      <c r="W62" s="7">
        <v>7.9699999999999993E-2</v>
      </c>
      <c r="X62" s="7">
        <v>0.1135</v>
      </c>
      <c r="Y62" s="7">
        <v>-1</v>
      </c>
      <c r="Z62" s="7">
        <v>-1</v>
      </c>
      <c r="AA62" s="7">
        <v>-1</v>
      </c>
      <c r="AC62">
        <v>30</v>
      </c>
    </row>
    <row r="63" spans="1:33" x14ac:dyDescent="0.3">
      <c r="A63" s="8">
        <v>0.85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</v>
      </c>
      <c r="I63" s="7">
        <v>1</v>
      </c>
      <c r="J63" s="7">
        <v>1</v>
      </c>
      <c r="K63" s="7">
        <v>0</v>
      </c>
      <c r="L63" s="7">
        <v>0</v>
      </c>
      <c r="M63" s="7">
        <v>0</v>
      </c>
      <c r="N63" s="7"/>
      <c r="O63" s="8">
        <v>0.85</v>
      </c>
      <c r="P63" s="7">
        <v>-1</v>
      </c>
      <c r="Q63" s="7">
        <v>-1</v>
      </c>
      <c r="R63" s="7">
        <v>-1</v>
      </c>
      <c r="S63" s="7">
        <v>-1</v>
      </c>
      <c r="T63" s="7">
        <v>-1</v>
      </c>
      <c r="U63" s="7">
        <v>-1</v>
      </c>
      <c r="V63" s="7">
        <v>0.12429999999999999</v>
      </c>
      <c r="W63" s="7">
        <v>7.7600000000000002E-2</v>
      </c>
      <c r="X63" s="7">
        <v>0.106</v>
      </c>
      <c r="Y63" s="7">
        <v>-1</v>
      </c>
      <c r="Z63" s="7">
        <v>-1</v>
      </c>
      <c r="AA63" s="7">
        <v>-1</v>
      </c>
      <c r="AC63">
        <v>30</v>
      </c>
    </row>
    <row r="64" spans="1:33" x14ac:dyDescent="0.3">
      <c r="A64" s="8">
        <v>0.9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1</v>
      </c>
      <c r="I64" s="7">
        <v>1</v>
      </c>
      <c r="J64" s="7">
        <v>1</v>
      </c>
      <c r="K64" s="7">
        <v>1</v>
      </c>
      <c r="L64" s="7">
        <v>0</v>
      </c>
      <c r="M64" s="7">
        <v>0</v>
      </c>
      <c r="N64" s="7"/>
      <c r="O64" s="8">
        <v>0.9</v>
      </c>
      <c r="P64" s="7">
        <v>-1</v>
      </c>
      <c r="Q64" s="7">
        <v>-1</v>
      </c>
      <c r="R64" s="7">
        <v>-1</v>
      </c>
      <c r="S64" s="7">
        <v>-1</v>
      </c>
      <c r="T64" s="7">
        <v>-1</v>
      </c>
      <c r="U64" s="7">
        <v>-1</v>
      </c>
      <c r="V64" s="7">
        <v>0.12429999999999999</v>
      </c>
      <c r="W64" s="7">
        <v>7.0400000000000004E-2</v>
      </c>
      <c r="X64" s="7">
        <v>0.10349999999999999</v>
      </c>
      <c r="Y64" s="7">
        <v>7.4999999999999997E-3</v>
      </c>
      <c r="Z64" s="7">
        <v>-1</v>
      </c>
      <c r="AA64" s="7">
        <v>-1</v>
      </c>
      <c r="AC64">
        <v>30</v>
      </c>
    </row>
    <row r="65" spans="1:29" x14ac:dyDescent="0.3">
      <c r="A65" s="8">
        <v>0.95</v>
      </c>
      <c r="B65" s="7">
        <v>1</v>
      </c>
      <c r="C65" s="7">
        <v>0</v>
      </c>
      <c r="D65" s="7">
        <v>1</v>
      </c>
      <c r="E65" s="7">
        <v>1</v>
      </c>
      <c r="F65" s="7">
        <v>0</v>
      </c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0</v>
      </c>
      <c r="M65" s="7">
        <v>1</v>
      </c>
      <c r="N65" s="7"/>
      <c r="O65" s="8">
        <v>0.95</v>
      </c>
      <c r="P65" s="7">
        <v>6.7000000000000002E-3</v>
      </c>
      <c r="Q65" s="7">
        <v>-1</v>
      </c>
      <c r="R65" s="7">
        <v>4.0000000000000001E-3</v>
      </c>
      <c r="S65" s="7">
        <v>6.4000000000000003E-3</v>
      </c>
      <c r="T65" s="7">
        <v>-1</v>
      </c>
      <c r="U65" s="7">
        <v>4.5999999999999999E-3</v>
      </c>
      <c r="V65" s="7">
        <v>0.12429999999999999</v>
      </c>
      <c r="W65" s="7">
        <v>6.4799999999999996E-2</v>
      </c>
      <c r="X65" s="7">
        <v>0.1013</v>
      </c>
      <c r="Y65" s="7">
        <v>8.8999999999999999E-3</v>
      </c>
      <c r="Z65" s="7">
        <v>-1</v>
      </c>
      <c r="AA65" s="7">
        <v>7.3000000000000001E-3</v>
      </c>
      <c r="AC65">
        <v>30</v>
      </c>
    </row>
    <row r="66" spans="1:29" x14ac:dyDescent="0.3">
      <c r="A66" s="8">
        <v>0.99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/>
      <c r="O66" s="8">
        <v>0.99</v>
      </c>
      <c r="P66" s="7">
        <v>7.0000000000000001E-3</v>
      </c>
      <c r="Q66" s="7">
        <v>3.3999999999999998E-3</v>
      </c>
      <c r="R66" s="7">
        <v>5.5999999999999999E-3</v>
      </c>
      <c r="S66" s="7">
        <v>6.8999999999999999E-3</v>
      </c>
      <c r="T66" s="7">
        <v>3.3999999999999998E-3</v>
      </c>
      <c r="U66" s="7">
        <v>5.4999999999999997E-3</v>
      </c>
      <c r="V66" s="7">
        <v>0.12429999999999999</v>
      </c>
      <c r="W66" s="7">
        <v>6.3200000000000006E-2</v>
      </c>
      <c r="X66" s="7">
        <v>0.1009</v>
      </c>
      <c r="Y66" s="7">
        <v>8.8000000000000005E-3</v>
      </c>
      <c r="Z66" s="7">
        <v>4.3E-3</v>
      </c>
      <c r="AA66" s="7">
        <v>6.8999999999999999E-3</v>
      </c>
      <c r="AC66">
        <v>30</v>
      </c>
    </row>
    <row r="70" spans="1:29" ht="15" thickBot="1" x14ac:dyDescent="0.35">
      <c r="B70" s="5" t="s">
        <v>17</v>
      </c>
      <c r="C70" s="5" t="s">
        <v>18</v>
      </c>
      <c r="D70" s="5" t="s">
        <v>19</v>
      </c>
      <c r="E70" s="5" t="s">
        <v>20</v>
      </c>
      <c r="F70" s="5" t="s">
        <v>21</v>
      </c>
      <c r="G70" s="5" t="s">
        <v>22</v>
      </c>
      <c r="H70" s="5" t="s">
        <v>23</v>
      </c>
      <c r="I70" s="5" t="s">
        <v>24</v>
      </c>
      <c r="J70" s="5" t="s">
        <v>25</v>
      </c>
      <c r="K70" s="5" t="s">
        <v>26</v>
      </c>
      <c r="L70" s="5" t="s">
        <v>27</v>
      </c>
      <c r="M70" s="5" t="s">
        <v>28</v>
      </c>
    </row>
    <row r="71" spans="1:29" x14ac:dyDescent="0.3">
      <c r="A71" s="6" t="s">
        <v>29</v>
      </c>
      <c r="B71">
        <f xml:space="preserve"> INDEX($AC4:$AC66,MATCH(MAX(P4:P66),P4:P66,0),0)</f>
        <v>2</v>
      </c>
      <c r="C71">
        <f t="shared" ref="C71:M71" si="0" xml:space="preserve"> INDEX($AC4:$AC66,MATCH(MAX(Q4:Q66),Q4:Q66,0),0)</f>
        <v>2</v>
      </c>
      <c r="D71">
        <f t="shared" si="0"/>
        <v>2</v>
      </c>
      <c r="E71">
        <f t="shared" si="0"/>
        <v>2</v>
      </c>
      <c r="F71">
        <f t="shared" si="0"/>
        <v>2</v>
      </c>
      <c r="G71">
        <f t="shared" si="0"/>
        <v>2</v>
      </c>
      <c r="H71">
        <f t="shared" si="0"/>
        <v>2</v>
      </c>
      <c r="I71">
        <f t="shared" si="0"/>
        <v>2</v>
      </c>
      <c r="J71">
        <f t="shared" si="0"/>
        <v>30</v>
      </c>
      <c r="K71">
        <f t="shared" si="0"/>
        <v>2</v>
      </c>
      <c r="L71">
        <f t="shared" si="0"/>
        <v>2</v>
      </c>
      <c r="M71">
        <f t="shared" si="0"/>
        <v>2</v>
      </c>
    </row>
    <row r="72" spans="1:29" x14ac:dyDescent="0.3">
      <c r="A72" s="6" t="s">
        <v>0</v>
      </c>
      <c r="B72">
        <f xml:space="preserve"> INDEX($A4:$A66,MATCH(MAX(P4:P66),P4:P66,0),0)</f>
        <v>0.65</v>
      </c>
      <c r="C72">
        <f xml:space="preserve"> INDEX($A4:$A66,MATCH(MAX(Q4:Q66),Q4:Q66,0),0)</f>
        <v>0.8</v>
      </c>
      <c r="D72">
        <f t="shared" ref="C72:M72" si="1" xml:space="preserve"> INDEX($A4:$A66,MATCH(MAX(R4:R66),R4:R66,0),0)</f>
        <v>0.8</v>
      </c>
      <c r="E72">
        <f t="shared" si="1"/>
        <v>0.65</v>
      </c>
      <c r="F72">
        <f t="shared" si="1"/>
        <v>0.85</v>
      </c>
      <c r="G72">
        <f t="shared" si="1"/>
        <v>0.75</v>
      </c>
      <c r="H72">
        <f t="shared" si="1"/>
        <v>0.7</v>
      </c>
      <c r="I72">
        <f t="shared" si="1"/>
        <v>0.65</v>
      </c>
      <c r="J72">
        <f t="shared" si="1"/>
        <v>0.75</v>
      </c>
      <c r="K72">
        <f t="shared" si="1"/>
        <v>0.6</v>
      </c>
      <c r="L72">
        <f t="shared" si="1"/>
        <v>0.8</v>
      </c>
      <c r="M72">
        <f t="shared" si="1"/>
        <v>0.7</v>
      </c>
    </row>
    <row r="73" spans="1:29" x14ac:dyDescent="0.3">
      <c r="A73" s="6" t="s">
        <v>30</v>
      </c>
      <c r="B73">
        <f>MAX(P4:P49)</f>
        <v>0.1211</v>
      </c>
      <c r="C73">
        <f t="shared" ref="C73:M73" si="2">MAX(Q4:Q49)</f>
        <v>9.1800000000000007E-2</v>
      </c>
      <c r="D73">
        <f t="shared" si="2"/>
        <v>0.1202</v>
      </c>
      <c r="E73">
        <f t="shared" si="2"/>
        <v>0.1288</v>
      </c>
      <c r="F73">
        <f t="shared" si="2"/>
        <v>9.5500000000000002E-2</v>
      </c>
      <c r="G73">
        <f t="shared" si="2"/>
        <v>0.12189999999999999</v>
      </c>
      <c r="H73">
        <f t="shared" si="2"/>
        <v>0.13830000000000001</v>
      </c>
      <c r="I73">
        <f t="shared" si="2"/>
        <v>0.113</v>
      </c>
      <c r="J73">
        <f t="shared" si="2"/>
        <v>0.1164</v>
      </c>
      <c r="K73">
        <f t="shared" si="2"/>
        <v>9.6199999999999994E-2</v>
      </c>
      <c r="L73">
        <f t="shared" si="2"/>
        <v>9.0700000000000003E-2</v>
      </c>
      <c r="M73">
        <f t="shared" si="2"/>
        <v>0.1052</v>
      </c>
    </row>
    <row r="74" spans="1:29" x14ac:dyDescent="0.3">
      <c r="A74" s="6" t="s">
        <v>32</v>
      </c>
      <c r="B74">
        <f xml:space="preserve"> INDEX(B4:B66,MATCH(MAX(P4:P66),P4:P66,0),0)</f>
        <v>45</v>
      </c>
      <c r="C74">
        <f t="shared" ref="C74:M74" si="3">INDEX(C4:C66,MATCH(MAX(Q4:Q66),Q4:Q66,0),0)</f>
        <v>43</v>
      </c>
      <c r="D74">
        <f t="shared" si="3"/>
        <v>47</v>
      </c>
      <c r="E74">
        <f t="shared" si="3"/>
        <v>46</v>
      </c>
      <c r="F74">
        <f t="shared" si="3"/>
        <v>45</v>
      </c>
      <c r="G74">
        <f t="shared" si="3"/>
        <v>46</v>
      </c>
      <c r="H74">
        <f t="shared" si="3"/>
        <v>3</v>
      </c>
      <c r="I74">
        <f t="shared" si="3"/>
        <v>22</v>
      </c>
      <c r="J74">
        <f t="shared" si="3"/>
        <v>1</v>
      </c>
      <c r="K74">
        <f t="shared" si="3"/>
        <v>27</v>
      </c>
      <c r="L74">
        <f t="shared" si="3"/>
        <v>30</v>
      </c>
      <c r="M74">
        <f t="shared" si="3"/>
        <v>30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9497-D2AC-43F2-9D75-B10ACD74C396}">
  <dimension ref="A1:AH74"/>
  <sheetViews>
    <sheetView topLeftCell="A39" zoomScale="61" workbookViewId="0">
      <selection activeCell="B71" sqref="B71:M74"/>
    </sheetView>
  </sheetViews>
  <sheetFormatPr baseColWidth="10" defaultRowHeight="14.4" x14ac:dyDescent="0.3"/>
  <sheetData>
    <row r="1" spans="1:34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3">
      <c r="A2" s="7" t="s">
        <v>32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13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4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31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/>
      <c r="O3" s="7" t="s">
        <v>0</v>
      </c>
      <c r="P3" s="7" t="s">
        <v>1</v>
      </c>
      <c r="Q3" s="7" t="s">
        <v>2</v>
      </c>
      <c r="R3" s="7" t="s">
        <v>3</v>
      </c>
      <c r="S3" s="7" t="s">
        <v>4</v>
      </c>
      <c r="T3" s="7" t="s">
        <v>31</v>
      </c>
      <c r="U3" s="7" t="s">
        <v>5</v>
      </c>
      <c r="V3" s="7" t="s">
        <v>6</v>
      </c>
      <c r="W3" s="7" t="s">
        <v>7</v>
      </c>
      <c r="X3" s="7" t="s">
        <v>8</v>
      </c>
      <c r="Y3" s="7" t="s">
        <v>9</v>
      </c>
      <c r="Z3" s="7" t="s">
        <v>10</v>
      </c>
      <c r="AA3" s="7" t="s">
        <v>11</v>
      </c>
      <c r="AB3" s="7"/>
    </row>
    <row r="4" spans="1:34" x14ac:dyDescent="0.3">
      <c r="A4" s="8">
        <v>0.3</v>
      </c>
      <c r="B4" s="7">
        <v>7</v>
      </c>
      <c r="C4" s="7">
        <v>3</v>
      </c>
      <c r="D4" s="7">
        <v>4</v>
      </c>
      <c r="E4" s="7">
        <v>10</v>
      </c>
      <c r="F4" s="7">
        <v>7</v>
      </c>
      <c r="G4" s="7">
        <v>8</v>
      </c>
      <c r="H4" s="7">
        <v>12</v>
      </c>
      <c r="I4" s="7">
        <v>13</v>
      </c>
      <c r="J4" s="7">
        <v>10</v>
      </c>
      <c r="K4" s="7">
        <v>7</v>
      </c>
      <c r="L4" s="7">
        <v>9</v>
      </c>
      <c r="M4" s="7">
        <v>9</v>
      </c>
      <c r="N4" s="7"/>
      <c r="O4" s="8">
        <v>0.3</v>
      </c>
      <c r="P4" s="7">
        <f>0.024</f>
        <v>2.4E-2</v>
      </c>
      <c r="Q4" s="7">
        <v>1.26E-2</v>
      </c>
      <c r="R4" s="7">
        <f>0.004</f>
        <v>4.0000000000000001E-3</v>
      </c>
      <c r="S4" s="7">
        <f>0.0186</f>
        <v>1.8599999999999998E-2</v>
      </c>
      <c r="T4" s="7">
        <f>0.0175</f>
        <v>1.7500000000000002E-2</v>
      </c>
      <c r="U4" s="7">
        <f>0.0003</f>
        <v>2.9999999999999997E-4</v>
      </c>
      <c r="V4" s="7">
        <v>0.15570000000000001</v>
      </c>
      <c r="W4" s="7">
        <f>0.0221</f>
        <v>2.2100000000000002E-2</v>
      </c>
      <c r="X4" s="7">
        <v>0.14949999999999999</v>
      </c>
      <c r="Y4" s="7">
        <v>7.6799999999999993E-2</v>
      </c>
      <c r="Z4" s="7">
        <v>7.9100000000000004E-2</v>
      </c>
      <c r="AA4" s="7">
        <v>7.8799999999999995E-2</v>
      </c>
      <c r="AB4" s="7"/>
      <c r="AC4">
        <v>2</v>
      </c>
    </row>
    <row r="5" spans="1:34" x14ac:dyDescent="0.3">
      <c r="A5" s="8">
        <v>0.4</v>
      </c>
      <c r="B5" s="7">
        <v>8</v>
      </c>
      <c r="C5" s="7">
        <v>4</v>
      </c>
      <c r="D5" s="7">
        <v>7</v>
      </c>
      <c r="E5" s="7">
        <v>12</v>
      </c>
      <c r="F5" s="7">
        <v>8</v>
      </c>
      <c r="G5" s="7">
        <v>11</v>
      </c>
      <c r="H5" s="7">
        <v>11</v>
      </c>
      <c r="I5" s="7">
        <v>10</v>
      </c>
      <c r="J5" s="7">
        <v>11</v>
      </c>
      <c r="K5" s="7">
        <v>7</v>
      </c>
      <c r="L5" s="7">
        <v>9</v>
      </c>
      <c r="M5" s="7">
        <v>7</v>
      </c>
      <c r="N5" s="7"/>
      <c r="O5" s="8">
        <v>0.4</v>
      </c>
      <c r="P5" s="7">
        <f>0.0177</f>
        <v>1.77E-2</v>
      </c>
      <c r="Q5" s="7">
        <v>1.3100000000000001E-2</v>
      </c>
      <c r="R5" s="7">
        <v>3.3999999999999998E-3</v>
      </c>
      <c r="S5" s="7">
        <v>2.0500000000000001E-2</v>
      </c>
      <c r="T5" s="7">
        <f>0.0108</f>
        <v>1.0800000000000001E-2</v>
      </c>
      <c r="U5" s="7">
        <v>2.4E-2</v>
      </c>
      <c r="V5" s="7">
        <v>0.25540000000000002</v>
      </c>
      <c r="W5" s="7">
        <v>6.3899999999999998E-2</v>
      </c>
      <c r="X5" s="7">
        <v>0.27789999999999998</v>
      </c>
      <c r="Y5" s="7">
        <v>8.2100000000000006E-2</v>
      </c>
      <c r="Z5" s="7">
        <v>9.2600000000000002E-2</v>
      </c>
      <c r="AA5" s="7">
        <v>9.5399999999999999E-2</v>
      </c>
      <c r="AB5" s="7"/>
      <c r="AC5">
        <v>2</v>
      </c>
    </row>
    <row r="6" spans="1:34" x14ac:dyDescent="0.3">
      <c r="A6" s="8">
        <v>0.5</v>
      </c>
      <c r="B6" s="7">
        <v>12</v>
      </c>
      <c r="C6" s="7">
        <v>7</v>
      </c>
      <c r="D6" s="7">
        <v>9</v>
      </c>
      <c r="E6" s="7">
        <v>14</v>
      </c>
      <c r="F6" s="7">
        <v>10</v>
      </c>
      <c r="G6" s="7">
        <v>13</v>
      </c>
      <c r="H6" s="7">
        <v>10</v>
      </c>
      <c r="I6" s="7">
        <v>12</v>
      </c>
      <c r="J6" s="7">
        <v>12</v>
      </c>
      <c r="K6" s="7">
        <v>10</v>
      </c>
      <c r="L6" s="7">
        <v>7</v>
      </c>
      <c r="M6" s="7">
        <v>8</v>
      </c>
      <c r="N6" s="7"/>
      <c r="O6" s="8">
        <v>0.5</v>
      </c>
      <c r="P6" s="7">
        <v>2.0199999999999999E-2</v>
      </c>
      <c r="Q6" s="7">
        <v>2.0500000000000001E-2</v>
      </c>
      <c r="R6" s="7">
        <v>3.1899999999999998E-2</v>
      </c>
      <c r="S6" s="7">
        <v>0.115</v>
      </c>
      <c r="T6" s="7">
        <v>3.9699999999999999E-2</v>
      </c>
      <c r="U6" s="7">
        <v>8.9399999999999993E-2</v>
      </c>
      <c r="V6" s="7">
        <v>0.29649999999999999</v>
      </c>
      <c r="W6" s="7">
        <v>0.12609999999999999</v>
      </c>
      <c r="X6" s="7">
        <v>0.28960000000000002</v>
      </c>
      <c r="Y6" s="7">
        <v>8.6999999999999994E-2</v>
      </c>
      <c r="Z6" s="7">
        <v>9.6699999999999994E-2</v>
      </c>
      <c r="AA6" s="7">
        <v>8.8900000000000007E-2</v>
      </c>
      <c r="AB6" s="7"/>
      <c r="AC6">
        <v>2</v>
      </c>
    </row>
    <row r="7" spans="1:34" x14ac:dyDescent="0.3">
      <c r="A7" s="8">
        <v>0.6</v>
      </c>
      <c r="B7" s="7">
        <v>18</v>
      </c>
      <c r="C7" s="7">
        <v>8</v>
      </c>
      <c r="D7" s="7">
        <v>16</v>
      </c>
      <c r="E7" s="7">
        <v>12</v>
      </c>
      <c r="F7" s="7">
        <v>12</v>
      </c>
      <c r="G7" s="7">
        <v>12</v>
      </c>
      <c r="H7" s="7">
        <v>4</v>
      </c>
      <c r="I7" s="7">
        <v>11</v>
      </c>
      <c r="J7" s="7">
        <v>6</v>
      </c>
      <c r="K7" s="7">
        <v>10</v>
      </c>
      <c r="L7" s="7">
        <v>7</v>
      </c>
      <c r="M7" s="7">
        <v>10</v>
      </c>
      <c r="N7" s="7"/>
      <c r="O7" s="8">
        <v>0.6</v>
      </c>
      <c r="P7" s="7">
        <v>2.2800000000000001E-2</v>
      </c>
      <c r="Q7" s="7">
        <v>2.4E-2</v>
      </c>
      <c r="R7" s="7">
        <v>3.7999999999999999E-2</v>
      </c>
      <c r="S7" s="7">
        <v>8.9700000000000002E-2</v>
      </c>
      <c r="T7" s="7">
        <v>6.1400000000000003E-2</v>
      </c>
      <c r="U7" s="7">
        <v>0.10879999999999999</v>
      </c>
      <c r="V7" s="7">
        <v>0.30249999999999999</v>
      </c>
      <c r="W7" s="7">
        <v>0.2172</v>
      </c>
      <c r="X7" s="7">
        <v>0.312</v>
      </c>
      <c r="Y7" s="7">
        <v>8.4000000000000005E-2</v>
      </c>
      <c r="Z7" s="7">
        <v>9.6699999999999994E-2</v>
      </c>
      <c r="AA7" s="7">
        <v>8.9200000000000002E-2</v>
      </c>
      <c r="AB7" s="7"/>
      <c r="AC7">
        <v>2</v>
      </c>
    </row>
    <row r="8" spans="1:34" x14ac:dyDescent="0.3">
      <c r="A8" s="8">
        <v>0.65</v>
      </c>
      <c r="B8" s="7">
        <v>20</v>
      </c>
      <c r="C8" s="7">
        <v>9</v>
      </c>
      <c r="D8" s="7">
        <v>21</v>
      </c>
      <c r="E8" s="7">
        <v>12</v>
      </c>
      <c r="F8" s="7">
        <v>12</v>
      </c>
      <c r="G8" s="7">
        <v>13</v>
      </c>
      <c r="H8" s="7">
        <v>3</v>
      </c>
      <c r="I8" s="7">
        <v>14</v>
      </c>
      <c r="J8" s="7">
        <v>6</v>
      </c>
      <c r="K8" s="7">
        <v>7</v>
      </c>
      <c r="L8" s="7">
        <v>7</v>
      </c>
      <c r="M8" s="7">
        <v>10</v>
      </c>
      <c r="N8" s="7"/>
      <c r="O8" s="8">
        <v>0.65</v>
      </c>
      <c r="P8" s="7">
        <v>1.2E-2</v>
      </c>
      <c r="Q8" s="7">
        <v>2.7699999999999999E-2</v>
      </c>
      <c r="R8" s="7">
        <v>3.6999999999999998E-2</v>
      </c>
      <c r="S8" s="7">
        <v>9.0399999999999994E-2</v>
      </c>
      <c r="T8" s="7">
        <v>6.6900000000000001E-2</v>
      </c>
      <c r="U8" s="7">
        <v>9.6600000000000005E-2</v>
      </c>
      <c r="V8" s="7">
        <v>0.29360000000000003</v>
      </c>
      <c r="W8" s="7">
        <v>0.20150000000000001</v>
      </c>
      <c r="X8" s="7">
        <v>0.28389999999999999</v>
      </c>
      <c r="Y8" s="7">
        <v>5.0999999999999997E-2</v>
      </c>
      <c r="Z8" s="7">
        <v>0.1003</v>
      </c>
      <c r="AA8" s="7">
        <v>8.4099999999999994E-2</v>
      </c>
      <c r="AB8" s="7"/>
      <c r="AC8">
        <v>2</v>
      </c>
    </row>
    <row r="9" spans="1:34" x14ac:dyDescent="0.3">
      <c r="A9" s="8">
        <v>0.7</v>
      </c>
      <c r="B9" s="7">
        <v>12</v>
      </c>
      <c r="C9" s="7">
        <v>10</v>
      </c>
      <c r="D9" s="7">
        <v>13</v>
      </c>
      <c r="E9" s="7">
        <v>11</v>
      </c>
      <c r="F9" s="7">
        <v>14</v>
      </c>
      <c r="G9" s="7">
        <v>10</v>
      </c>
      <c r="H9" s="7">
        <v>2</v>
      </c>
      <c r="I9" s="7">
        <v>10</v>
      </c>
      <c r="J9" s="7">
        <v>3</v>
      </c>
      <c r="K9" s="7">
        <v>4</v>
      </c>
      <c r="L9" s="7">
        <v>9</v>
      </c>
      <c r="M9" s="7">
        <v>8</v>
      </c>
      <c r="N9" s="7"/>
      <c r="O9" s="8">
        <v>0.7</v>
      </c>
      <c r="P9" s="7">
        <v>2.2499999999999999E-2</v>
      </c>
      <c r="Q9" s="7">
        <v>2.69E-2</v>
      </c>
      <c r="R9" s="7">
        <v>2.7400000000000001E-2</v>
      </c>
      <c r="S9" s="7">
        <v>8.5599999999999996E-2</v>
      </c>
      <c r="T9" s="7">
        <v>7.9200000000000007E-2</v>
      </c>
      <c r="U9" s="7">
        <v>8.9499999999999996E-2</v>
      </c>
      <c r="V9" s="7">
        <v>0.3034</v>
      </c>
      <c r="W9" s="7">
        <v>0.2097</v>
      </c>
      <c r="X9" s="7">
        <v>0.27679999999999999</v>
      </c>
      <c r="Y9" s="7">
        <v>5.7599999999999998E-2</v>
      </c>
      <c r="Z9" s="7">
        <v>8.14E-2</v>
      </c>
      <c r="AA9" s="7">
        <v>7.3499999999999996E-2</v>
      </c>
      <c r="AB9" s="7"/>
      <c r="AC9">
        <v>2</v>
      </c>
    </row>
    <row r="10" spans="1:34" x14ac:dyDescent="0.3">
      <c r="A10" s="8">
        <v>0.75</v>
      </c>
      <c r="B10" s="7">
        <v>7</v>
      </c>
      <c r="C10" s="7">
        <v>16</v>
      </c>
      <c r="D10" s="7">
        <v>14</v>
      </c>
      <c r="E10" s="7">
        <v>8</v>
      </c>
      <c r="F10" s="7">
        <v>12</v>
      </c>
      <c r="G10" s="7">
        <v>11</v>
      </c>
      <c r="H10" s="7">
        <v>2</v>
      </c>
      <c r="I10" s="7">
        <v>6</v>
      </c>
      <c r="J10" s="7">
        <v>3</v>
      </c>
      <c r="K10" s="7">
        <v>3</v>
      </c>
      <c r="L10" s="7">
        <v>10</v>
      </c>
      <c r="M10" s="7">
        <v>8</v>
      </c>
      <c r="N10" s="7"/>
      <c r="O10" s="8">
        <v>0.75</v>
      </c>
      <c r="P10" s="7">
        <v>2.4400000000000002E-2</v>
      </c>
      <c r="Q10" s="7">
        <v>3.8199999999999998E-2</v>
      </c>
      <c r="R10" s="7">
        <v>3.9699999999999999E-2</v>
      </c>
      <c r="S10" s="7">
        <v>8.6800000000000002E-2</v>
      </c>
      <c r="T10" s="7">
        <v>8.0299999999999996E-2</v>
      </c>
      <c r="U10" s="7">
        <v>8.4099999999999994E-2</v>
      </c>
      <c r="V10" s="7">
        <v>0.3034</v>
      </c>
      <c r="W10" s="7">
        <v>0.22059999999999999</v>
      </c>
      <c r="X10" s="7">
        <v>0.27439999999999998</v>
      </c>
      <c r="Y10" s="7">
        <v>5.5800000000000002E-2</v>
      </c>
      <c r="Z10" s="7">
        <v>7.5399999999999995E-2</v>
      </c>
      <c r="AA10" s="7">
        <v>4.7E-2</v>
      </c>
      <c r="AB10" s="7"/>
      <c r="AC10">
        <v>2</v>
      </c>
    </row>
    <row r="11" spans="1:34" x14ac:dyDescent="0.3">
      <c r="A11" s="8">
        <v>0.8</v>
      </c>
      <c r="B11" s="7">
        <v>2</v>
      </c>
      <c r="C11" s="7">
        <v>18</v>
      </c>
      <c r="D11" s="7">
        <v>6</v>
      </c>
      <c r="E11" s="7">
        <v>3</v>
      </c>
      <c r="F11" s="7">
        <v>11</v>
      </c>
      <c r="G11" s="7">
        <v>8</v>
      </c>
      <c r="H11" s="7">
        <v>2</v>
      </c>
      <c r="I11" s="7">
        <v>3</v>
      </c>
      <c r="J11" s="7">
        <v>2</v>
      </c>
      <c r="K11" s="7">
        <v>2</v>
      </c>
      <c r="L11" s="7">
        <v>10</v>
      </c>
      <c r="M11" s="7">
        <v>4</v>
      </c>
      <c r="N11" s="7"/>
      <c r="O11" s="8">
        <v>0.8</v>
      </c>
      <c r="P11" s="7">
        <v>4.6800000000000001E-2</v>
      </c>
      <c r="Q11" s="7">
        <v>3.4700000000000002E-2</v>
      </c>
      <c r="R11" s="7">
        <v>5.0500000000000003E-2</v>
      </c>
      <c r="S11" s="7">
        <v>6.9800000000000001E-2</v>
      </c>
      <c r="T11" s="7">
        <v>6.54E-2</v>
      </c>
      <c r="U11" s="7">
        <v>8.4699999999999998E-2</v>
      </c>
      <c r="V11" s="7">
        <v>0.30270000000000002</v>
      </c>
      <c r="W11" s="7">
        <v>0.1925</v>
      </c>
      <c r="X11" s="7">
        <v>0.26819999999999999</v>
      </c>
      <c r="Y11" s="7">
        <v>5.2499999999999998E-2</v>
      </c>
      <c r="Z11" s="7">
        <v>7.0300000000000001E-2</v>
      </c>
      <c r="AA11" s="7">
        <v>4.9000000000000002E-2</v>
      </c>
      <c r="AB11" s="7"/>
      <c r="AC11">
        <v>2</v>
      </c>
    </row>
    <row r="12" spans="1:34" x14ac:dyDescent="0.3">
      <c r="A12" s="8">
        <v>0.85</v>
      </c>
      <c r="B12" s="7">
        <v>1</v>
      </c>
      <c r="C12" s="7">
        <v>15</v>
      </c>
      <c r="D12" s="7">
        <v>4</v>
      </c>
      <c r="E12" s="7">
        <v>1</v>
      </c>
      <c r="F12" s="7">
        <v>10</v>
      </c>
      <c r="G12" s="7">
        <v>6</v>
      </c>
      <c r="H12" s="7">
        <v>1</v>
      </c>
      <c r="I12" s="7">
        <v>3</v>
      </c>
      <c r="J12" s="7">
        <v>2</v>
      </c>
      <c r="K12" s="7">
        <v>2</v>
      </c>
      <c r="L12" s="7">
        <v>8</v>
      </c>
      <c r="M12" s="7">
        <v>2</v>
      </c>
      <c r="N12" s="7"/>
      <c r="O12" s="8">
        <v>0.85</v>
      </c>
      <c r="P12" s="7">
        <v>4.0899999999999999E-2</v>
      </c>
      <c r="Q12" s="7">
        <v>2.7900000000000001E-2</v>
      </c>
      <c r="R12" s="7">
        <v>4.6800000000000001E-2</v>
      </c>
      <c r="S12" s="7">
        <v>5.6000000000000001E-2</v>
      </c>
      <c r="T12" s="7">
        <v>4.8099999999999997E-2</v>
      </c>
      <c r="U12" s="7">
        <v>7.5499999999999998E-2</v>
      </c>
      <c r="V12" s="7">
        <v>0.29720000000000002</v>
      </c>
      <c r="W12" s="7">
        <v>0.1925</v>
      </c>
      <c r="X12" s="7">
        <v>0.26719999999999999</v>
      </c>
      <c r="Y12" s="7">
        <v>5.3199999999999997E-2</v>
      </c>
      <c r="Z12" s="7">
        <v>3.2500000000000001E-2</v>
      </c>
      <c r="AA12" s="7">
        <v>4.2099999999999999E-2</v>
      </c>
      <c r="AB12" s="7"/>
      <c r="AC12">
        <v>2</v>
      </c>
    </row>
    <row r="13" spans="1:34" x14ac:dyDescent="0.3">
      <c r="A13" s="8">
        <v>0.9</v>
      </c>
      <c r="B13" s="7">
        <v>1</v>
      </c>
      <c r="C13" s="7">
        <v>6</v>
      </c>
      <c r="D13" s="7">
        <v>3</v>
      </c>
      <c r="E13" s="7">
        <v>1</v>
      </c>
      <c r="F13" s="7">
        <v>8</v>
      </c>
      <c r="G13" s="7">
        <v>3</v>
      </c>
      <c r="H13" s="7">
        <v>1</v>
      </c>
      <c r="I13" s="7">
        <v>2</v>
      </c>
      <c r="J13" s="7">
        <v>2</v>
      </c>
      <c r="K13" s="7">
        <v>1</v>
      </c>
      <c r="L13" s="7">
        <v>2</v>
      </c>
      <c r="M13" s="7">
        <v>1</v>
      </c>
      <c r="N13" s="7"/>
      <c r="O13" s="8">
        <v>0.9</v>
      </c>
      <c r="P13" s="7">
        <v>4.4299999999999999E-2</v>
      </c>
      <c r="Q13" s="7">
        <v>3.3700000000000001E-2</v>
      </c>
      <c r="R13" s="7">
        <v>4.2000000000000003E-2</v>
      </c>
      <c r="S13" s="7">
        <v>5.6500000000000002E-2</v>
      </c>
      <c r="T13" s="7">
        <v>5.7000000000000002E-2</v>
      </c>
      <c r="U13" s="7">
        <v>5.8500000000000003E-2</v>
      </c>
      <c r="V13" s="7">
        <v>0.29720000000000002</v>
      </c>
      <c r="W13" s="7">
        <v>0.1825</v>
      </c>
      <c r="X13" s="7">
        <v>0.26590000000000003</v>
      </c>
      <c r="Y13" s="7">
        <v>4.87E-2</v>
      </c>
      <c r="Z13" s="7">
        <v>2.8199999999999999E-2</v>
      </c>
      <c r="AA13" s="7">
        <v>3.7600000000000001E-2</v>
      </c>
      <c r="AB13" s="7"/>
      <c r="AC13">
        <v>2</v>
      </c>
    </row>
    <row r="14" spans="1:34" x14ac:dyDescent="0.3">
      <c r="A14" s="8">
        <v>0.95</v>
      </c>
      <c r="B14" s="7">
        <v>1</v>
      </c>
      <c r="C14" s="7">
        <v>2</v>
      </c>
      <c r="D14" s="7">
        <v>1</v>
      </c>
      <c r="E14" s="7">
        <v>1</v>
      </c>
      <c r="F14" s="7">
        <v>3</v>
      </c>
      <c r="G14" s="7">
        <v>1</v>
      </c>
      <c r="H14" s="7">
        <v>1</v>
      </c>
      <c r="I14" s="7">
        <v>2</v>
      </c>
      <c r="J14" s="7">
        <v>1</v>
      </c>
      <c r="K14" s="7">
        <v>1</v>
      </c>
      <c r="L14" s="7">
        <v>1</v>
      </c>
      <c r="M14" s="7">
        <v>1</v>
      </c>
      <c r="N14" s="7"/>
      <c r="O14" s="8">
        <v>0.95</v>
      </c>
      <c r="P14" s="7">
        <v>4.3999999999999997E-2</v>
      </c>
      <c r="Q14" s="7">
        <v>2.0400000000000001E-2</v>
      </c>
      <c r="R14" s="7">
        <v>3.3599999999999998E-2</v>
      </c>
      <c r="S14" s="7">
        <v>5.6000000000000001E-2</v>
      </c>
      <c r="T14" s="7">
        <v>3.8600000000000002E-2</v>
      </c>
      <c r="U14" s="7">
        <v>4.5199999999999997E-2</v>
      </c>
      <c r="V14" s="7">
        <v>0.29720000000000002</v>
      </c>
      <c r="W14" s="7">
        <v>0.18090000000000001</v>
      </c>
      <c r="X14" s="7">
        <v>0.25769999999999998</v>
      </c>
      <c r="Y14" s="7">
        <v>4.7199999999999999E-2</v>
      </c>
      <c r="Z14" s="7">
        <v>2.46E-2</v>
      </c>
      <c r="AA14" s="7">
        <v>3.6799999999999999E-2</v>
      </c>
      <c r="AB14" s="7"/>
      <c r="AC14">
        <v>2</v>
      </c>
    </row>
    <row r="15" spans="1:34" x14ac:dyDescent="0.3">
      <c r="A15" s="8">
        <v>0.99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/>
      <c r="O15" s="8">
        <v>0.99</v>
      </c>
      <c r="P15" s="7">
        <v>4.36E-2</v>
      </c>
      <c r="Q15" s="7">
        <v>1.77E-2</v>
      </c>
      <c r="R15" s="7">
        <v>3.2500000000000001E-2</v>
      </c>
      <c r="S15" s="7">
        <v>5.5500000000000001E-2</v>
      </c>
      <c r="T15" s="7">
        <v>2.5700000000000001E-2</v>
      </c>
      <c r="U15" s="7">
        <v>4.3400000000000001E-2</v>
      </c>
      <c r="V15" s="7">
        <v>0.29720000000000002</v>
      </c>
      <c r="W15" s="7">
        <v>0.17469999999999999</v>
      </c>
      <c r="X15" s="7">
        <v>0.25769999999999998</v>
      </c>
      <c r="Y15" s="7">
        <v>4.6100000000000002E-2</v>
      </c>
      <c r="Z15" s="7">
        <v>2.3800000000000002E-2</v>
      </c>
      <c r="AA15" s="7">
        <v>3.5700000000000003E-2</v>
      </c>
      <c r="AB15" s="7"/>
      <c r="AC15">
        <v>2</v>
      </c>
    </row>
    <row r="16" spans="1:3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D16" s="7"/>
      <c r="AE16" s="7"/>
      <c r="AF16" s="7"/>
      <c r="AG16" s="7"/>
      <c r="AH16" s="7"/>
    </row>
    <row r="17" spans="1:34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D17" s="7"/>
      <c r="AE17" s="7"/>
      <c r="AF17" s="7"/>
      <c r="AG17" s="7"/>
      <c r="AH17" s="7"/>
    </row>
    <row r="18" spans="1:34" x14ac:dyDescent="0.3">
      <c r="A18" s="7" t="s">
        <v>14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D18" s="7"/>
      <c r="AE18" s="7"/>
      <c r="AF18" s="7"/>
      <c r="AG18" s="7"/>
      <c r="AH18" s="7"/>
    </row>
    <row r="19" spans="1:34" x14ac:dyDescent="0.3">
      <c r="A19" s="7" t="s">
        <v>32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 t="s">
        <v>13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D19" s="7"/>
      <c r="AE19" s="7"/>
    </row>
    <row r="20" spans="1:34" x14ac:dyDescent="0.3">
      <c r="A20" s="7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31</v>
      </c>
      <c r="G20" s="7" t="s">
        <v>5</v>
      </c>
      <c r="H20" s="7" t="s">
        <v>6</v>
      </c>
      <c r="I20" s="7" t="s">
        <v>7</v>
      </c>
      <c r="J20" s="7" t="s">
        <v>8</v>
      </c>
      <c r="K20" s="7" t="s">
        <v>9</v>
      </c>
      <c r="L20" s="7" t="s">
        <v>10</v>
      </c>
      <c r="M20" s="7" t="s">
        <v>11</v>
      </c>
      <c r="N20" s="7"/>
      <c r="O20" s="7" t="s">
        <v>0</v>
      </c>
      <c r="P20" s="7" t="s">
        <v>1</v>
      </c>
      <c r="Q20" s="7" t="s">
        <v>2</v>
      </c>
      <c r="R20" s="7" t="s">
        <v>3</v>
      </c>
      <c r="S20" s="7" t="s">
        <v>4</v>
      </c>
      <c r="T20" s="7" t="s">
        <v>31</v>
      </c>
      <c r="U20" s="7" t="s">
        <v>5</v>
      </c>
      <c r="V20" s="7" t="s">
        <v>6</v>
      </c>
      <c r="W20" s="7" t="s">
        <v>7</v>
      </c>
      <c r="X20" s="7" t="s">
        <v>8</v>
      </c>
      <c r="Y20" s="7" t="s">
        <v>9</v>
      </c>
      <c r="Z20" s="7" t="s">
        <v>10</v>
      </c>
      <c r="AA20" s="7" t="s">
        <v>11</v>
      </c>
      <c r="AB20" s="7"/>
    </row>
    <row r="21" spans="1:34" x14ac:dyDescent="0.3">
      <c r="A21" s="8">
        <v>0.3</v>
      </c>
      <c r="B21" s="7">
        <v>1</v>
      </c>
      <c r="C21" s="7">
        <v>0</v>
      </c>
      <c r="D21" s="7">
        <v>0</v>
      </c>
      <c r="E21" s="7">
        <v>4</v>
      </c>
      <c r="F21" s="7">
        <v>2</v>
      </c>
      <c r="G21" s="7">
        <v>2</v>
      </c>
      <c r="H21" s="7">
        <v>5</v>
      </c>
      <c r="I21" s="7">
        <v>5</v>
      </c>
      <c r="J21" s="7">
        <v>5</v>
      </c>
      <c r="K21" s="7">
        <v>4</v>
      </c>
      <c r="L21" s="7">
        <v>3</v>
      </c>
      <c r="M21" s="7">
        <v>3</v>
      </c>
      <c r="N21" s="7"/>
      <c r="O21" s="8">
        <v>0.3</v>
      </c>
      <c r="P21" s="7">
        <f>0.0283</f>
        <v>2.8299999999999999E-2</v>
      </c>
      <c r="Q21" s="7">
        <v>-1</v>
      </c>
      <c r="R21" s="7">
        <v>-1</v>
      </c>
      <c r="S21" s="7">
        <f>0.0254</f>
        <v>2.5399999999999999E-2</v>
      </c>
      <c r="T21" s="7">
        <f>0.0373</f>
        <v>3.73E-2</v>
      </c>
      <c r="U21" s="7">
        <f>0.009</f>
        <v>8.9999999999999993E-3</v>
      </c>
      <c r="V21" s="7">
        <v>0.12740000000000001</v>
      </c>
      <c r="W21" s="7">
        <f>0.0448</f>
        <v>4.48E-2</v>
      </c>
      <c r="X21" s="7">
        <v>0.14019999999999999</v>
      </c>
      <c r="Y21" s="7">
        <v>5.0900000000000001E-2</v>
      </c>
      <c r="Z21" s="7">
        <v>1.83E-2</v>
      </c>
      <c r="AA21" s="7">
        <v>2.24E-2</v>
      </c>
      <c r="AB21" s="7"/>
      <c r="AC21">
        <v>3</v>
      </c>
    </row>
    <row r="22" spans="1:34" x14ac:dyDescent="0.3">
      <c r="A22" s="8">
        <v>0.4</v>
      </c>
      <c r="B22" s="7">
        <v>2</v>
      </c>
      <c r="C22" s="7">
        <v>0</v>
      </c>
      <c r="D22" s="7">
        <v>1</v>
      </c>
      <c r="E22" s="7">
        <v>5</v>
      </c>
      <c r="F22" s="7">
        <v>2</v>
      </c>
      <c r="G22" s="7">
        <v>5</v>
      </c>
      <c r="H22" s="7">
        <v>3</v>
      </c>
      <c r="I22" s="7">
        <v>6</v>
      </c>
      <c r="J22" s="7">
        <v>3</v>
      </c>
      <c r="K22" s="7">
        <v>4</v>
      </c>
      <c r="L22" s="7">
        <v>3</v>
      </c>
      <c r="M22" s="7">
        <v>4</v>
      </c>
      <c r="N22" s="7"/>
      <c r="O22" s="8">
        <v>0.4</v>
      </c>
      <c r="P22" s="7">
        <f>0.0281</f>
        <v>2.81E-2</v>
      </c>
      <c r="Q22" s="7">
        <v>-1</v>
      </c>
      <c r="R22" s="7">
        <f>0.0044</f>
        <v>4.4000000000000003E-3</v>
      </c>
      <c r="S22" s="7">
        <v>1.9800000000000002E-2</v>
      </c>
      <c r="T22" s="7">
        <f>0.0243</f>
        <v>2.4299999999999999E-2</v>
      </c>
      <c r="U22" s="7">
        <v>1.95E-2</v>
      </c>
      <c r="V22" s="7">
        <v>0.27829999999999999</v>
      </c>
      <c r="W22" s="7">
        <v>4.3299999999999998E-2</v>
      </c>
      <c r="X22" s="7">
        <v>0.28610000000000002</v>
      </c>
      <c r="Y22" s="7">
        <v>5.7299999999999997E-2</v>
      </c>
      <c r="Z22" s="7">
        <v>3.3300000000000003E-2</v>
      </c>
      <c r="AA22" s="7">
        <v>7.0300000000000001E-2</v>
      </c>
      <c r="AB22" s="7"/>
      <c r="AC22">
        <v>3</v>
      </c>
    </row>
    <row r="23" spans="1:34" x14ac:dyDescent="0.3">
      <c r="A23" s="8">
        <v>0.5</v>
      </c>
      <c r="B23" s="7">
        <v>6</v>
      </c>
      <c r="C23" s="7">
        <v>1</v>
      </c>
      <c r="D23" s="7">
        <v>5</v>
      </c>
      <c r="E23" s="7">
        <v>10</v>
      </c>
      <c r="F23" s="7">
        <v>4</v>
      </c>
      <c r="G23" s="7">
        <v>9</v>
      </c>
      <c r="H23" s="7">
        <v>6</v>
      </c>
      <c r="I23" s="7">
        <v>3</v>
      </c>
      <c r="J23" s="7">
        <v>6</v>
      </c>
      <c r="K23" s="7">
        <v>3</v>
      </c>
      <c r="L23" s="7">
        <v>4</v>
      </c>
      <c r="M23" s="7">
        <v>3</v>
      </c>
      <c r="N23" s="7"/>
      <c r="O23" s="8">
        <v>0.5</v>
      </c>
      <c r="P23" s="7">
        <v>5.1000000000000004E-3</v>
      </c>
      <c r="Q23" s="7">
        <f>0.0011</f>
        <v>1.1000000000000001E-3</v>
      </c>
      <c r="R23" s="7">
        <v>2.6200000000000001E-2</v>
      </c>
      <c r="S23" s="7">
        <v>9.4899999999999998E-2</v>
      </c>
      <c r="T23" s="7">
        <v>1.6199999999999999E-2</v>
      </c>
      <c r="U23" s="7">
        <v>8.2600000000000007E-2</v>
      </c>
      <c r="V23" s="9">
        <v>0.29399999999999998</v>
      </c>
      <c r="W23" s="7">
        <v>0.19209999999999999</v>
      </c>
      <c r="X23" s="7">
        <v>0.2782</v>
      </c>
      <c r="Y23" s="7">
        <v>5.6000000000000001E-2</v>
      </c>
      <c r="Z23" s="7">
        <v>7.0300000000000001E-2</v>
      </c>
      <c r="AA23" s="7">
        <v>6.4500000000000002E-2</v>
      </c>
      <c r="AB23" s="7"/>
      <c r="AC23">
        <v>3</v>
      </c>
    </row>
    <row r="24" spans="1:34" x14ac:dyDescent="0.3">
      <c r="A24" s="8">
        <v>0.6</v>
      </c>
      <c r="B24" s="7">
        <v>8</v>
      </c>
      <c r="C24" s="7">
        <v>2</v>
      </c>
      <c r="D24" s="7">
        <v>7</v>
      </c>
      <c r="E24" s="7">
        <v>5</v>
      </c>
      <c r="F24" s="7">
        <v>6</v>
      </c>
      <c r="G24" s="7">
        <v>6</v>
      </c>
      <c r="H24" s="7">
        <v>3</v>
      </c>
      <c r="I24" s="7">
        <v>4</v>
      </c>
      <c r="J24" s="7">
        <v>5</v>
      </c>
      <c r="K24" s="7">
        <v>3</v>
      </c>
      <c r="L24" s="7">
        <v>4</v>
      </c>
      <c r="M24" s="7">
        <v>4</v>
      </c>
      <c r="N24" s="7"/>
      <c r="O24" s="8">
        <v>0.6</v>
      </c>
      <c r="P24" s="7">
        <v>2.0000000000000001E-4</v>
      </c>
      <c r="Q24" s="7">
        <f>0.0002</f>
        <v>2.0000000000000001E-4</v>
      </c>
      <c r="R24" s="7">
        <v>2.58E-2</v>
      </c>
      <c r="S24" s="7">
        <v>8.0399999999999999E-2</v>
      </c>
      <c r="T24" s="7">
        <v>4.4200000000000003E-2</v>
      </c>
      <c r="U24" s="7">
        <v>8.5699999999999998E-2</v>
      </c>
      <c r="V24" s="7">
        <v>0.29559999999999997</v>
      </c>
      <c r="W24" s="7">
        <v>0.1908</v>
      </c>
      <c r="X24" s="7">
        <v>0.30530000000000002</v>
      </c>
      <c r="Y24" s="7">
        <v>7.7600000000000002E-2</v>
      </c>
      <c r="Z24" s="7">
        <v>7.0300000000000001E-2</v>
      </c>
      <c r="AA24" s="7">
        <v>6.4299999999999996E-2</v>
      </c>
      <c r="AB24" s="7"/>
      <c r="AC24">
        <v>3</v>
      </c>
    </row>
    <row r="25" spans="1:34" x14ac:dyDescent="0.3">
      <c r="A25" s="8">
        <v>0.65</v>
      </c>
      <c r="B25" s="7">
        <v>6</v>
      </c>
      <c r="C25" s="7">
        <v>2</v>
      </c>
      <c r="D25" s="7">
        <v>7</v>
      </c>
      <c r="E25" s="7">
        <v>5</v>
      </c>
      <c r="F25" s="7">
        <v>7</v>
      </c>
      <c r="G25" s="7">
        <v>5</v>
      </c>
      <c r="H25" s="7">
        <v>2</v>
      </c>
      <c r="I25" s="7">
        <v>4</v>
      </c>
      <c r="J25" s="7">
        <v>4</v>
      </c>
      <c r="K25" s="7">
        <v>3</v>
      </c>
      <c r="L25" s="7">
        <v>4</v>
      </c>
      <c r="M25" s="7">
        <v>3</v>
      </c>
      <c r="N25" s="7"/>
      <c r="O25" s="8">
        <v>0.65</v>
      </c>
      <c r="P25" s="7">
        <v>3.0099999999999998E-2</v>
      </c>
      <c r="Q25" s="7">
        <f>0.0002</f>
        <v>2.0000000000000001E-4</v>
      </c>
      <c r="R25" s="7">
        <v>2E-3</v>
      </c>
      <c r="S25" s="7">
        <v>9.1399999999999995E-2</v>
      </c>
      <c r="T25" s="7">
        <v>4.8500000000000001E-2</v>
      </c>
      <c r="U25" s="7">
        <v>8.4699999999999998E-2</v>
      </c>
      <c r="V25" s="7">
        <v>0.28760000000000002</v>
      </c>
      <c r="W25" s="7">
        <v>0.19009999999999999</v>
      </c>
      <c r="X25" s="7">
        <v>0.3019</v>
      </c>
      <c r="Y25" s="7">
        <v>5.0500000000000003E-2</v>
      </c>
      <c r="Z25" s="7">
        <v>7.4399999999999994E-2</v>
      </c>
      <c r="AA25" s="7">
        <v>5.8599999999999999E-2</v>
      </c>
      <c r="AB25" s="7"/>
      <c r="AC25">
        <v>3</v>
      </c>
    </row>
    <row r="26" spans="1:34" x14ac:dyDescent="0.3">
      <c r="A26" s="8">
        <v>0.7</v>
      </c>
      <c r="B26" s="7">
        <v>6</v>
      </c>
      <c r="C26" s="7">
        <v>5</v>
      </c>
      <c r="D26" s="7">
        <v>7</v>
      </c>
      <c r="E26" s="7">
        <v>6</v>
      </c>
      <c r="F26" s="7">
        <v>10</v>
      </c>
      <c r="G26" s="7">
        <v>5</v>
      </c>
      <c r="H26" s="7">
        <v>1</v>
      </c>
      <c r="I26" s="7">
        <v>5</v>
      </c>
      <c r="J26" s="7">
        <v>2</v>
      </c>
      <c r="K26" s="7">
        <v>2</v>
      </c>
      <c r="L26" s="7">
        <v>3</v>
      </c>
      <c r="M26" s="7">
        <v>4</v>
      </c>
      <c r="N26" s="7"/>
      <c r="O26" s="8">
        <v>0.7</v>
      </c>
      <c r="P26" s="7">
        <v>3.3E-3</v>
      </c>
      <c r="Q26" s="7">
        <v>2.2800000000000001E-2</v>
      </c>
      <c r="R26" s="7">
        <v>8.0999999999999996E-3</v>
      </c>
      <c r="S26" s="7">
        <v>7.4700000000000003E-2</v>
      </c>
      <c r="T26" s="7">
        <v>8.1900000000000001E-2</v>
      </c>
      <c r="U26" s="7">
        <v>9.5500000000000002E-2</v>
      </c>
      <c r="V26" s="7">
        <v>0.30159999999999998</v>
      </c>
      <c r="W26" s="7">
        <v>0.222</v>
      </c>
      <c r="X26" s="7">
        <v>0.27050000000000002</v>
      </c>
      <c r="Y26" s="7">
        <v>4.9200000000000001E-2</v>
      </c>
      <c r="Z26" s="7">
        <v>5.8500000000000003E-2</v>
      </c>
      <c r="AA26" s="7">
        <v>6.6799999999999998E-2</v>
      </c>
      <c r="AB26" s="7"/>
      <c r="AC26">
        <v>3</v>
      </c>
    </row>
    <row r="27" spans="1:34" x14ac:dyDescent="0.3">
      <c r="A27" s="8">
        <v>0.75</v>
      </c>
      <c r="B27" s="7">
        <v>4</v>
      </c>
      <c r="C27" s="7">
        <v>7</v>
      </c>
      <c r="D27" s="7">
        <v>8</v>
      </c>
      <c r="E27" s="7">
        <v>5</v>
      </c>
      <c r="F27" s="7">
        <v>6</v>
      </c>
      <c r="G27" s="7">
        <v>6</v>
      </c>
      <c r="H27" s="7">
        <v>1</v>
      </c>
      <c r="I27" s="7">
        <v>5</v>
      </c>
      <c r="J27" s="7">
        <v>2</v>
      </c>
      <c r="K27" s="7">
        <v>1</v>
      </c>
      <c r="L27" s="7">
        <v>4</v>
      </c>
      <c r="M27" s="7">
        <v>4</v>
      </c>
      <c r="N27" s="7"/>
      <c r="O27" s="8">
        <v>0.75</v>
      </c>
      <c r="P27" s="7">
        <v>4.2000000000000003E-2</v>
      </c>
      <c r="Q27" s="7">
        <v>2.4E-2</v>
      </c>
      <c r="R27" s="7">
        <v>1.8700000000000001E-2</v>
      </c>
      <c r="S27" s="7">
        <v>7.9100000000000004E-2</v>
      </c>
      <c r="T27" s="7">
        <v>6.4799999999999996E-2</v>
      </c>
      <c r="U27" s="7">
        <v>7.3400000000000007E-2</v>
      </c>
      <c r="V27" s="7">
        <v>0.30159999999999998</v>
      </c>
      <c r="W27" s="7">
        <v>0.21560000000000001</v>
      </c>
      <c r="X27" s="7">
        <v>0.26800000000000002</v>
      </c>
      <c r="Y27" s="7">
        <v>4.8000000000000001E-2</v>
      </c>
      <c r="Z27" s="7">
        <v>5.5399999999999998E-2</v>
      </c>
      <c r="AA27" s="7">
        <v>4.9399999999999999E-2</v>
      </c>
      <c r="AB27" s="7"/>
      <c r="AC27">
        <v>3</v>
      </c>
    </row>
    <row r="28" spans="1:34" x14ac:dyDescent="0.3">
      <c r="A28" s="8">
        <v>0.8</v>
      </c>
      <c r="B28" s="7">
        <v>2</v>
      </c>
      <c r="C28" s="7">
        <v>8</v>
      </c>
      <c r="D28" s="7">
        <v>4</v>
      </c>
      <c r="E28" s="7">
        <v>3</v>
      </c>
      <c r="F28" s="7">
        <v>5</v>
      </c>
      <c r="G28" s="7">
        <v>5</v>
      </c>
      <c r="H28" s="7">
        <v>1</v>
      </c>
      <c r="I28" s="7">
        <v>2</v>
      </c>
      <c r="J28" s="7">
        <v>1</v>
      </c>
      <c r="K28" s="7">
        <v>1</v>
      </c>
      <c r="L28" s="7">
        <v>4</v>
      </c>
      <c r="M28" s="7">
        <v>2</v>
      </c>
      <c r="N28" s="7"/>
      <c r="O28" s="8">
        <v>0.8</v>
      </c>
      <c r="P28" s="7">
        <v>4.6800000000000001E-2</v>
      </c>
      <c r="Q28" s="7">
        <v>1.1599999999999999E-2</v>
      </c>
      <c r="R28" s="7">
        <v>4.5199999999999997E-2</v>
      </c>
      <c r="S28" s="7">
        <v>6.9800000000000001E-2</v>
      </c>
      <c r="T28" s="7">
        <v>6.4100000000000004E-2</v>
      </c>
      <c r="U28" s="7">
        <v>7.4999999999999997E-2</v>
      </c>
      <c r="V28" s="7">
        <v>0.30099999999999999</v>
      </c>
      <c r="W28" s="7">
        <v>0.18770000000000001</v>
      </c>
      <c r="X28" s="7">
        <v>0.26290000000000002</v>
      </c>
      <c r="Y28" s="7">
        <v>4.8599999999999997E-2</v>
      </c>
      <c r="Z28" s="7">
        <v>5.33E-2</v>
      </c>
      <c r="AA28" s="7">
        <v>4.07E-2</v>
      </c>
      <c r="AB28" s="7"/>
      <c r="AC28">
        <v>3</v>
      </c>
    </row>
    <row r="29" spans="1:34" x14ac:dyDescent="0.3">
      <c r="A29" s="8">
        <v>0.85</v>
      </c>
      <c r="B29" s="7">
        <v>1</v>
      </c>
      <c r="C29" s="7">
        <v>9</v>
      </c>
      <c r="D29" s="7">
        <v>3</v>
      </c>
      <c r="E29" s="7">
        <v>1</v>
      </c>
      <c r="F29" s="7">
        <v>6</v>
      </c>
      <c r="G29" s="7">
        <v>5</v>
      </c>
      <c r="H29" s="7">
        <v>1</v>
      </c>
      <c r="I29" s="7">
        <v>2</v>
      </c>
      <c r="J29" s="7">
        <v>1</v>
      </c>
      <c r="K29" s="7">
        <v>1</v>
      </c>
      <c r="L29" s="7">
        <v>3</v>
      </c>
      <c r="M29" s="7">
        <v>1</v>
      </c>
      <c r="N29" s="7"/>
      <c r="O29" s="8">
        <v>0.85</v>
      </c>
      <c r="P29" s="7">
        <v>4.0899999999999999E-2</v>
      </c>
      <c r="Q29" s="7">
        <v>1.83E-2</v>
      </c>
      <c r="R29" s="7">
        <v>4.4299999999999999E-2</v>
      </c>
      <c r="S29" s="7">
        <v>5.6000000000000001E-2</v>
      </c>
      <c r="T29" s="7">
        <v>5.1900000000000002E-2</v>
      </c>
      <c r="U29" s="7">
        <v>7.22E-2</v>
      </c>
      <c r="V29" s="7">
        <v>0.29720000000000002</v>
      </c>
      <c r="W29" s="7">
        <v>0.18770000000000001</v>
      </c>
      <c r="X29" s="7">
        <v>0.26190000000000002</v>
      </c>
      <c r="Y29" s="7">
        <v>4.9399999999999999E-2</v>
      </c>
      <c r="Z29" s="7">
        <v>3.3099999999999997E-2</v>
      </c>
      <c r="AA29" s="7">
        <v>3.7999999999999999E-2</v>
      </c>
      <c r="AB29" s="7"/>
      <c r="AC29">
        <v>3</v>
      </c>
    </row>
    <row r="30" spans="1:34" x14ac:dyDescent="0.3">
      <c r="A30" s="8">
        <v>0.9</v>
      </c>
      <c r="B30" s="7">
        <v>1</v>
      </c>
      <c r="C30" s="7">
        <v>4</v>
      </c>
      <c r="D30" s="7">
        <v>2</v>
      </c>
      <c r="E30" s="7">
        <v>1</v>
      </c>
      <c r="F30" s="7">
        <v>5</v>
      </c>
      <c r="G30" s="7">
        <v>2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/>
      <c r="O30" s="8">
        <v>0.9</v>
      </c>
      <c r="P30" s="7">
        <v>4.4299999999999999E-2</v>
      </c>
      <c r="Q30" s="7">
        <v>3.0300000000000001E-2</v>
      </c>
      <c r="R30" s="7">
        <v>3.9600000000000003E-2</v>
      </c>
      <c r="S30" s="7">
        <v>5.6500000000000002E-2</v>
      </c>
      <c r="T30" s="7">
        <v>5.0599999999999999E-2</v>
      </c>
      <c r="U30" s="7">
        <v>5.57E-2</v>
      </c>
      <c r="V30" s="7">
        <v>0.29720000000000002</v>
      </c>
      <c r="W30" s="7">
        <v>0.1784</v>
      </c>
      <c r="X30" s="7">
        <v>0.26069999999999999</v>
      </c>
      <c r="Y30" s="7">
        <v>4.87E-2</v>
      </c>
      <c r="Z30" s="7">
        <v>2.53E-2</v>
      </c>
      <c r="AA30" s="7">
        <v>3.7600000000000001E-2</v>
      </c>
      <c r="AB30" s="7"/>
      <c r="AC30">
        <v>3</v>
      </c>
    </row>
    <row r="31" spans="1:34" x14ac:dyDescent="0.3">
      <c r="A31" s="8">
        <v>0.95</v>
      </c>
      <c r="B31" s="7">
        <v>1</v>
      </c>
      <c r="C31" s="7">
        <v>1</v>
      </c>
      <c r="D31" s="7">
        <v>1</v>
      </c>
      <c r="E31" s="7">
        <v>1</v>
      </c>
      <c r="F31" s="7">
        <v>2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/>
      <c r="O31" s="8">
        <v>0.95</v>
      </c>
      <c r="P31" s="7">
        <v>4.3999999999999997E-2</v>
      </c>
      <c r="Q31" s="7">
        <v>1.8800000000000001E-2</v>
      </c>
      <c r="R31" s="7">
        <v>3.3599999999999998E-2</v>
      </c>
      <c r="S31" s="7">
        <v>5.6000000000000001E-2</v>
      </c>
      <c r="T31" s="7">
        <v>3.6700000000000003E-2</v>
      </c>
      <c r="U31" s="7">
        <v>4.5199999999999997E-2</v>
      </c>
      <c r="V31" s="7">
        <v>0.29720000000000002</v>
      </c>
      <c r="W31" s="7">
        <v>0.17680000000000001</v>
      </c>
      <c r="X31" s="7">
        <v>0.25769999999999998</v>
      </c>
      <c r="Y31" s="7">
        <v>4.7199999999999999E-2</v>
      </c>
      <c r="Z31" s="7">
        <v>2.46E-2</v>
      </c>
      <c r="AA31" s="7">
        <v>3.6799999999999999E-2</v>
      </c>
      <c r="AB31" s="7"/>
      <c r="AC31">
        <v>3</v>
      </c>
    </row>
    <row r="32" spans="1:34" x14ac:dyDescent="0.3">
      <c r="A32" s="8">
        <v>0.99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/>
      <c r="O32" s="8">
        <v>0.99</v>
      </c>
      <c r="P32" s="7">
        <v>4.36E-2</v>
      </c>
      <c r="Q32" s="7">
        <v>1.77E-2</v>
      </c>
      <c r="R32" s="7">
        <v>3.2500000000000001E-2</v>
      </c>
      <c r="S32" s="7">
        <v>5.5500000000000001E-2</v>
      </c>
      <c r="T32" s="7">
        <v>2.5700000000000001E-2</v>
      </c>
      <c r="U32" s="7">
        <v>4.3400000000000001E-2</v>
      </c>
      <c r="V32" s="7">
        <v>0.29720000000000002</v>
      </c>
      <c r="W32" s="7">
        <v>0.17469999999999999</v>
      </c>
      <c r="X32" s="7">
        <v>0.25769999999999998</v>
      </c>
      <c r="Y32" s="7">
        <v>4.6100000000000002E-2</v>
      </c>
      <c r="Z32" s="7">
        <v>2.3800000000000002E-2</v>
      </c>
      <c r="AA32" s="7">
        <v>3.5700000000000003E-2</v>
      </c>
      <c r="AB32" s="7"/>
      <c r="AC32">
        <v>3</v>
      </c>
    </row>
    <row r="33" spans="1:3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D33" s="7"/>
      <c r="AE33" s="7"/>
      <c r="AF33" s="7"/>
      <c r="AG33" s="7"/>
      <c r="AH33" s="7"/>
    </row>
    <row r="34" spans="1:3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D34" s="7"/>
      <c r="AE34" s="7"/>
      <c r="AF34" s="7"/>
      <c r="AG34" s="7"/>
      <c r="AH34" s="7"/>
    </row>
    <row r="35" spans="1:34" x14ac:dyDescent="0.3">
      <c r="A35" s="7" t="s">
        <v>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D35" s="7"/>
      <c r="AE35" s="7"/>
      <c r="AF35" s="7"/>
      <c r="AG35" s="7"/>
      <c r="AH35" s="7"/>
    </row>
    <row r="36" spans="1:34" x14ac:dyDescent="0.3">
      <c r="A36" s="7" t="s">
        <v>32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 t="s">
        <v>13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D36" s="7"/>
      <c r="AE36" s="7"/>
    </row>
    <row r="37" spans="1:34" x14ac:dyDescent="0.3">
      <c r="A37" s="7" t="s">
        <v>0</v>
      </c>
      <c r="B37" s="7" t="s">
        <v>1</v>
      </c>
      <c r="C37" s="7" t="s">
        <v>2</v>
      </c>
      <c r="D37" s="7" t="s">
        <v>3</v>
      </c>
      <c r="E37" s="7" t="s">
        <v>4</v>
      </c>
      <c r="F37" s="7" t="s">
        <v>31</v>
      </c>
      <c r="G37" s="7" t="s">
        <v>5</v>
      </c>
      <c r="H37" s="7" t="s">
        <v>6</v>
      </c>
      <c r="I37" s="7" t="s">
        <v>7</v>
      </c>
      <c r="J37" s="7" t="s">
        <v>8</v>
      </c>
      <c r="K37" s="7" t="s">
        <v>9</v>
      </c>
      <c r="L37" s="7" t="s">
        <v>10</v>
      </c>
      <c r="M37" s="7" t="s">
        <v>11</v>
      </c>
      <c r="N37" s="7"/>
      <c r="O37" s="7" t="s">
        <v>0</v>
      </c>
      <c r="P37" s="7" t="s">
        <v>1</v>
      </c>
      <c r="Q37" s="7" t="s">
        <v>2</v>
      </c>
      <c r="R37" s="7" t="s">
        <v>3</v>
      </c>
      <c r="S37" s="7" t="s">
        <v>4</v>
      </c>
      <c r="T37" s="7" t="s">
        <v>31</v>
      </c>
      <c r="U37" s="7" t="s">
        <v>5</v>
      </c>
      <c r="V37" s="7" t="s">
        <v>6</v>
      </c>
      <c r="W37" s="7" t="s">
        <v>7</v>
      </c>
      <c r="X37" s="7" t="s">
        <v>8</v>
      </c>
      <c r="Y37" s="7" t="s">
        <v>9</v>
      </c>
      <c r="Z37" s="7" t="s">
        <v>10</v>
      </c>
      <c r="AA37" s="7" t="s">
        <v>11</v>
      </c>
      <c r="AB37" s="7"/>
    </row>
    <row r="38" spans="1:34" x14ac:dyDescent="0.3">
      <c r="A38" s="8">
        <v>0.3</v>
      </c>
      <c r="B38" s="7">
        <v>0</v>
      </c>
      <c r="C38" s="7">
        <v>0</v>
      </c>
      <c r="D38" s="7">
        <v>0</v>
      </c>
      <c r="E38" s="7">
        <v>2</v>
      </c>
      <c r="F38" s="7">
        <v>0</v>
      </c>
      <c r="G38" s="7">
        <v>2</v>
      </c>
      <c r="H38" s="7">
        <v>3</v>
      </c>
      <c r="I38" s="7">
        <v>3</v>
      </c>
      <c r="J38" s="7">
        <v>2</v>
      </c>
      <c r="K38" s="7">
        <v>2</v>
      </c>
      <c r="L38" s="7">
        <v>1</v>
      </c>
      <c r="M38" s="7">
        <v>2</v>
      </c>
      <c r="N38" s="7"/>
      <c r="O38" s="8">
        <v>0.3</v>
      </c>
      <c r="P38" s="7">
        <v>-1</v>
      </c>
      <c r="Q38" s="7">
        <v>-1</v>
      </c>
      <c r="R38" s="7">
        <v>-1</v>
      </c>
      <c r="S38" s="7">
        <f>0.022</f>
        <v>2.1999999999999999E-2</v>
      </c>
      <c r="T38" s="7">
        <v>-1</v>
      </c>
      <c r="U38" s="7">
        <f>0.009</f>
        <v>8.9999999999999993E-3</v>
      </c>
      <c r="V38" s="7">
        <v>0.14349999999999999</v>
      </c>
      <c r="W38" s="7">
        <f>0.0358</f>
        <v>3.5799999999999998E-2</v>
      </c>
      <c r="X38" s="7">
        <v>0.15529999999999999</v>
      </c>
      <c r="Y38" s="7">
        <v>2.9600000000000001E-2</v>
      </c>
      <c r="Z38" s="7">
        <v>2.2599999999999999E-2</v>
      </c>
      <c r="AA38" s="7">
        <v>1.2699999999999999E-2</v>
      </c>
      <c r="AB38" s="7"/>
      <c r="AC38">
        <v>5</v>
      </c>
    </row>
    <row r="39" spans="1:34" x14ac:dyDescent="0.3">
      <c r="A39" s="8">
        <v>0.4</v>
      </c>
      <c r="B39" s="7">
        <v>0</v>
      </c>
      <c r="C39" s="7">
        <v>0</v>
      </c>
      <c r="D39" s="7">
        <v>0</v>
      </c>
      <c r="E39" s="7">
        <v>2</v>
      </c>
      <c r="F39" s="7">
        <v>1</v>
      </c>
      <c r="G39" s="7">
        <v>2</v>
      </c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>
        <v>2</v>
      </c>
      <c r="N39" s="7"/>
      <c r="O39" s="8">
        <v>0.4</v>
      </c>
      <c r="P39" s="7">
        <v>-1</v>
      </c>
      <c r="Q39" s="7">
        <v>-1</v>
      </c>
      <c r="R39" s="7">
        <v>-1</v>
      </c>
      <c r="S39" s="7">
        <v>1.8100000000000002E-2</v>
      </c>
      <c r="T39" s="7">
        <f>0.0282</f>
        <v>2.8199999999999999E-2</v>
      </c>
      <c r="U39" s="7">
        <v>1.67E-2</v>
      </c>
      <c r="V39" s="7">
        <v>0.26750000000000002</v>
      </c>
      <c r="W39" s="7">
        <v>9.0200000000000002E-2</v>
      </c>
      <c r="X39" s="7">
        <v>0.2757</v>
      </c>
      <c r="Y39" s="7">
        <v>3.6400000000000002E-2</v>
      </c>
      <c r="Z39" s="7">
        <v>1.8800000000000001E-2</v>
      </c>
      <c r="AA39" s="7">
        <v>4.9500000000000002E-2</v>
      </c>
      <c r="AB39" s="7"/>
      <c r="AC39">
        <v>5</v>
      </c>
    </row>
    <row r="40" spans="1:34" x14ac:dyDescent="0.3">
      <c r="A40" s="8">
        <v>0.5</v>
      </c>
      <c r="B40" s="7">
        <v>1</v>
      </c>
      <c r="C40" s="7">
        <v>0</v>
      </c>
      <c r="D40" s="7">
        <v>0</v>
      </c>
      <c r="E40" s="7">
        <v>5</v>
      </c>
      <c r="F40" s="7">
        <v>2</v>
      </c>
      <c r="G40" s="7">
        <v>4</v>
      </c>
      <c r="H40" s="7">
        <v>2</v>
      </c>
      <c r="I40" s="7">
        <v>3</v>
      </c>
      <c r="J40" s="7">
        <v>2</v>
      </c>
      <c r="K40" s="7">
        <v>3</v>
      </c>
      <c r="L40" s="7">
        <v>2</v>
      </c>
      <c r="M40" s="7">
        <v>3</v>
      </c>
      <c r="N40" s="7"/>
      <c r="O40" s="8">
        <v>0.5</v>
      </c>
      <c r="P40" s="7">
        <f>0.0129</f>
        <v>1.29E-2</v>
      </c>
      <c r="Q40" s="7">
        <v>-1</v>
      </c>
      <c r="R40" s="7">
        <v>-1</v>
      </c>
      <c r="S40" s="7">
        <v>5.7500000000000002E-2</v>
      </c>
      <c r="T40" s="7">
        <v>9.4999999999999998E-3</v>
      </c>
      <c r="U40" s="7">
        <v>4.5499999999999999E-2</v>
      </c>
      <c r="V40" s="7">
        <v>0.28899999999999998</v>
      </c>
      <c r="W40" s="7">
        <v>0.14760000000000001</v>
      </c>
      <c r="X40" s="7">
        <v>0.28399999999999997</v>
      </c>
      <c r="Y40" s="7">
        <v>5.6500000000000002E-2</v>
      </c>
      <c r="Z40" s="7">
        <v>5.0999999999999997E-2</v>
      </c>
      <c r="AA40" s="7">
        <v>6.4899999999999999E-2</v>
      </c>
      <c r="AB40" s="7"/>
      <c r="AC40">
        <v>5</v>
      </c>
    </row>
    <row r="41" spans="1:34" x14ac:dyDescent="0.3">
      <c r="A41" s="8">
        <v>0.6</v>
      </c>
      <c r="B41" s="7">
        <v>1</v>
      </c>
      <c r="C41" s="7">
        <v>0</v>
      </c>
      <c r="D41" s="7">
        <v>1</v>
      </c>
      <c r="E41" s="7">
        <v>2</v>
      </c>
      <c r="F41" s="7">
        <v>2</v>
      </c>
      <c r="G41" s="7">
        <v>2</v>
      </c>
      <c r="H41" s="7">
        <v>3</v>
      </c>
      <c r="I41" s="7">
        <v>2</v>
      </c>
      <c r="J41" s="7">
        <v>2</v>
      </c>
      <c r="K41" s="7">
        <v>2</v>
      </c>
      <c r="L41" s="7">
        <v>2</v>
      </c>
      <c r="M41" s="7">
        <v>3</v>
      </c>
      <c r="N41" s="7"/>
      <c r="O41" s="8">
        <v>0.6</v>
      </c>
      <c r="P41" s="7">
        <f>0.0027</f>
        <v>2.7000000000000001E-3</v>
      </c>
      <c r="Q41" s="7">
        <v>-1</v>
      </c>
      <c r="R41" s="7">
        <v>5.7000000000000002E-3</v>
      </c>
      <c r="S41" s="7">
        <v>5.4100000000000002E-2</v>
      </c>
      <c r="T41" s="7">
        <v>3.2000000000000001E-2</v>
      </c>
      <c r="U41" s="7">
        <v>5.9200000000000003E-2</v>
      </c>
      <c r="V41" s="7">
        <v>0.29330000000000001</v>
      </c>
      <c r="W41" s="7">
        <v>0.2014</v>
      </c>
      <c r="X41" s="7">
        <v>0.29759999999999998</v>
      </c>
      <c r="Y41" s="7">
        <v>6.9800000000000001E-2</v>
      </c>
      <c r="Z41" s="7">
        <v>5.0999999999999997E-2</v>
      </c>
      <c r="AA41" s="7">
        <v>6.9199999999999998E-2</v>
      </c>
      <c r="AB41" s="7"/>
      <c r="AC41">
        <v>5</v>
      </c>
    </row>
    <row r="42" spans="1:34" x14ac:dyDescent="0.3">
      <c r="A42" s="8">
        <v>0.65</v>
      </c>
      <c r="B42" s="7">
        <v>3</v>
      </c>
      <c r="C42" s="7">
        <v>0</v>
      </c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2</v>
      </c>
      <c r="L42" s="7">
        <v>3</v>
      </c>
      <c r="M42" s="7">
        <v>3</v>
      </c>
      <c r="N42" s="7"/>
      <c r="O42" s="8">
        <v>0.65</v>
      </c>
      <c r="P42" s="7">
        <f>0.0233</f>
        <v>2.3300000000000001E-2</v>
      </c>
      <c r="Q42" s="7">
        <v>-1</v>
      </c>
      <c r="R42" s="7">
        <f>0.0017</f>
        <v>1.6999999999999999E-3</v>
      </c>
      <c r="S42" s="7">
        <v>6.5100000000000005E-2</v>
      </c>
      <c r="T42" s="7">
        <v>3.7900000000000003E-2</v>
      </c>
      <c r="U42" s="7">
        <v>5.8999999999999997E-2</v>
      </c>
      <c r="V42" s="7">
        <v>0.2979</v>
      </c>
      <c r="W42" s="7">
        <v>0.2051</v>
      </c>
      <c r="X42" s="7">
        <v>0.29409999999999997</v>
      </c>
      <c r="Y42" s="7">
        <v>7.1499999999999994E-2</v>
      </c>
      <c r="Z42" s="7">
        <v>6.4699999999999994E-2</v>
      </c>
      <c r="AA42" s="7">
        <v>5.9400000000000001E-2</v>
      </c>
      <c r="AB42" s="7"/>
      <c r="AC42">
        <v>5</v>
      </c>
    </row>
    <row r="43" spans="1:34" x14ac:dyDescent="0.3">
      <c r="A43" s="8">
        <v>0.7</v>
      </c>
      <c r="B43" s="7">
        <v>2</v>
      </c>
      <c r="C43" s="7">
        <v>0</v>
      </c>
      <c r="D43" s="7">
        <v>3</v>
      </c>
      <c r="E43" s="7">
        <v>1</v>
      </c>
      <c r="F43" s="7">
        <v>5</v>
      </c>
      <c r="G43" s="7">
        <v>2</v>
      </c>
      <c r="H43" s="7">
        <v>2</v>
      </c>
      <c r="I43" s="7">
        <v>2</v>
      </c>
      <c r="J43" s="7">
        <v>4</v>
      </c>
      <c r="K43" s="7">
        <v>1</v>
      </c>
      <c r="L43" s="7">
        <v>3</v>
      </c>
      <c r="M43" s="7">
        <v>3</v>
      </c>
      <c r="N43" s="7"/>
      <c r="O43" s="8">
        <v>0.7</v>
      </c>
      <c r="P43" s="7">
        <f>0.0206</f>
        <v>2.06E-2</v>
      </c>
      <c r="Q43" s="7">
        <v>-1</v>
      </c>
      <c r="R43" s="7">
        <f>0.012</f>
        <v>1.2E-2</v>
      </c>
      <c r="S43" s="7">
        <v>6.4600000000000005E-2</v>
      </c>
      <c r="T43" s="7">
        <v>4.8000000000000001E-2</v>
      </c>
      <c r="U43" s="7">
        <v>6.8400000000000002E-2</v>
      </c>
      <c r="V43" s="9">
        <v>0.30980000000000002</v>
      </c>
      <c r="W43" s="7">
        <v>0.20580000000000001</v>
      </c>
      <c r="X43" s="9">
        <v>0.29049999999999998</v>
      </c>
      <c r="Y43" s="7">
        <v>5.0599999999999999E-2</v>
      </c>
      <c r="Z43" s="7">
        <v>5.91E-2</v>
      </c>
      <c r="AA43" s="7">
        <v>6.4899999999999999E-2</v>
      </c>
      <c r="AB43" s="7"/>
      <c r="AC43">
        <v>5</v>
      </c>
    </row>
    <row r="44" spans="1:34" x14ac:dyDescent="0.3">
      <c r="A44" s="8">
        <v>0.75</v>
      </c>
      <c r="B44" s="7">
        <v>1</v>
      </c>
      <c r="C44" s="7">
        <v>1</v>
      </c>
      <c r="D44" s="7">
        <v>3</v>
      </c>
      <c r="E44" s="7">
        <v>1</v>
      </c>
      <c r="F44" s="7">
        <v>2</v>
      </c>
      <c r="G44" s="7">
        <v>1</v>
      </c>
      <c r="H44" s="7">
        <v>1</v>
      </c>
      <c r="I44" s="7">
        <v>2</v>
      </c>
      <c r="J44" s="7">
        <v>2</v>
      </c>
      <c r="K44" s="7">
        <v>1</v>
      </c>
      <c r="L44" s="7">
        <v>3</v>
      </c>
      <c r="M44" s="7">
        <v>1</v>
      </c>
      <c r="N44" s="7"/>
      <c r="O44" s="8">
        <v>0.75</v>
      </c>
      <c r="P44" s="7">
        <v>2.81E-2</v>
      </c>
      <c r="Q44" s="7">
        <v>4.7000000000000002E-3</v>
      </c>
      <c r="R44" s="7">
        <v>1.3899999999999999E-2</v>
      </c>
      <c r="S44" s="7">
        <v>6.5199999999999994E-2</v>
      </c>
      <c r="T44" s="7">
        <v>3.9899999999999998E-2</v>
      </c>
      <c r="U44" s="7">
        <v>5.45E-2</v>
      </c>
      <c r="V44" s="7">
        <v>0.30159999999999998</v>
      </c>
      <c r="W44" s="7">
        <v>0.20880000000000001</v>
      </c>
      <c r="X44" s="7">
        <v>0.26910000000000001</v>
      </c>
      <c r="Y44" s="7">
        <v>5.1200000000000002E-2</v>
      </c>
      <c r="Z44" s="7">
        <v>5.8500000000000003E-2</v>
      </c>
      <c r="AA44" s="7">
        <v>4.2299999999999997E-2</v>
      </c>
      <c r="AB44" s="7"/>
      <c r="AC44">
        <v>5</v>
      </c>
    </row>
    <row r="45" spans="1:34" x14ac:dyDescent="0.3">
      <c r="A45" s="8">
        <v>0.8</v>
      </c>
      <c r="B45" s="7">
        <v>1</v>
      </c>
      <c r="C45" s="7">
        <v>2</v>
      </c>
      <c r="D45" s="7">
        <v>1</v>
      </c>
      <c r="E45" s="7">
        <v>1</v>
      </c>
      <c r="F45" s="7">
        <v>2</v>
      </c>
      <c r="G45" s="7">
        <v>1</v>
      </c>
      <c r="H45" s="7">
        <v>1</v>
      </c>
      <c r="I45" s="7">
        <v>4</v>
      </c>
      <c r="J45" s="7">
        <v>1</v>
      </c>
      <c r="K45" s="7">
        <v>1</v>
      </c>
      <c r="L45" s="7">
        <v>3</v>
      </c>
      <c r="M45" s="7">
        <v>1</v>
      </c>
      <c r="N45" s="7"/>
      <c r="O45" s="8">
        <v>0.8</v>
      </c>
      <c r="P45" s="7">
        <v>4.1399999999999999E-2</v>
      </c>
      <c r="Q45" s="7">
        <f>0.0071</f>
        <v>7.1000000000000004E-3</v>
      </c>
      <c r="R45" s="7">
        <v>2.7400000000000001E-2</v>
      </c>
      <c r="S45" s="7">
        <v>6.1899999999999997E-2</v>
      </c>
      <c r="T45" s="7">
        <v>4.2299999999999997E-2</v>
      </c>
      <c r="U45" s="7">
        <v>5.2699999999999997E-2</v>
      </c>
      <c r="V45" s="7">
        <v>0.30099999999999999</v>
      </c>
      <c r="W45" s="7">
        <v>0.2051</v>
      </c>
      <c r="X45" s="7">
        <v>0.26290000000000002</v>
      </c>
      <c r="Y45" s="7">
        <v>4.9399999999999999E-2</v>
      </c>
      <c r="Z45" s="7">
        <v>5.0999999999999997E-2</v>
      </c>
      <c r="AA45" s="7">
        <v>4.0099999999999997E-2</v>
      </c>
      <c r="AB45" s="7"/>
      <c r="AC45">
        <v>5</v>
      </c>
    </row>
    <row r="46" spans="1:34" x14ac:dyDescent="0.3">
      <c r="A46" s="8">
        <v>0.85</v>
      </c>
      <c r="B46" s="7">
        <v>1</v>
      </c>
      <c r="C46" s="7">
        <v>3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2</v>
      </c>
      <c r="J46" s="7">
        <v>1</v>
      </c>
      <c r="K46" s="7">
        <v>1</v>
      </c>
      <c r="L46" s="7">
        <v>1</v>
      </c>
      <c r="M46" s="7">
        <v>1</v>
      </c>
      <c r="N46" s="7"/>
      <c r="O46" s="8">
        <v>0.85</v>
      </c>
      <c r="P46" s="7">
        <v>4.2000000000000003E-2</v>
      </c>
      <c r="Q46" s="7">
        <v>6.0000000000000001E-3</v>
      </c>
      <c r="R46" s="7">
        <v>3.3500000000000002E-2</v>
      </c>
      <c r="S46" s="7">
        <v>5.6899999999999999E-2</v>
      </c>
      <c r="T46" s="7">
        <v>3.27E-2</v>
      </c>
      <c r="U46" s="7">
        <v>5.1499999999999997E-2</v>
      </c>
      <c r="V46" s="7">
        <v>0.29809999999999998</v>
      </c>
      <c r="W46" s="7">
        <v>0.18990000000000001</v>
      </c>
      <c r="X46" s="7">
        <v>0.26190000000000002</v>
      </c>
      <c r="Y46" s="7">
        <v>4.9700000000000001E-2</v>
      </c>
      <c r="Z46" s="7">
        <v>2.87E-2</v>
      </c>
      <c r="AA46" s="7">
        <v>3.9300000000000002E-2</v>
      </c>
      <c r="AB46" s="7"/>
      <c r="AC46">
        <v>5</v>
      </c>
    </row>
    <row r="47" spans="1:34" x14ac:dyDescent="0.3">
      <c r="A47" s="8">
        <v>0.9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/>
      <c r="O47" s="8">
        <v>0.9</v>
      </c>
      <c r="P47" s="7">
        <v>4.4900000000000002E-2</v>
      </c>
      <c r="Q47" s="7">
        <v>1.6799999999999999E-2</v>
      </c>
      <c r="R47" s="7">
        <v>3.6499999999999998E-2</v>
      </c>
      <c r="S47" s="7">
        <v>5.74E-2</v>
      </c>
      <c r="T47" s="7">
        <v>3.15E-2</v>
      </c>
      <c r="U47" s="7">
        <v>4.9299999999999997E-2</v>
      </c>
      <c r="V47" s="7">
        <v>0.29720000000000002</v>
      </c>
      <c r="W47" s="7">
        <v>0.1784</v>
      </c>
      <c r="X47" s="7">
        <v>0.26069999999999999</v>
      </c>
      <c r="Y47" s="7">
        <v>4.87E-2</v>
      </c>
      <c r="Z47" s="7">
        <v>2.6700000000000002E-2</v>
      </c>
      <c r="AA47" s="7">
        <v>3.8100000000000002E-2</v>
      </c>
      <c r="AB47" s="7"/>
      <c r="AC47">
        <v>5</v>
      </c>
    </row>
    <row r="48" spans="1:34" x14ac:dyDescent="0.3">
      <c r="A48" s="8">
        <v>0.95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/>
      <c r="O48" s="8">
        <v>0.95</v>
      </c>
      <c r="P48" s="7">
        <v>4.3999999999999997E-2</v>
      </c>
      <c r="Q48" s="7">
        <v>1.95E-2</v>
      </c>
      <c r="R48" s="7">
        <v>3.4000000000000002E-2</v>
      </c>
      <c r="S48" s="7">
        <v>5.6000000000000001E-2</v>
      </c>
      <c r="T48" s="7">
        <v>2.93E-2</v>
      </c>
      <c r="U48" s="7">
        <v>4.5900000000000003E-2</v>
      </c>
      <c r="V48" s="7">
        <v>0.29720000000000002</v>
      </c>
      <c r="W48" s="7">
        <v>0.17680000000000001</v>
      </c>
      <c r="X48" s="7">
        <v>0.25769999999999998</v>
      </c>
      <c r="Y48" s="7">
        <v>4.7199999999999999E-2</v>
      </c>
      <c r="Z48" s="7">
        <v>2.4899999999999999E-2</v>
      </c>
      <c r="AA48" s="7">
        <v>3.6799999999999999E-2</v>
      </c>
      <c r="AB48" s="7"/>
      <c r="AC48">
        <v>5</v>
      </c>
    </row>
    <row r="49" spans="1:34" x14ac:dyDescent="0.3">
      <c r="A49" s="8">
        <v>0.99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/>
      <c r="O49" s="8">
        <v>0.99</v>
      </c>
      <c r="P49" s="7">
        <v>4.36E-2</v>
      </c>
      <c r="Q49" s="7">
        <v>1.77E-2</v>
      </c>
      <c r="R49" s="7">
        <v>3.2500000000000001E-2</v>
      </c>
      <c r="S49" s="7">
        <v>5.5500000000000001E-2</v>
      </c>
      <c r="T49" s="7">
        <v>2.6599999999999999E-2</v>
      </c>
      <c r="U49" s="7">
        <v>4.3400000000000001E-2</v>
      </c>
      <c r="V49" s="7">
        <v>0.29720000000000002</v>
      </c>
      <c r="W49" s="7">
        <v>0.17469999999999999</v>
      </c>
      <c r="X49" s="7">
        <v>0.25769999999999998</v>
      </c>
      <c r="Y49" s="7">
        <v>4.6100000000000002E-2</v>
      </c>
      <c r="Z49" s="7">
        <v>2.3800000000000002E-2</v>
      </c>
      <c r="AA49" s="7">
        <v>3.5700000000000003E-2</v>
      </c>
      <c r="AB49" s="7"/>
      <c r="AC49">
        <v>5</v>
      </c>
    </row>
    <row r="50" spans="1:3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D50" s="7"/>
      <c r="AE50" s="7"/>
      <c r="AF50" s="7"/>
      <c r="AG50" s="7"/>
      <c r="AH50" s="7"/>
    </row>
    <row r="51" spans="1:3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D51" s="7"/>
      <c r="AE51" s="7"/>
      <c r="AF51" s="7"/>
      <c r="AG51" s="7"/>
      <c r="AH51" s="7"/>
    </row>
    <row r="52" spans="1:34" x14ac:dyDescent="0.3">
      <c r="A52" s="7" t="s">
        <v>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D52" s="7"/>
      <c r="AE52" s="7"/>
      <c r="AF52" s="7"/>
      <c r="AG52" s="7"/>
      <c r="AH52" s="7"/>
    </row>
    <row r="53" spans="1:34" x14ac:dyDescent="0.3">
      <c r="A53" s="7" t="s">
        <v>32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 t="s">
        <v>13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D53" s="7"/>
      <c r="AE53" s="7"/>
    </row>
    <row r="54" spans="1:34" x14ac:dyDescent="0.3">
      <c r="A54" s="7" t="s">
        <v>0</v>
      </c>
      <c r="B54" s="7" t="s">
        <v>1</v>
      </c>
      <c r="C54" s="7" t="s">
        <v>2</v>
      </c>
      <c r="D54" s="7" t="s">
        <v>3</v>
      </c>
      <c r="E54" s="7" t="s">
        <v>4</v>
      </c>
      <c r="F54" s="7" t="s">
        <v>31</v>
      </c>
      <c r="G54" s="7" t="s">
        <v>5</v>
      </c>
      <c r="H54" s="7" t="s">
        <v>6</v>
      </c>
      <c r="I54" s="7" t="s">
        <v>7</v>
      </c>
      <c r="J54" s="7" t="s">
        <v>8</v>
      </c>
      <c r="K54" s="7" t="s">
        <v>9</v>
      </c>
      <c r="L54" s="7" t="s">
        <v>10</v>
      </c>
      <c r="M54" s="7" t="s">
        <v>11</v>
      </c>
      <c r="N54" s="7"/>
      <c r="O54" s="7" t="s">
        <v>0</v>
      </c>
      <c r="P54" s="7" t="s">
        <v>1</v>
      </c>
      <c r="Q54" s="7" t="s">
        <v>2</v>
      </c>
      <c r="R54" s="7" t="s">
        <v>3</v>
      </c>
      <c r="S54" s="7" t="s">
        <v>4</v>
      </c>
      <c r="T54" s="7" t="s">
        <v>31</v>
      </c>
      <c r="U54" s="7" t="s">
        <v>5</v>
      </c>
      <c r="V54" s="7" t="s">
        <v>6</v>
      </c>
      <c r="W54" s="7" t="s">
        <v>7</v>
      </c>
      <c r="X54" s="7" t="s">
        <v>8</v>
      </c>
      <c r="Y54" s="7" t="s">
        <v>9</v>
      </c>
      <c r="Z54" s="7" t="s">
        <v>10</v>
      </c>
      <c r="AA54" s="7" t="s">
        <v>11</v>
      </c>
      <c r="AB54" s="7"/>
    </row>
    <row r="55" spans="1:34" x14ac:dyDescent="0.3">
      <c r="A55" s="8">
        <v>0.3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1</v>
      </c>
      <c r="I55" s="7">
        <v>0</v>
      </c>
      <c r="J55" s="7">
        <v>2</v>
      </c>
      <c r="K55" s="7">
        <v>0</v>
      </c>
      <c r="L55" s="7">
        <v>0</v>
      </c>
      <c r="M55" s="7">
        <v>0</v>
      </c>
      <c r="N55" s="7"/>
      <c r="O55" s="8">
        <v>0.3</v>
      </c>
      <c r="P55" s="7">
        <v>-1</v>
      </c>
      <c r="Q55" s="7">
        <v>-1</v>
      </c>
      <c r="R55" s="7">
        <v>-1</v>
      </c>
      <c r="S55" s="7">
        <v>-1</v>
      </c>
      <c r="T55" s="7">
        <v>-1</v>
      </c>
      <c r="U55" s="7">
        <v>-1</v>
      </c>
      <c r="V55" s="7">
        <v>0.18340000000000001</v>
      </c>
      <c r="W55" s="7">
        <v>-1</v>
      </c>
      <c r="X55" s="7">
        <v>5.5500000000000001E-2</v>
      </c>
      <c r="Y55" s="7">
        <v>-1</v>
      </c>
      <c r="Z55" s="7">
        <v>-1</v>
      </c>
      <c r="AA55" s="7">
        <v>-1</v>
      </c>
      <c r="AB55" s="7"/>
      <c r="AC55">
        <v>30</v>
      </c>
    </row>
    <row r="56" spans="1:34" x14ac:dyDescent="0.3">
      <c r="A56" s="8">
        <v>0.4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/>
      <c r="O56" s="8">
        <v>0.4</v>
      </c>
      <c r="P56" s="7">
        <v>-1</v>
      </c>
      <c r="Q56" s="7">
        <v>-1</v>
      </c>
      <c r="R56" s="7">
        <v>-1</v>
      </c>
      <c r="S56" s="7">
        <v>-1</v>
      </c>
      <c r="T56" s="7">
        <v>-1</v>
      </c>
      <c r="U56" s="7">
        <v>-1</v>
      </c>
      <c r="V56" s="7">
        <v>0.24310000000000001</v>
      </c>
      <c r="W56" s="7">
        <v>-1</v>
      </c>
      <c r="X56" s="7">
        <v>0.25059999999999999</v>
      </c>
      <c r="Y56" s="7">
        <v>-1</v>
      </c>
      <c r="Z56" s="7">
        <v>-1</v>
      </c>
      <c r="AA56" s="7">
        <v>-1</v>
      </c>
      <c r="AB56" s="7"/>
      <c r="AC56">
        <v>30</v>
      </c>
    </row>
    <row r="57" spans="1:34" x14ac:dyDescent="0.3">
      <c r="A57" s="8">
        <v>0.5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</v>
      </c>
      <c r="I57" s="7">
        <v>1</v>
      </c>
      <c r="J57" s="7">
        <v>1</v>
      </c>
      <c r="K57" s="7">
        <v>0</v>
      </c>
      <c r="L57" s="7">
        <v>0</v>
      </c>
      <c r="M57" s="7">
        <v>0</v>
      </c>
      <c r="N57" s="7"/>
      <c r="O57" s="8">
        <v>0.5</v>
      </c>
      <c r="P57" s="7">
        <v>-1</v>
      </c>
      <c r="Q57" s="7">
        <v>-1</v>
      </c>
      <c r="R57" s="7">
        <v>-1</v>
      </c>
      <c r="S57" s="7">
        <v>-1</v>
      </c>
      <c r="T57" s="7">
        <v>-1</v>
      </c>
      <c r="U57" s="7">
        <v>-1</v>
      </c>
      <c r="V57" s="7">
        <v>0.27250000000000002</v>
      </c>
      <c r="W57" s="7">
        <v>0.1653</v>
      </c>
      <c r="X57" s="7">
        <v>0.2656</v>
      </c>
      <c r="Y57" s="7">
        <v>-1</v>
      </c>
      <c r="Z57" s="7">
        <v>-1</v>
      </c>
      <c r="AA57" s="7">
        <v>-1</v>
      </c>
      <c r="AB57" s="7"/>
      <c r="AC57">
        <v>30</v>
      </c>
    </row>
    <row r="58" spans="1:34" x14ac:dyDescent="0.3">
      <c r="A58" s="8">
        <v>0.6</v>
      </c>
      <c r="B58" s="7">
        <v>0</v>
      </c>
      <c r="C58" s="7">
        <v>0</v>
      </c>
      <c r="D58" s="7">
        <v>0</v>
      </c>
      <c r="E58" s="7">
        <v>1</v>
      </c>
      <c r="F58" s="7">
        <v>0</v>
      </c>
      <c r="G58" s="7">
        <v>0</v>
      </c>
      <c r="H58" s="7">
        <v>1</v>
      </c>
      <c r="I58" s="7">
        <v>1</v>
      </c>
      <c r="J58" s="7">
        <v>1</v>
      </c>
      <c r="K58" s="7">
        <v>0</v>
      </c>
      <c r="L58" s="7">
        <v>0</v>
      </c>
      <c r="M58" s="7">
        <v>0</v>
      </c>
      <c r="N58" s="7"/>
      <c r="O58" s="8">
        <v>0.6</v>
      </c>
      <c r="P58" s="7">
        <v>-1</v>
      </c>
      <c r="Q58" s="7">
        <v>-1</v>
      </c>
      <c r="R58" s="7">
        <v>-1</v>
      </c>
      <c r="S58" s="7">
        <v>2.92E-2</v>
      </c>
      <c r="T58" s="7">
        <v>-1</v>
      </c>
      <c r="U58" s="7">
        <v>-1</v>
      </c>
      <c r="V58" s="7">
        <v>0.30449999999999999</v>
      </c>
      <c r="W58" s="7">
        <v>0.1837</v>
      </c>
      <c r="X58" s="7">
        <v>0.28560000000000002</v>
      </c>
      <c r="Y58" s="7">
        <v>-1</v>
      </c>
      <c r="Z58" s="7">
        <v>-1</v>
      </c>
      <c r="AA58" s="7">
        <v>-1</v>
      </c>
      <c r="AB58" s="7"/>
      <c r="AC58">
        <v>30</v>
      </c>
    </row>
    <row r="59" spans="1:34" x14ac:dyDescent="0.3">
      <c r="A59" s="8">
        <v>0.65</v>
      </c>
      <c r="B59" s="7">
        <v>0</v>
      </c>
      <c r="C59" s="7">
        <v>0</v>
      </c>
      <c r="D59" s="7">
        <v>0</v>
      </c>
      <c r="E59" s="7">
        <v>1</v>
      </c>
      <c r="F59" s="7">
        <v>0</v>
      </c>
      <c r="G59" s="7">
        <v>0</v>
      </c>
      <c r="H59" s="7">
        <v>1</v>
      </c>
      <c r="I59" s="7">
        <v>1</v>
      </c>
      <c r="J59" s="7">
        <v>1</v>
      </c>
      <c r="K59" s="7">
        <v>1</v>
      </c>
      <c r="L59" s="7">
        <v>0</v>
      </c>
      <c r="M59" s="7">
        <v>0</v>
      </c>
      <c r="N59" s="7"/>
      <c r="O59" s="8">
        <v>0.65</v>
      </c>
      <c r="P59" s="7">
        <v>-1</v>
      </c>
      <c r="Q59" s="7">
        <v>-1</v>
      </c>
      <c r="R59" s="7">
        <v>-1</v>
      </c>
      <c r="S59" s="7">
        <v>3.8399999999999997E-2</v>
      </c>
      <c r="T59" s="7">
        <v>-1</v>
      </c>
      <c r="U59" s="7">
        <v>-1</v>
      </c>
      <c r="V59" s="7">
        <v>0.31059999999999999</v>
      </c>
      <c r="W59" s="7">
        <v>0.1908</v>
      </c>
      <c r="X59" s="7">
        <v>0.28639999999999999</v>
      </c>
      <c r="Y59" s="7">
        <v>6.3299999999999995E-2</v>
      </c>
      <c r="Z59" s="7">
        <v>-1</v>
      </c>
      <c r="AA59" s="7">
        <v>-1</v>
      </c>
      <c r="AB59" s="7"/>
      <c r="AC59">
        <v>30</v>
      </c>
    </row>
    <row r="60" spans="1:34" x14ac:dyDescent="0.3">
      <c r="A60" s="8">
        <v>0.7</v>
      </c>
      <c r="B60" s="7">
        <v>0</v>
      </c>
      <c r="C60" s="7">
        <v>0</v>
      </c>
      <c r="D60" s="7">
        <v>0</v>
      </c>
      <c r="E60" s="7">
        <v>1</v>
      </c>
      <c r="F60" s="7">
        <v>0</v>
      </c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0</v>
      </c>
      <c r="M60" s="7">
        <v>0</v>
      </c>
      <c r="N60" s="7"/>
      <c r="O60" s="8">
        <v>0.7</v>
      </c>
      <c r="P60" s="7">
        <v>-1</v>
      </c>
      <c r="Q60" s="7">
        <v>-1</v>
      </c>
      <c r="R60" s="7">
        <v>-1</v>
      </c>
      <c r="S60" s="7">
        <v>6.7900000000000002E-2</v>
      </c>
      <c r="T60" s="7">
        <v>-1</v>
      </c>
      <c r="U60" s="7">
        <v>4.4499999999999998E-2</v>
      </c>
      <c r="V60" s="7">
        <v>0.30859999999999999</v>
      </c>
      <c r="W60" s="7">
        <v>0.1933</v>
      </c>
      <c r="X60" s="7">
        <v>0.2898</v>
      </c>
      <c r="Y60" s="7">
        <v>6.6699999999999995E-2</v>
      </c>
      <c r="Z60" s="7">
        <v>-1</v>
      </c>
      <c r="AA60" s="7">
        <v>-1</v>
      </c>
      <c r="AB60" s="7"/>
      <c r="AC60">
        <v>30</v>
      </c>
    </row>
    <row r="61" spans="1:34" x14ac:dyDescent="0.3">
      <c r="A61" s="8">
        <v>0.75</v>
      </c>
      <c r="B61" s="7">
        <v>0</v>
      </c>
      <c r="C61" s="7">
        <v>0</v>
      </c>
      <c r="D61" s="7">
        <v>0</v>
      </c>
      <c r="E61" s="7">
        <v>1</v>
      </c>
      <c r="F61" s="7">
        <v>0</v>
      </c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0</v>
      </c>
      <c r="M61" s="7">
        <v>0</v>
      </c>
      <c r="N61" s="7"/>
      <c r="O61" s="8">
        <v>0.75</v>
      </c>
      <c r="P61" s="7">
        <v>-1</v>
      </c>
      <c r="Q61" s="7">
        <v>-1</v>
      </c>
      <c r="R61" s="7">
        <v>-1</v>
      </c>
      <c r="S61" s="7">
        <v>6.4699999999999994E-2</v>
      </c>
      <c r="T61" s="7">
        <v>-1</v>
      </c>
      <c r="U61" s="7">
        <v>6.8199999999999997E-2</v>
      </c>
      <c r="V61" s="7">
        <v>0.311</v>
      </c>
      <c r="W61" s="7">
        <v>0.2001</v>
      </c>
      <c r="X61" s="7">
        <v>0.28860000000000002</v>
      </c>
      <c r="Y61" s="7">
        <v>5.0900000000000001E-2</v>
      </c>
      <c r="Z61" s="7">
        <v>-1</v>
      </c>
      <c r="AA61" s="7">
        <v>-1</v>
      </c>
      <c r="AB61" s="7"/>
      <c r="AC61">
        <v>30</v>
      </c>
    </row>
    <row r="62" spans="1:34" x14ac:dyDescent="0.3">
      <c r="A62" s="8">
        <v>0.8</v>
      </c>
      <c r="B62" s="7">
        <v>1</v>
      </c>
      <c r="C62" s="7">
        <v>0</v>
      </c>
      <c r="D62" s="7">
        <v>0</v>
      </c>
      <c r="E62" s="7">
        <v>1</v>
      </c>
      <c r="F62" s="7">
        <v>0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0</v>
      </c>
      <c r="M62" s="7">
        <v>1</v>
      </c>
      <c r="N62" s="7"/>
      <c r="O62" s="8">
        <v>0.8</v>
      </c>
      <c r="P62" s="7">
        <v>3.15E-2</v>
      </c>
      <c r="Q62" s="7">
        <v>-1</v>
      </c>
      <c r="R62" s="7">
        <v>-1</v>
      </c>
      <c r="S62" s="7">
        <v>6.7000000000000004E-2</v>
      </c>
      <c r="T62" s="7">
        <v>-1</v>
      </c>
      <c r="U62" s="7">
        <v>6.5699999999999995E-2</v>
      </c>
      <c r="V62" s="7">
        <v>0.30130000000000001</v>
      </c>
      <c r="W62" s="7">
        <v>0.2</v>
      </c>
      <c r="X62" s="7">
        <v>0.27789999999999998</v>
      </c>
      <c r="Y62" s="7">
        <v>5.1700000000000003E-2</v>
      </c>
      <c r="Z62" s="7">
        <v>-1</v>
      </c>
      <c r="AA62" s="7">
        <v>4.4200000000000003E-2</v>
      </c>
      <c r="AB62" s="7"/>
      <c r="AC62">
        <v>30</v>
      </c>
    </row>
    <row r="63" spans="1:34" x14ac:dyDescent="0.3">
      <c r="A63" s="8">
        <v>0.85</v>
      </c>
      <c r="B63" s="7">
        <v>1</v>
      </c>
      <c r="C63" s="7">
        <v>0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0</v>
      </c>
      <c r="M63" s="7">
        <v>1</v>
      </c>
      <c r="N63" s="7"/>
      <c r="O63" s="8">
        <v>0.85</v>
      </c>
      <c r="P63" s="7">
        <v>4.58E-2</v>
      </c>
      <c r="Q63" s="7">
        <v>-1</v>
      </c>
      <c r="R63" s="7">
        <v>3.0300000000000001E-2</v>
      </c>
      <c r="S63" s="7">
        <v>6.3E-2</v>
      </c>
      <c r="T63" s="7">
        <v>4.2500000000000003E-2</v>
      </c>
      <c r="U63" s="7">
        <v>5.79E-2</v>
      </c>
      <c r="V63" s="7">
        <v>0.29809999999999998</v>
      </c>
      <c r="W63" s="7">
        <v>0.19839999999999999</v>
      </c>
      <c r="X63" s="7">
        <v>0.27060000000000001</v>
      </c>
      <c r="Y63" s="7">
        <v>5.3600000000000002E-2</v>
      </c>
      <c r="Z63" s="7">
        <v>-1</v>
      </c>
      <c r="AA63" s="7">
        <v>4.2200000000000001E-2</v>
      </c>
      <c r="AB63" s="7"/>
      <c r="AC63">
        <v>30</v>
      </c>
    </row>
    <row r="64" spans="1:34" x14ac:dyDescent="0.3">
      <c r="A64" s="8">
        <v>0.9</v>
      </c>
      <c r="B64" s="7"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/>
      <c r="O64" s="8">
        <v>0.9</v>
      </c>
      <c r="P64" s="7">
        <v>4.6399999999999997E-2</v>
      </c>
      <c r="Q64" s="7">
        <v>5.1999999999999998E-3</v>
      </c>
      <c r="R64" s="7">
        <v>3.7999999999999999E-2</v>
      </c>
      <c r="S64" s="7">
        <v>5.9799999999999999E-2</v>
      </c>
      <c r="T64" s="7">
        <v>3.7999999999999999E-2</v>
      </c>
      <c r="U64" s="7">
        <v>5.5199999999999999E-2</v>
      </c>
      <c r="V64" s="7">
        <v>0.29720000000000002</v>
      </c>
      <c r="W64" s="7">
        <v>0.18770000000000001</v>
      </c>
      <c r="X64" s="7">
        <v>0.26069999999999999</v>
      </c>
      <c r="Y64" s="7">
        <v>4.9399999999999999E-2</v>
      </c>
      <c r="Z64" s="7">
        <v>3.0599999999999999E-2</v>
      </c>
      <c r="AA64" s="7">
        <v>3.9399999999999998E-2</v>
      </c>
      <c r="AB64" s="7"/>
      <c r="AC64">
        <v>30</v>
      </c>
    </row>
    <row r="65" spans="1:34" x14ac:dyDescent="0.3">
      <c r="A65" s="8">
        <v>0.95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/>
      <c r="O65" s="8">
        <v>0.95</v>
      </c>
      <c r="P65" s="7">
        <v>4.3999999999999997E-2</v>
      </c>
      <c r="Q65" s="7">
        <v>2.06E-2</v>
      </c>
      <c r="R65" s="7">
        <v>3.4000000000000002E-2</v>
      </c>
      <c r="S65" s="7">
        <v>5.6000000000000001E-2</v>
      </c>
      <c r="T65" s="7">
        <v>3.2899999999999999E-2</v>
      </c>
      <c r="U65" s="7">
        <v>4.7100000000000003E-2</v>
      </c>
      <c r="V65" s="7">
        <v>0.29720000000000002</v>
      </c>
      <c r="W65" s="7">
        <v>0.17680000000000001</v>
      </c>
      <c r="X65" s="7">
        <v>0.25769999999999998</v>
      </c>
      <c r="Y65" s="7">
        <v>4.7500000000000001E-2</v>
      </c>
      <c r="Z65" s="7">
        <v>2.63E-2</v>
      </c>
      <c r="AA65" s="7">
        <v>3.7600000000000001E-2</v>
      </c>
      <c r="AB65" s="7"/>
      <c r="AC65">
        <v>30</v>
      </c>
    </row>
    <row r="66" spans="1:34" x14ac:dyDescent="0.3">
      <c r="A66" s="8">
        <v>0.99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/>
      <c r="O66" s="8">
        <v>0.99</v>
      </c>
      <c r="P66" s="7">
        <v>4.36E-2</v>
      </c>
      <c r="Q66" s="7">
        <v>1.8100000000000002E-2</v>
      </c>
      <c r="R66" s="7">
        <v>3.2500000000000001E-2</v>
      </c>
      <c r="S66" s="7">
        <v>5.5500000000000001E-2</v>
      </c>
      <c r="T66" s="7">
        <v>2.6599999999999999E-2</v>
      </c>
      <c r="U66" s="7">
        <v>4.4299999999999999E-2</v>
      </c>
      <c r="V66" s="7">
        <v>0.29720000000000002</v>
      </c>
      <c r="W66" s="7">
        <v>0.17469999999999999</v>
      </c>
      <c r="X66" s="7">
        <v>0.25769999999999998</v>
      </c>
      <c r="Y66" s="7">
        <v>4.6300000000000001E-2</v>
      </c>
      <c r="Z66" s="7">
        <v>2.41E-2</v>
      </c>
      <c r="AA66" s="7">
        <v>3.61E-2</v>
      </c>
      <c r="AB66" s="7"/>
      <c r="AC66">
        <v>30</v>
      </c>
    </row>
    <row r="67" spans="1:3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5" thickBot="1" x14ac:dyDescent="0.35">
      <c r="B70" s="5" t="s">
        <v>17</v>
      </c>
      <c r="C70" s="5" t="s">
        <v>18</v>
      </c>
      <c r="D70" s="5" t="s">
        <v>19</v>
      </c>
      <c r="E70" s="5" t="s">
        <v>20</v>
      </c>
      <c r="F70" s="5" t="s">
        <v>21</v>
      </c>
      <c r="G70" s="5" t="s">
        <v>22</v>
      </c>
      <c r="H70" s="5" t="s">
        <v>23</v>
      </c>
      <c r="I70" s="5" t="s">
        <v>24</v>
      </c>
      <c r="J70" s="5" t="s">
        <v>25</v>
      </c>
      <c r="K70" s="5" t="s">
        <v>26</v>
      </c>
      <c r="L70" s="5" t="s">
        <v>27</v>
      </c>
      <c r="M70" s="5" t="s">
        <v>28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3">
      <c r="A71" s="6" t="s">
        <v>29</v>
      </c>
      <c r="B71">
        <f xml:space="preserve"> INDEX($AC4:$AC66,MATCH(MAX(P4:P66),P4:P66,0),0)</f>
        <v>2</v>
      </c>
      <c r="C71">
        <f t="shared" ref="C71:M71" si="0" xml:space="preserve"> INDEX($AC4:$AC66,MATCH(MAX(Q4:Q66),Q4:Q66,0),0)</f>
        <v>2</v>
      </c>
      <c r="D71">
        <f t="shared" si="0"/>
        <v>2</v>
      </c>
      <c r="E71">
        <f t="shared" si="0"/>
        <v>2</v>
      </c>
      <c r="F71">
        <f t="shared" si="0"/>
        <v>3</v>
      </c>
      <c r="G71">
        <f t="shared" si="0"/>
        <v>2</v>
      </c>
      <c r="H71">
        <f t="shared" si="0"/>
        <v>30</v>
      </c>
      <c r="I71">
        <f t="shared" si="0"/>
        <v>3</v>
      </c>
      <c r="J71">
        <f t="shared" si="0"/>
        <v>2</v>
      </c>
      <c r="K71">
        <f t="shared" si="0"/>
        <v>2</v>
      </c>
      <c r="L71">
        <f t="shared" si="0"/>
        <v>2</v>
      </c>
      <c r="M71">
        <f t="shared" si="0"/>
        <v>2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3">
      <c r="A72" s="6" t="s">
        <v>0</v>
      </c>
      <c r="B72">
        <f xml:space="preserve">  INDEX($A4:$A66,MATCH(MAX(P4:P66),P4:P66,0),0)</f>
        <v>0.8</v>
      </c>
      <c r="C72">
        <f t="shared" ref="C72:M72" si="1" xml:space="preserve">  INDEX($A4:$A66,MATCH(MAX(Q4:Q66),Q4:Q66,0),0)</f>
        <v>0.75</v>
      </c>
      <c r="D72">
        <f t="shared" si="1"/>
        <v>0.8</v>
      </c>
      <c r="E72">
        <f t="shared" si="1"/>
        <v>0.5</v>
      </c>
      <c r="F72">
        <f t="shared" si="1"/>
        <v>0.7</v>
      </c>
      <c r="G72">
        <f t="shared" si="1"/>
        <v>0.6</v>
      </c>
      <c r="H72">
        <f t="shared" si="1"/>
        <v>0.75</v>
      </c>
      <c r="I72">
        <f t="shared" si="1"/>
        <v>0.7</v>
      </c>
      <c r="J72">
        <f t="shared" si="1"/>
        <v>0.6</v>
      </c>
      <c r="K72">
        <f t="shared" si="1"/>
        <v>0.5</v>
      </c>
      <c r="L72">
        <f t="shared" si="1"/>
        <v>0.65</v>
      </c>
      <c r="M72">
        <f t="shared" si="1"/>
        <v>0.4</v>
      </c>
    </row>
    <row r="73" spans="1:34" x14ac:dyDescent="0.3">
      <c r="A73" s="6" t="s">
        <v>30</v>
      </c>
      <c r="B73">
        <f>MAX(P4:P66)</f>
        <v>4.6800000000000001E-2</v>
      </c>
      <c r="C73">
        <f t="shared" ref="C73:M73" si="2">MAX(Q4:Q66)</f>
        <v>3.8199999999999998E-2</v>
      </c>
      <c r="D73">
        <f t="shared" si="2"/>
        <v>5.0500000000000003E-2</v>
      </c>
      <c r="E73">
        <f t="shared" si="2"/>
        <v>0.115</v>
      </c>
      <c r="F73">
        <f t="shared" si="2"/>
        <v>8.1900000000000001E-2</v>
      </c>
      <c r="G73">
        <f t="shared" si="2"/>
        <v>0.10879999999999999</v>
      </c>
      <c r="H73">
        <f t="shared" si="2"/>
        <v>0.311</v>
      </c>
      <c r="I73">
        <f t="shared" si="2"/>
        <v>0.222</v>
      </c>
      <c r="J73">
        <f t="shared" si="2"/>
        <v>0.312</v>
      </c>
      <c r="K73">
        <f t="shared" si="2"/>
        <v>8.6999999999999994E-2</v>
      </c>
      <c r="L73">
        <f t="shared" si="2"/>
        <v>0.1003</v>
      </c>
      <c r="M73">
        <f t="shared" si="2"/>
        <v>9.5399999999999999E-2</v>
      </c>
    </row>
    <row r="74" spans="1:34" x14ac:dyDescent="0.3">
      <c r="A74" s="6" t="s">
        <v>32</v>
      </c>
      <c r="B74">
        <f xml:space="preserve"> INDEX(B4:B66,MATCH(MAX(P4:P66),P4:P66,0),0)</f>
        <v>2</v>
      </c>
      <c r="C74">
        <f t="shared" ref="C74:M74" si="3" xml:space="preserve"> INDEX(C4:C66,MATCH(MAX(Q4:Q66),Q4:Q66,0),0)</f>
        <v>16</v>
      </c>
      <c r="D74">
        <f t="shared" si="3"/>
        <v>6</v>
      </c>
      <c r="E74">
        <f t="shared" si="3"/>
        <v>14</v>
      </c>
      <c r="F74">
        <f t="shared" si="3"/>
        <v>10</v>
      </c>
      <c r="G74">
        <f t="shared" si="3"/>
        <v>12</v>
      </c>
      <c r="H74">
        <f t="shared" si="3"/>
        <v>1</v>
      </c>
      <c r="I74">
        <f t="shared" si="3"/>
        <v>5</v>
      </c>
      <c r="J74">
        <f t="shared" si="3"/>
        <v>6</v>
      </c>
      <c r="K74">
        <f t="shared" si="3"/>
        <v>10</v>
      </c>
      <c r="L74">
        <f t="shared" si="3"/>
        <v>7</v>
      </c>
      <c r="M74">
        <f t="shared" si="3"/>
        <v>7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E8AB-2CC7-4886-AD8D-DDA533D9451F}">
  <dimension ref="A1:AG74"/>
  <sheetViews>
    <sheetView topLeftCell="A54" zoomScale="65" workbookViewId="0">
      <selection activeCell="B71" sqref="B71:M74"/>
    </sheetView>
  </sheetViews>
  <sheetFormatPr baseColWidth="10" defaultRowHeight="14.4" x14ac:dyDescent="0.3"/>
  <sheetData>
    <row r="1" spans="1:33" x14ac:dyDescent="0.3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3">
      <c r="A2" s="7" t="s">
        <v>32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13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3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31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/>
      <c r="O3" s="7" t="s">
        <v>0</v>
      </c>
      <c r="P3" s="7" t="s">
        <v>1</v>
      </c>
      <c r="Q3" s="7" t="s">
        <v>2</v>
      </c>
      <c r="R3" s="7" t="s">
        <v>3</v>
      </c>
      <c r="S3" s="7" t="s">
        <v>4</v>
      </c>
      <c r="T3" s="7" t="s">
        <v>31</v>
      </c>
      <c r="U3" s="7" t="s">
        <v>5</v>
      </c>
      <c r="V3" s="7" t="s">
        <v>6</v>
      </c>
      <c r="W3" s="7" t="s">
        <v>7</v>
      </c>
      <c r="X3" s="7" t="s">
        <v>8</v>
      </c>
      <c r="Y3" s="7" t="s">
        <v>9</v>
      </c>
      <c r="Z3" s="7" t="s">
        <v>10</v>
      </c>
      <c r="AA3" s="7" t="s">
        <v>11</v>
      </c>
    </row>
    <row r="4" spans="1:33" x14ac:dyDescent="0.3">
      <c r="A4" s="8">
        <v>0.3</v>
      </c>
      <c r="B4" s="7">
        <v>2</v>
      </c>
      <c r="C4" s="7">
        <v>1</v>
      </c>
      <c r="D4" s="7">
        <v>1</v>
      </c>
      <c r="E4" s="7">
        <v>3</v>
      </c>
      <c r="F4" s="7">
        <v>2</v>
      </c>
      <c r="G4" s="7">
        <v>2</v>
      </c>
      <c r="H4" s="7">
        <v>6</v>
      </c>
      <c r="I4" s="7">
        <v>5</v>
      </c>
      <c r="J4" s="7">
        <v>6</v>
      </c>
      <c r="K4" s="7">
        <v>4</v>
      </c>
      <c r="L4" s="7">
        <v>5</v>
      </c>
      <c r="M4" s="7">
        <v>5</v>
      </c>
      <c r="N4" s="7"/>
      <c r="O4" s="8">
        <v>0.3</v>
      </c>
      <c r="P4" s="7">
        <v>6.2700000000000006E-2</v>
      </c>
      <c r="Q4" s="7">
        <v>3.9899999999999998E-2</v>
      </c>
      <c r="R4" s="7">
        <v>4.8399999999999999E-2</v>
      </c>
      <c r="S4" s="7">
        <v>3.9899999999999998E-2</v>
      </c>
      <c r="T4" s="7">
        <f>0.0089</f>
        <v>8.8999999999999999E-3</v>
      </c>
      <c r="U4" s="7">
        <v>1.6E-2</v>
      </c>
      <c r="V4" s="7">
        <v>0.2165</v>
      </c>
      <c r="W4" s="7">
        <f>0.0623</f>
        <v>6.2300000000000001E-2</v>
      </c>
      <c r="X4" s="7">
        <v>0.2203</v>
      </c>
      <c r="Y4" s="7">
        <v>8.3900000000000002E-2</v>
      </c>
      <c r="Z4" s="7">
        <v>9.5399999999999999E-2</v>
      </c>
      <c r="AA4" s="7">
        <v>9.4500000000000001E-2</v>
      </c>
      <c r="AC4">
        <v>2</v>
      </c>
    </row>
    <row r="5" spans="1:33" x14ac:dyDescent="0.3">
      <c r="A5" s="8">
        <v>0.4</v>
      </c>
      <c r="B5" s="7">
        <v>2</v>
      </c>
      <c r="C5" s="7">
        <v>1</v>
      </c>
      <c r="D5" s="7">
        <v>2</v>
      </c>
      <c r="E5" s="7">
        <v>4</v>
      </c>
      <c r="F5" s="7">
        <v>2</v>
      </c>
      <c r="G5" s="7">
        <v>4</v>
      </c>
      <c r="H5" s="7">
        <v>6</v>
      </c>
      <c r="I5" s="7">
        <v>8</v>
      </c>
      <c r="J5" s="7">
        <v>6</v>
      </c>
      <c r="K5" s="7">
        <v>4</v>
      </c>
      <c r="L5" s="7">
        <v>5</v>
      </c>
      <c r="M5" s="7">
        <v>4</v>
      </c>
      <c r="N5" s="7"/>
      <c r="O5" s="8">
        <v>0.4</v>
      </c>
      <c r="P5" s="7">
        <v>6.2700000000000006E-2</v>
      </c>
      <c r="Q5" s="7">
        <v>3.9899999999999998E-2</v>
      </c>
      <c r="R5" s="7">
        <v>6.4699999999999994E-2</v>
      </c>
      <c r="S5" s="7">
        <v>0.1094</v>
      </c>
      <c r="T5" s="7">
        <v>3.0800000000000001E-2</v>
      </c>
      <c r="U5" s="7">
        <v>0.1123</v>
      </c>
      <c r="V5" s="7">
        <v>0.30349999999999999</v>
      </c>
      <c r="W5" s="7">
        <v>9.7500000000000003E-2</v>
      </c>
      <c r="X5" s="7">
        <v>0.32769999999999999</v>
      </c>
      <c r="Y5" s="7">
        <v>8.3900000000000002E-2</v>
      </c>
      <c r="Z5" s="7">
        <v>9.5399999999999999E-2</v>
      </c>
      <c r="AA5" s="7">
        <v>9.9599999999999994E-2</v>
      </c>
      <c r="AC5">
        <v>2</v>
      </c>
    </row>
    <row r="6" spans="1:33" x14ac:dyDescent="0.3">
      <c r="A6" s="8">
        <v>0.5</v>
      </c>
      <c r="B6" s="7">
        <v>4</v>
      </c>
      <c r="C6" s="7">
        <v>2</v>
      </c>
      <c r="D6" s="7">
        <v>2</v>
      </c>
      <c r="E6" s="7">
        <v>7</v>
      </c>
      <c r="F6" s="7">
        <v>4</v>
      </c>
      <c r="G6" s="7">
        <v>4</v>
      </c>
      <c r="H6" s="7">
        <v>7</v>
      </c>
      <c r="I6" s="7">
        <v>7</v>
      </c>
      <c r="J6" s="7">
        <v>7</v>
      </c>
      <c r="K6" s="7">
        <v>4</v>
      </c>
      <c r="L6" s="7">
        <v>4</v>
      </c>
      <c r="M6" s="7">
        <v>4</v>
      </c>
      <c r="N6" s="7"/>
      <c r="O6" s="8">
        <v>0.5</v>
      </c>
      <c r="P6" s="7">
        <v>4.5499999999999999E-2</v>
      </c>
      <c r="Q6" s="7">
        <v>5.2699999999999997E-2</v>
      </c>
      <c r="R6" s="7">
        <v>7.2900000000000006E-2</v>
      </c>
      <c r="S6" s="7">
        <v>0.1497</v>
      </c>
      <c r="T6" s="7">
        <v>6.3100000000000003E-2</v>
      </c>
      <c r="U6" s="7">
        <v>0.1328</v>
      </c>
      <c r="V6" s="9">
        <v>0.316</v>
      </c>
      <c r="W6" s="7">
        <v>0.21870000000000001</v>
      </c>
      <c r="X6" s="9">
        <v>0.3377</v>
      </c>
      <c r="Y6" s="7">
        <v>9.8799999999999999E-2</v>
      </c>
      <c r="Z6" s="7">
        <v>9.6500000000000002E-2</v>
      </c>
      <c r="AA6" s="7">
        <v>0.10630000000000001</v>
      </c>
      <c r="AC6">
        <v>2</v>
      </c>
    </row>
    <row r="7" spans="1:33" x14ac:dyDescent="0.3">
      <c r="A7" s="8">
        <v>0.6</v>
      </c>
      <c r="B7" s="7">
        <v>8</v>
      </c>
      <c r="C7" s="7">
        <v>2</v>
      </c>
      <c r="D7" s="7">
        <v>6</v>
      </c>
      <c r="E7" s="7">
        <v>8</v>
      </c>
      <c r="F7" s="7">
        <v>4</v>
      </c>
      <c r="G7" s="7">
        <v>9</v>
      </c>
      <c r="H7" s="7">
        <v>4</v>
      </c>
      <c r="I7" s="7">
        <v>6</v>
      </c>
      <c r="J7" s="7">
        <v>6</v>
      </c>
      <c r="K7" s="7">
        <v>4</v>
      </c>
      <c r="L7" s="7">
        <v>4</v>
      </c>
      <c r="M7" s="7">
        <v>5</v>
      </c>
      <c r="N7" s="7"/>
      <c r="O7" s="8">
        <v>0.6</v>
      </c>
      <c r="P7" s="7">
        <v>4.3099999999999999E-2</v>
      </c>
      <c r="Q7" s="7">
        <v>5.2699999999999997E-2</v>
      </c>
      <c r="R7" s="7">
        <v>6.1800000000000001E-2</v>
      </c>
      <c r="S7" s="7">
        <v>0.1542</v>
      </c>
      <c r="T7" s="7">
        <v>9.8900000000000002E-2</v>
      </c>
      <c r="U7" s="9">
        <v>0.17050000000000001</v>
      </c>
      <c r="V7" s="7">
        <v>0.3105</v>
      </c>
      <c r="W7" s="7">
        <v>0.2576</v>
      </c>
      <c r="X7" s="7">
        <v>0.31330000000000002</v>
      </c>
      <c r="Y7" s="7">
        <v>0.1024</v>
      </c>
      <c r="Z7" s="7">
        <v>9.6500000000000002E-2</v>
      </c>
      <c r="AA7" s="7">
        <v>0.1198</v>
      </c>
      <c r="AC7">
        <v>2</v>
      </c>
    </row>
    <row r="8" spans="1:33" x14ac:dyDescent="0.3">
      <c r="A8" s="8">
        <v>0.65</v>
      </c>
      <c r="B8" s="7">
        <v>8</v>
      </c>
      <c r="C8" s="7">
        <v>2</v>
      </c>
      <c r="D8" s="7">
        <v>9</v>
      </c>
      <c r="E8" s="7">
        <v>7</v>
      </c>
      <c r="F8" s="7">
        <v>4</v>
      </c>
      <c r="G8" s="7">
        <v>8</v>
      </c>
      <c r="H8" s="7">
        <v>2</v>
      </c>
      <c r="I8" s="7">
        <v>6</v>
      </c>
      <c r="J8" s="7">
        <v>5</v>
      </c>
      <c r="K8" s="7">
        <v>3</v>
      </c>
      <c r="L8" s="7">
        <v>4</v>
      </c>
      <c r="M8" s="7">
        <v>4</v>
      </c>
      <c r="N8" s="7"/>
      <c r="O8" s="8">
        <v>0.65</v>
      </c>
      <c r="P8" s="7">
        <v>7.7299999999999994E-2</v>
      </c>
      <c r="Q8" s="7">
        <v>5.2699999999999997E-2</v>
      </c>
      <c r="R8" s="7">
        <v>5.6800000000000003E-2</v>
      </c>
      <c r="S8" s="7">
        <v>0.16170000000000001</v>
      </c>
      <c r="T8" s="7">
        <v>0.1046</v>
      </c>
      <c r="U8" s="7">
        <v>0.152</v>
      </c>
      <c r="V8" s="7">
        <v>0.27610000000000001</v>
      </c>
      <c r="W8" s="7">
        <v>0.25569999999999998</v>
      </c>
      <c r="X8" s="7">
        <v>0.3125</v>
      </c>
      <c r="Y8" s="7">
        <v>7.3300000000000004E-2</v>
      </c>
      <c r="Z8" s="7">
        <v>9.8400000000000001E-2</v>
      </c>
      <c r="AA8" s="7">
        <v>9.74E-2</v>
      </c>
      <c r="AC8">
        <v>2</v>
      </c>
    </row>
    <row r="9" spans="1:33" x14ac:dyDescent="0.3">
      <c r="A9" s="8">
        <v>0.7</v>
      </c>
      <c r="B9" s="7">
        <v>6</v>
      </c>
      <c r="C9" s="7">
        <v>2</v>
      </c>
      <c r="D9" s="7">
        <v>8</v>
      </c>
      <c r="E9" s="7">
        <v>7</v>
      </c>
      <c r="F9" s="7">
        <v>5</v>
      </c>
      <c r="G9" s="7">
        <v>7</v>
      </c>
      <c r="H9" s="7">
        <v>1</v>
      </c>
      <c r="I9" s="7">
        <v>7</v>
      </c>
      <c r="J9" s="7">
        <v>3</v>
      </c>
      <c r="K9" s="7">
        <v>2</v>
      </c>
      <c r="L9" s="7">
        <v>4</v>
      </c>
      <c r="M9" s="7">
        <v>4</v>
      </c>
      <c r="N9" s="7"/>
      <c r="O9" s="8">
        <v>0.7</v>
      </c>
      <c r="P9" s="9">
        <v>9.7799999999999998E-2</v>
      </c>
      <c r="Q9" s="7">
        <v>5.2900000000000003E-2</v>
      </c>
      <c r="R9" s="7">
        <v>7.3999999999999996E-2</v>
      </c>
      <c r="S9" s="9">
        <v>0.16719999999999999</v>
      </c>
      <c r="T9" s="7">
        <v>0.11119999999999999</v>
      </c>
      <c r="U9" s="7">
        <v>0.1404</v>
      </c>
      <c r="V9" s="7">
        <v>0.2402</v>
      </c>
      <c r="W9" s="9">
        <v>0.26179999999999998</v>
      </c>
      <c r="X9" s="7">
        <v>0.26569999999999999</v>
      </c>
      <c r="Y9" s="7">
        <v>7.2999999999999995E-2</v>
      </c>
      <c r="Z9" s="7">
        <v>9.8400000000000001E-2</v>
      </c>
      <c r="AA9" s="7">
        <v>9.74E-2</v>
      </c>
      <c r="AC9">
        <v>2</v>
      </c>
    </row>
    <row r="10" spans="1:33" x14ac:dyDescent="0.3">
      <c r="A10" s="8">
        <v>0.75</v>
      </c>
      <c r="B10" s="7">
        <v>5</v>
      </c>
      <c r="C10" s="7">
        <v>6</v>
      </c>
      <c r="D10" s="7">
        <v>7</v>
      </c>
      <c r="E10" s="7">
        <v>7</v>
      </c>
      <c r="F10" s="7">
        <v>9</v>
      </c>
      <c r="G10" s="7">
        <v>7</v>
      </c>
      <c r="H10" s="7">
        <v>1</v>
      </c>
      <c r="I10" s="7">
        <v>6</v>
      </c>
      <c r="J10" s="7">
        <v>2</v>
      </c>
      <c r="K10" s="7">
        <v>2</v>
      </c>
      <c r="L10" s="7">
        <v>5</v>
      </c>
      <c r="M10" s="7">
        <v>4</v>
      </c>
      <c r="N10" s="7"/>
      <c r="O10" s="8">
        <v>0.75</v>
      </c>
      <c r="P10" s="7">
        <v>8.0299999999999996E-2</v>
      </c>
      <c r="Q10" s="7">
        <v>0.05</v>
      </c>
      <c r="R10" s="7">
        <v>8.6599999999999996E-2</v>
      </c>
      <c r="S10" s="7">
        <v>0.1603</v>
      </c>
      <c r="T10" s="9">
        <v>0.12640000000000001</v>
      </c>
      <c r="U10" s="7">
        <v>0.15859999999999999</v>
      </c>
      <c r="V10" s="7">
        <v>0.2402</v>
      </c>
      <c r="W10" s="7">
        <v>0.2356</v>
      </c>
      <c r="X10" s="7">
        <v>0.255</v>
      </c>
      <c r="Y10" s="7">
        <v>7.4399999999999994E-2</v>
      </c>
      <c r="Z10" s="7">
        <v>0.1046</v>
      </c>
      <c r="AA10" s="7">
        <v>9.8299999999999998E-2</v>
      </c>
      <c r="AC10">
        <v>2</v>
      </c>
    </row>
    <row r="11" spans="1:33" x14ac:dyDescent="0.3">
      <c r="A11" s="8">
        <v>0.8</v>
      </c>
      <c r="B11" s="7">
        <v>2</v>
      </c>
      <c r="C11" s="7">
        <v>9</v>
      </c>
      <c r="D11" s="7">
        <v>4</v>
      </c>
      <c r="E11" s="7">
        <v>3</v>
      </c>
      <c r="F11" s="7">
        <v>7</v>
      </c>
      <c r="G11" s="7">
        <v>6</v>
      </c>
      <c r="H11" s="7">
        <v>1</v>
      </c>
      <c r="I11" s="7">
        <v>5</v>
      </c>
      <c r="J11" s="7">
        <v>2</v>
      </c>
      <c r="K11" s="7">
        <v>2</v>
      </c>
      <c r="L11" s="7">
        <v>4</v>
      </c>
      <c r="M11" s="7">
        <v>3</v>
      </c>
      <c r="N11" s="7"/>
      <c r="O11" s="8">
        <v>0.8</v>
      </c>
      <c r="P11" s="7">
        <v>5.1299999999999998E-2</v>
      </c>
      <c r="Q11" s="7">
        <v>5.28E-2</v>
      </c>
      <c r="R11" s="7">
        <v>8.2900000000000001E-2</v>
      </c>
      <c r="S11" s="7">
        <v>0.11260000000000001</v>
      </c>
      <c r="T11" s="7">
        <v>0.1018</v>
      </c>
      <c r="U11" s="7">
        <v>0.15970000000000001</v>
      </c>
      <c r="V11" s="7">
        <v>0.24079999999999999</v>
      </c>
      <c r="W11" s="7">
        <v>0.22850000000000001</v>
      </c>
      <c r="X11" s="7">
        <v>0.25180000000000002</v>
      </c>
      <c r="Y11" s="7">
        <v>7.3800000000000004E-2</v>
      </c>
      <c r="Z11" s="7">
        <v>8.3500000000000005E-2</v>
      </c>
      <c r="AA11" s="7">
        <v>6.7100000000000007E-2</v>
      </c>
      <c r="AC11">
        <v>2</v>
      </c>
    </row>
    <row r="12" spans="1:33" x14ac:dyDescent="0.3">
      <c r="A12" s="8">
        <v>0.85</v>
      </c>
      <c r="B12" s="7">
        <v>2</v>
      </c>
      <c r="C12" s="7">
        <v>7</v>
      </c>
      <c r="D12" s="7">
        <v>4</v>
      </c>
      <c r="E12" s="7">
        <v>2</v>
      </c>
      <c r="F12" s="7">
        <v>6</v>
      </c>
      <c r="G12" s="7">
        <v>5</v>
      </c>
      <c r="H12" s="7">
        <v>1</v>
      </c>
      <c r="I12" s="7">
        <v>3</v>
      </c>
      <c r="J12" s="7">
        <v>1</v>
      </c>
      <c r="K12" s="7">
        <v>2</v>
      </c>
      <c r="L12" s="7">
        <v>4</v>
      </c>
      <c r="M12" s="7">
        <v>2</v>
      </c>
      <c r="N12" s="7"/>
      <c r="O12" s="8">
        <v>0.85</v>
      </c>
      <c r="P12" s="7">
        <v>6.1699999999999998E-2</v>
      </c>
      <c r="Q12" s="7">
        <v>5.9400000000000001E-2</v>
      </c>
      <c r="R12" s="7">
        <v>8.6400000000000005E-2</v>
      </c>
      <c r="S12" s="7">
        <v>8.1799999999999998E-2</v>
      </c>
      <c r="T12" s="7">
        <v>0.1085</v>
      </c>
      <c r="U12" s="7">
        <v>0.1229</v>
      </c>
      <c r="V12" s="7">
        <v>0.24079999999999999</v>
      </c>
      <c r="W12" s="7">
        <v>0.19040000000000001</v>
      </c>
      <c r="X12" s="7">
        <v>0.20030000000000001</v>
      </c>
      <c r="Y12" s="7">
        <v>6.4699999999999994E-2</v>
      </c>
      <c r="Z12" s="7">
        <v>8.3799999999999999E-2</v>
      </c>
      <c r="AA12" s="7">
        <v>6.2799999999999995E-2</v>
      </c>
      <c r="AC12">
        <v>2</v>
      </c>
    </row>
    <row r="13" spans="1:33" x14ac:dyDescent="0.3">
      <c r="A13" s="8">
        <v>0.9</v>
      </c>
      <c r="B13" s="7">
        <v>1</v>
      </c>
      <c r="C13" s="7">
        <v>4</v>
      </c>
      <c r="D13" s="7">
        <v>4</v>
      </c>
      <c r="E13" s="7">
        <v>1</v>
      </c>
      <c r="F13" s="7">
        <v>6</v>
      </c>
      <c r="G13" s="7">
        <v>4</v>
      </c>
      <c r="H13" s="7">
        <v>1</v>
      </c>
      <c r="I13" s="7">
        <v>2</v>
      </c>
      <c r="J13" s="7">
        <v>1</v>
      </c>
      <c r="K13" s="7">
        <v>1</v>
      </c>
      <c r="L13" s="7">
        <v>2</v>
      </c>
      <c r="M13" s="7">
        <v>2</v>
      </c>
      <c r="N13" s="7"/>
      <c r="O13" s="8">
        <v>0.9</v>
      </c>
      <c r="P13" s="7">
        <v>4.24E-2</v>
      </c>
      <c r="Q13" s="7">
        <v>5.8700000000000002E-2</v>
      </c>
      <c r="R13" s="9">
        <v>8.8700000000000001E-2</v>
      </c>
      <c r="S13" s="7">
        <v>5.7000000000000002E-2</v>
      </c>
      <c r="T13" s="7">
        <v>0.1099</v>
      </c>
      <c r="U13" s="7">
        <v>0.1166</v>
      </c>
      <c r="V13" s="7">
        <v>0.24079999999999999</v>
      </c>
      <c r="W13" s="7">
        <v>0.1787</v>
      </c>
      <c r="X13" s="7">
        <v>0.20030000000000001</v>
      </c>
      <c r="Y13" s="7">
        <v>4.2599999999999999E-2</v>
      </c>
      <c r="Z13" s="7">
        <v>5.2600000000000001E-2</v>
      </c>
      <c r="AA13" s="7">
        <v>6.4100000000000004E-2</v>
      </c>
      <c r="AC13">
        <v>2</v>
      </c>
    </row>
    <row r="14" spans="1:33" x14ac:dyDescent="0.3">
      <c r="A14" s="8">
        <v>0.95</v>
      </c>
      <c r="B14" s="7">
        <v>1</v>
      </c>
      <c r="C14" s="7">
        <v>4</v>
      </c>
      <c r="D14" s="7">
        <v>1</v>
      </c>
      <c r="E14" s="7">
        <v>1</v>
      </c>
      <c r="F14" s="7">
        <v>4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2</v>
      </c>
      <c r="M14" s="7">
        <v>1</v>
      </c>
      <c r="N14" s="7"/>
      <c r="O14" s="8">
        <v>0.95</v>
      </c>
      <c r="P14" s="7">
        <v>4.4699999999999997E-2</v>
      </c>
      <c r="Q14" s="9">
        <v>6.0499999999999998E-2</v>
      </c>
      <c r="R14" s="7">
        <v>3.3399999999999999E-2</v>
      </c>
      <c r="S14" s="7">
        <v>5.79E-2</v>
      </c>
      <c r="T14" s="7">
        <v>8.2199999999999995E-2</v>
      </c>
      <c r="U14" s="7">
        <v>4.7899999999999998E-2</v>
      </c>
      <c r="V14" s="7">
        <v>0.2379</v>
      </c>
      <c r="W14" s="7">
        <v>0.13489999999999999</v>
      </c>
      <c r="X14" s="7">
        <v>0.20030000000000001</v>
      </c>
      <c r="Y14" s="7">
        <v>4.2599999999999999E-2</v>
      </c>
      <c r="Z14" s="7">
        <v>5.2900000000000003E-2</v>
      </c>
      <c r="AA14" s="7">
        <v>3.1899999999999998E-2</v>
      </c>
      <c r="AC14">
        <v>2</v>
      </c>
    </row>
    <row r="15" spans="1:33" x14ac:dyDescent="0.3">
      <c r="A15" s="8">
        <v>0.99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/>
      <c r="O15" s="8">
        <v>0.99</v>
      </c>
      <c r="P15" s="7">
        <v>4.41E-2</v>
      </c>
      <c r="Q15" s="7">
        <v>1.83E-2</v>
      </c>
      <c r="R15" s="7">
        <v>3.2399999999999998E-2</v>
      </c>
      <c r="S15" s="7">
        <v>5.7099999999999998E-2</v>
      </c>
      <c r="T15" s="7">
        <v>2.8299999999999999E-2</v>
      </c>
      <c r="U15" s="7">
        <v>4.4900000000000002E-2</v>
      </c>
      <c r="V15" s="7">
        <v>0.2379</v>
      </c>
      <c r="W15" s="7">
        <v>0.1328</v>
      </c>
      <c r="X15" s="7">
        <v>0.1973</v>
      </c>
      <c r="Y15" s="7">
        <v>4.0099999999999997E-2</v>
      </c>
      <c r="Z15" s="7">
        <v>2.12E-2</v>
      </c>
      <c r="AA15" s="7">
        <v>3.1899999999999998E-2</v>
      </c>
      <c r="AC15">
        <v>2</v>
      </c>
    </row>
    <row r="16" spans="1:3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D16" s="7"/>
      <c r="AE16" s="7"/>
      <c r="AF16" s="7"/>
      <c r="AG16" s="7"/>
    </row>
    <row r="17" spans="1:3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D17" s="7"/>
      <c r="AE17" s="7"/>
      <c r="AF17" s="7"/>
      <c r="AG17" s="7"/>
    </row>
    <row r="18" spans="1:33" x14ac:dyDescent="0.3">
      <c r="A18" s="7" t="s">
        <v>14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D18" s="7"/>
      <c r="AE18" s="7"/>
      <c r="AF18" s="7"/>
      <c r="AG18" s="7"/>
    </row>
    <row r="19" spans="1:33" x14ac:dyDescent="0.3">
      <c r="A19" s="7" t="s">
        <v>32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 t="s">
        <v>13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D19" s="7"/>
    </row>
    <row r="20" spans="1:33" x14ac:dyDescent="0.3">
      <c r="A20" s="7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31</v>
      </c>
      <c r="G20" s="7" t="s">
        <v>5</v>
      </c>
      <c r="H20" s="7" t="s">
        <v>6</v>
      </c>
      <c r="I20" s="7" t="s">
        <v>7</v>
      </c>
      <c r="J20" s="7" t="s">
        <v>8</v>
      </c>
      <c r="K20" s="7" t="s">
        <v>9</v>
      </c>
      <c r="L20" s="7" t="s">
        <v>10</v>
      </c>
      <c r="M20" s="7" t="s">
        <v>11</v>
      </c>
      <c r="N20" s="7"/>
      <c r="O20" s="7" t="s">
        <v>0</v>
      </c>
      <c r="P20" s="7" t="s">
        <v>1</v>
      </c>
      <c r="Q20" s="7" t="s">
        <v>2</v>
      </c>
      <c r="R20" s="7" t="s">
        <v>3</v>
      </c>
      <c r="S20" s="7" t="s">
        <v>4</v>
      </c>
      <c r="T20" s="7" t="s">
        <v>31</v>
      </c>
      <c r="U20" s="7" t="s">
        <v>5</v>
      </c>
      <c r="V20" s="7" t="s">
        <v>6</v>
      </c>
      <c r="W20" s="7" t="s">
        <v>7</v>
      </c>
      <c r="X20" s="7" t="s">
        <v>8</v>
      </c>
      <c r="Y20" s="7" t="s">
        <v>9</v>
      </c>
      <c r="Z20" s="7" t="s">
        <v>10</v>
      </c>
      <c r="AA20" s="7" t="s">
        <v>11</v>
      </c>
    </row>
    <row r="21" spans="1:33" x14ac:dyDescent="0.3">
      <c r="A21" s="8">
        <v>0.3</v>
      </c>
      <c r="B21" s="7">
        <v>0</v>
      </c>
      <c r="C21" s="7">
        <v>0</v>
      </c>
      <c r="D21" s="7">
        <v>0</v>
      </c>
      <c r="E21" s="7">
        <v>2</v>
      </c>
      <c r="F21" s="7">
        <v>0</v>
      </c>
      <c r="G21" s="7">
        <v>1</v>
      </c>
      <c r="H21" s="7">
        <v>2</v>
      </c>
      <c r="I21" s="7">
        <v>2</v>
      </c>
      <c r="J21" s="7">
        <v>2</v>
      </c>
      <c r="K21" s="7">
        <v>2</v>
      </c>
      <c r="L21" s="7">
        <v>0</v>
      </c>
      <c r="M21" s="7">
        <v>1</v>
      </c>
      <c r="N21" s="7"/>
      <c r="O21" s="8">
        <v>0.3</v>
      </c>
      <c r="P21" s="7">
        <v>-1</v>
      </c>
      <c r="Q21" s="7">
        <v>-1</v>
      </c>
      <c r="R21" s="7">
        <v>-1</v>
      </c>
      <c r="S21" s="7">
        <v>2.3599999999999999E-2</v>
      </c>
      <c r="T21" s="7">
        <v>-1</v>
      </c>
      <c r="U21" s="7">
        <f>0.0045</f>
        <v>4.4999999999999997E-3</v>
      </c>
      <c r="V21" s="7">
        <v>0.20449999999999999</v>
      </c>
      <c r="W21" s="7">
        <f>0.0903</f>
        <v>9.0300000000000005E-2</v>
      </c>
      <c r="X21" s="7">
        <v>0.215</v>
      </c>
      <c r="Y21" s="7">
        <v>3.4299999999999997E-2</v>
      </c>
      <c r="Z21" s="7">
        <v>-1</v>
      </c>
      <c r="AA21" s="7">
        <v>3.32E-2</v>
      </c>
      <c r="AC21">
        <v>3</v>
      </c>
    </row>
    <row r="22" spans="1:33" x14ac:dyDescent="0.3">
      <c r="A22" s="8">
        <v>0.4</v>
      </c>
      <c r="B22" s="7">
        <v>0</v>
      </c>
      <c r="C22" s="7">
        <v>0</v>
      </c>
      <c r="D22" s="7">
        <v>0</v>
      </c>
      <c r="E22" s="7">
        <v>3</v>
      </c>
      <c r="F22" s="7">
        <v>1</v>
      </c>
      <c r="G22" s="7">
        <v>3</v>
      </c>
      <c r="H22" s="7">
        <v>2</v>
      </c>
      <c r="I22" s="7">
        <v>4</v>
      </c>
      <c r="J22" s="7">
        <v>2</v>
      </c>
      <c r="K22" s="7">
        <v>2</v>
      </c>
      <c r="L22" s="7">
        <v>0</v>
      </c>
      <c r="M22" s="7">
        <v>2</v>
      </c>
      <c r="N22" s="7"/>
      <c r="O22" s="8">
        <v>0.4</v>
      </c>
      <c r="P22" s="7">
        <v>-1</v>
      </c>
      <c r="Q22" s="7">
        <v>-1</v>
      </c>
      <c r="R22" s="7">
        <v>-1</v>
      </c>
      <c r="S22" s="7">
        <v>9.2899999999999996E-2</v>
      </c>
      <c r="T22" s="7">
        <v>7.9000000000000008E-3</v>
      </c>
      <c r="U22" s="7">
        <v>9.6199999999999994E-2</v>
      </c>
      <c r="V22" s="7">
        <v>0.2656</v>
      </c>
      <c r="W22" s="7">
        <v>3.1099999999999999E-2</v>
      </c>
      <c r="X22" s="7">
        <v>0.28570000000000001</v>
      </c>
      <c r="Y22" s="7">
        <v>3.4299999999999997E-2</v>
      </c>
      <c r="Z22" s="7">
        <v>-1</v>
      </c>
      <c r="AA22" s="7">
        <v>4.99E-2</v>
      </c>
      <c r="AC22">
        <v>3</v>
      </c>
    </row>
    <row r="23" spans="1:33" x14ac:dyDescent="0.3">
      <c r="A23" s="8">
        <v>0.5</v>
      </c>
      <c r="B23" s="7">
        <v>1</v>
      </c>
      <c r="C23" s="7">
        <v>0</v>
      </c>
      <c r="D23" s="7">
        <v>1</v>
      </c>
      <c r="E23" s="7">
        <v>3</v>
      </c>
      <c r="F23" s="7">
        <v>3</v>
      </c>
      <c r="G23" s="7">
        <v>3</v>
      </c>
      <c r="H23" s="7">
        <v>5</v>
      </c>
      <c r="I23" s="7">
        <v>2</v>
      </c>
      <c r="J23" s="7">
        <v>3</v>
      </c>
      <c r="K23" s="7">
        <v>3</v>
      </c>
      <c r="L23" s="7">
        <v>2</v>
      </c>
      <c r="M23" s="7">
        <v>3</v>
      </c>
      <c r="N23" s="7"/>
      <c r="O23" s="8">
        <v>0.5</v>
      </c>
      <c r="P23" s="7">
        <v>6.0600000000000001E-2</v>
      </c>
      <c r="Q23" s="7">
        <v>-1</v>
      </c>
      <c r="R23" s="7">
        <v>5.6599999999999998E-2</v>
      </c>
      <c r="S23" s="7">
        <v>0.113</v>
      </c>
      <c r="T23" s="7">
        <v>5.0299999999999997E-2</v>
      </c>
      <c r="U23" s="7">
        <v>0.1168</v>
      </c>
      <c r="V23" s="7">
        <v>0.28370000000000001</v>
      </c>
      <c r="W23" s="7">
        <v>0.19339999999999999</v>
      </c>
      <c r="X23" s="7">
        <v>0.29470000000000002</v>
      </c>
      <c r="Y23" s="7">
        <v>7.0999999999999994E-2</v>
      </c>
      <c r="Z23" s="7">
        <v>4.9000000000000002E-2</v>
      </c>
      <c r="AA23" s="7">
        <v>7.6499999999999999E-2</v>
      </c>
      <c r="AC23">
        <v>3</v>
      </c>
    </row>
    <row r="24" spans="1:33" x14ac:dyDescent="0.3">
      <c r="A24" s="8">
        <v>0.6</v>
      </c>
      <c r="B24" s="7">
        <v>1</v>
      </c>
      <c r="C24" s="7">
        <v>0</v>
      </c>
      <c r="D24" s="7">
        <v>1</v>
      </c>
      <c r="E24" s="7">
        <v>2</v>
      </c>
      <c r="F24" s="7">
        <v>3</v>
      </c>
      <c r="G24" s="7">
        <v>3</v>
      </c>
      <c r="H24" s="7">
        <v>4</v>
      </c>
      <c r="I24" s="7">
        <v>2</v>
      </c>
      <c r="J24" s="7">
        <v>5</v>
      </c>
      <c r="K24" s="7">
        <v>2</v>
      </c>
      <c r="L24" s="7">
        <v>2</v>
      </c>
      <c r="M24" s="7">
        <v>3</v>
      </c>
      <c r="N24" s="7"/>
      <c r="O24" s="8">
        <v>0.6</v>
      </c>
      <c r="P24" s="7">
        <v>6.0600000000000001E-2</v>
      </c>
      <c r="Q24" s="7">
        <v>-1</v>
      </c>
      <c r="R24" s="7">
        <v>5.6599999999999998E-2</v>
      </c>
      <c r="S24" s="7">
        <v>0.11550000000000001</v>
      </c>
      <c r="T24" s="7">
        <v>8.6099999999999996E-2</v>
      </c>
      <c r="U24" s="7">
        <v>0.1215</v>
      </c>
      <c r="V24" s="7">
        <v>0.3105</v>
      </c>
      <c r="W24" s="7">
        <v>0.21329999999999999</v>
      </c>
      <c r="X24" s="7">
        <v>0.30020000000000002</v>
      </c>
      <c r="Y24" s="7">
        <v>6.5299999999999997E-2</v>
      </c>
      <c r="Z24" s="7">
        <v>4.9000000000000002E-2</v>
      </c>
      <c r="AA24" s="7">
        <v>8.0600000000000005E-2</v>
      </c>
      <c r="AC24">
        <v>3</v>
      </c>
    </row>
    <row r="25" spans="1:33" x14ac:dyDescent="0.3">
      <c r="A25" s="8">
        <v>0.65</v>
      </c>
      <c r="B25" s="7">
        <v>5</v>
      </c>
      <c r="C25" s="7">
        <v>0</v>
      </c>
      <c r="D25" s="7">
        <v>2</v>
      </c>
      <c r="E25" s="7">
        <v>4</v>
      </c>
      <c r="F25" s="7">
        <v>3</v>
      </c>
      <c r="G25" s="7">
        <v>3</v>
      </c>
      <c r="H25" s="7">
        <v>2</v>
      </c>
      <c r="I25" s="7">
        <v>2</v>
      </c>
      <c r="J25" s="7">
        <v>4</v>
      </c>
      <c r="K25" s="7">
        <v>1</v>
      </c>
      <c r="L25" s="7">
        <v>3</v>
      </c>
      <c r="M25" s="7">
        <v>2</v>
      </c>
      <c r="N25" s="7"/>
      <c r="O25" s="8">
        <v>0.65</v>
      </c>
      <c r="P25" s="7">
        <v>5.5899999999999998E-2</v>
      </c>
      <c r="Q25" s="7">
        <v>-1</v>
      </c>
      <c r="R25" s="7">
        <v>2.6499999999999999E-2</v>
      </c>
      <c r="S25" s="7">
        <v>0.13120000000000001</v>
      </c>
      <c r="T25" s="7">
        <v>9.1899999999999996E-2</v>
      </c>
      <c r="U25" s="7">
        <v>0.1076</v>
      </c>
      <c r="V25" s="7">
        <v>0.27610000000000001</v>
      </c>
      <c r="W25" s="7">
        <v>0.2145</v>
      </c>
      <c r="X25" s="7">
        <v>0.30869999999999997</v>
      </c>
      <c r="Y25" s="7">
        <v>4.2099999999999999E-2</v>
      </c>
      <c r="Z25" s="7">
        <v>6.83E-2</v>
      </c>
      <c r="AA25" s="7">
        <v>5.91E-2</v>
      </c>
      <c r="AC25">
        <v>3</v>
      </c>
    </row>
    <row r="26" spans="1:33" x14ac:dyDescent="0.3">
      <c r="A26" s="8">
        <v>0.7</v>
      </c>
      <c r="B26" s="7">
        <v>4</v>
      </c>
      <c r="C26" s="7">
        <v>1</v>
      </c>
      <c r="D26" s="7">
        <v>5</v>
      </c>
      <c r="E26" s="7">
        <v>5</v>
      </c>
      <c r="F26" s="7">
        <v>3</v>
      </c>
      <c r="G26" s="7">
        <v>4</v>
      </c>
      <c r="H26" s="7">
        <v>1</v>
      </c>
      <c r="I26" s="7">
        <v>4</v>
      </c>
      <c r="J26" s="7">
        <v>3</v>
      </c>
      <c r="K26" s="7">
        <v>1</v>
      </c>
      <c r="L26" s="7">
        <v>3</v>
      </c>
      <c r="M26" s="7">
        <v>2</v>
      </c>
      <c r="N26" s="7"/>
      <c r="O26" s="8">
        <v>0.7</v>
      </c>
      <c r="P26" s="7">
        <v>7.6200000000000004E-2</v>
      </c>
      <c r="Q26" s="7">
        <v>4.0099999999999997E-2</v>
      </c>
      <c r="R26" s="7">
        <v>5.5399999999999998E-2</v>
      </c>
      <c r="S26" s="7">
        <v>0.14410000000000001</v>
      </c>
      <c r="T26" s="7">
        <v>9.5200000000000007E-2</v>
      </c>
      <c r="U26" s="7">
        <v>0.1236</v>
      </c>
      <c r="V26" s="7">
        <v>0.2402</v>
      </c>
      <c r="W26" s="7">
        <v>0.22320000000000001</v>
      </c>
      <c r="X26" s="7">
        <v>0.26569999999999999</v>
      </c>
      <c r="Y26" s="7">
        <v>4.5499999999999999E-2</v>
      </c>
      <c r="Z26" s="7">
        <v>6.83E-2</v>
      </c>
      <c r="AA26" s="7">
        <v>5.91E-2</v>
      </c>
      <c r="AC26">
        <v>3</v>
      </c>
    </row>
    <row r="27" spans="1:33" x14ac:dyDescent="0.3">
      <c r="A27" s="8">
        <v>0.75</v>
      </c>
      <c r="B27" s="7">
        <v>3</v>
      </c>
      <c r="C27" s="7">
        <v>1</v>
      </c>
      <c r="D27" s="7">
        <v>5</v>
      </c>
      <c r="E27" s="7">
        <v>5</v>
      </c>
      <c r="F27" s="7">
        <v>3</v>
      </c>
      <c r="G27" s="7">
        <v>5</v>
      </c>
      <c r="H27" s="7">
        <v>1</v>
      </c>
      <c r="I27" s="7">
        <v>5</v>
      </c>
      <c r="J27" s="7">
        <v>2</v>
      </c>
      <c r="K27" s="7">
        <v>1</v>
      </c>
      <c r="L27" s="7">
        <v>3</v>
      </c>
      <c r="M27" s="7">
        <v>2</v>
      </c>
      <c r="N27" s="7"/>
      <c r="O27" s="8">
        <v>0.75</v>
      </c>
      <c r="P27" s="7">
        <v>7.3599999999999999E-2</v>
      </c>
      <c r="Q27" s="7">
        <v>4.0099999999999997E-2</v>
      </c>
      <c r="R27" s="7">
        <v>7.2900000000000006E-2</v>
      </c>
      <c r="S27" s="7">
        <v>0.1489</v>
      </c>
      <c r="T27" s="7">
        <v>9.2700000000000005E-2</v>
      </c>
      <c r="U27" s="7">
        <v>0.1469</v>
      </c>
      <c r="V27" s="7">
        <v>0.2402</v>
      </c>
      <c r="W27" s="7">
        <v>0.224</v>
      </c>
      <c r="X27" s="7">
        <v>0.255</v>
      </c>
      <c r="Y27" s="7">
        <v>4.6800000000000001E-2</v>
      </c>
      <c r="Z27" s="7">
        <v>6.8400000000000002E-2</v>
      </c>
      <c r="AA27" s="7">
        <v>6.1899999999999997E-2</v>
      </c>
      <c r="AC27">
        <v>3</v>
      </c>
    </row>
    <row r="28" spans="1:33" x14ac:dyDescent="0.3">
      <c r="A28" s="8">
        <v>0.8</v>
      </c>
      <c r="B28" s="7">
        <v>2</v>
      </c>
      <c r="C28" s="7">
        <v>4</v>
      </c>
      <c r="D28" s="7">
        <v>3</v>
      </c>
      <c r="E28" s="7">
        <v>3</v>
      </c>
      <c r="F28" s="7">
        <v>4</v>
      </c>
      <c r="G28" s="7">
        <v>5</v>
      </c>
      <c r="H28" s="7">
        <v>1</v>
      </c>
      <c r="I28" s="7">
        <v>4</v>
      </c>
      <c r="J28" s="7">
        <v>2</v>
      </c>
      <c r="K28" s="7">
        <v>1</v>
      </c>
      <c r="L28" s="7">
        <v>2</v>
      </c>
      <c r="M28" s="7">
        <v>1</v>
      </c>
      <c r="N28" s="7"/>
      <c r="O28" s="8">
        <v>0.8</v>
      </c>
      <c r="P28" s="7">
        <v>5.1299999999999998E-2</v>
      </c>
      <c r="Q28" s="7">
        <v>3.09E-2</v>
      </c>
      <c r="R28" s="7">
        <v>7.2800000000000004E-2</v>
      </c>
      <c r="S28" s="7">
        <v>0.11260000000000001</v>
      </c>
      <c r="T28" s="7">
        <v>9.0200000000000002E-2</v>
      </c>
      <c r="U28" s="7">
        <v>0.14849999999999999</v>
      </c>
      <c r="V28" s="7">
        <v>0.24079999999999999</v>
      </c>
      <c r="W28" s="7">
        <v>0.22289999999999999</v>
      </c>
      <c r="X28" s="7">
        <v>0.25180000000000002</v>
      </c>
      <c r="Y28" s="7">
        <v>4.6300000000000001E-2</v>
      </c>
      <c r="Z28" s="7">
        <v>4.7800000000000002E-2</v>
      </c>
      <c r="AA28" s="7">
        <v>3.49E-2</v>
      </c>
      <c r="AC28">
        <v>3</v>
      </c>
    </row>
    <row r="29" spans="1:33" x14ac:dyDescent="0.3">
      <c r="A29" s="8">
        <v>0.85</v>
      </c>
      <c r="B29" s="7">
        <v>2</v>
      </c>
      <c r="C29" s="7">
        <v>5</v>
      </c>
      <c r="D29" s="7">
        <v>3</v>
      </c>
      <c r="E29" s="7">
        <v>2</v>
      </c>
      <c r="F29" s="7">
        <v>5</v>
      </c>
      <c r="G29" s="7">
        <v>4</v>
      </c>
      <c r="H29" s="7">
        <v>1</v>
      </c>
      <c r="I29" s="7">
        <v>3</v>
      </c>
      <c r="J29" s="7">
        <v>1</v>
      </c>
      <c r="K29" s="7">
        <v>2</v>
      </c>
      <c r="L29" s="7">
        <v>2</v>
      </c>
      <c r="M29" s="7">
        <v>1</v>
      </c>
      <c r="N29" s="7"/>
      <c r="O29" s="8">
        <v>0.85</v>
      </c>
      <c r="P29" s="7">
        <v>6.1699999999999998E-2</v>
      </c>
      <c r="Q29" s="7">
        <v>4.8099999999999997E-2</v>
      </c>
      <c r="R29" s="7">
        <v>7.6799999999999993E-2</v>
      </c>
      <c r="S29" s="7">
        <v>8.1799999999999998E-2</v>
      </c>
      <c r="T29" s="7">
        <v>0.1011</v>
      </c>
      <c r="U29" s="7">
        <v>0.1128</v>
      </c>
      <c r="V29" s="7">
        <v>0.24079999999999999</v>
      </c>
      <c r="W29" s="7">
        <v>0.19040000000000001</v>
      </c>
      <c r="X29" s="7">
        <v>0.20030000000000001</v>
      </c>
      <c r="Y29" s="7">
        <v>6.4699999999999994E-2</v>
      </c>
      <c r="Z29" s="7">
        <v>4.8599999999999997E-2</v>
      </c>
      <c r="AA29" s="7">
        <v>3.3399999999999999E-2</v>
      </c>
      <c r="AC29">
        <v>3</v>
      </c>
    </row>
    <row r="30" spans="1:33" x14ac:dyDescent="0.3">
      <c r="A30" s="8">
        <v>0.9</v>
      </c>
      <c r="B30" s="7">
        <v>1</v>
      </c>
      <c r="C30" s="7">
        <v>3</v>
      </c>
      <c r="D30" s="7">
        <v>3</v>
      </c>
      <c r="E30" s="7">
        <v>1</v>
      </c>
      <c r="F30" s="7">
        <v>5</v>
      </c>
      <c r="G30" s="7">
        <v>3</v>
      </c>
      <c r="H30" s="7">
        <v>1</v>
      </c>
      <c r="I30" s="7">
        <v>2</v>
      </c>
      <c r="J30" s="7">
        <v>1</v>
      </c>
      <c r="K30" s="7">
        <v>1</v>
      </c>
      <c r="L30" s="7">
        <v>1</v>
      </c>
      <c r="M30" s="7">
        <v>1</v>
      </c>
      <c r="N30" s="7"/>
      <c r="O30" s="8">
        <v>0.9</v>
      </c>
      <c r="P30" s="7">
        <v>4.24E-2</v>
      </c>
      <c r="Q30" s="7">
        <v>5.2299999999999999E-2</v>
      </c>
      <c r="R30" s="7">
        <v>7.9500000000000001E-2</v>
      </c>
      <c r="S30" s="7">
        <v>5.7000000000000002E-2</v>
      </c>
      <c r="T30" s="7">
        <v>0.1031</v>
      </c>
      <c r="U30" s="7">
        <v>0.1074</v>
      </c>
      <c r="V30" s="7">
        <v>0.24079999999999999</v>
      </c>
      <c r="W30" s="7">
        <v>0.1787</v>
      </c>
      <c r="X30" s="7">
        <v>0.20030000000000001</v>
      </c>
      <c r="Y30" s="7">
        <v>4.2599999999999999E-2</v>
      </c>
      <c r="Z30" s="7">
        <v>2.2599999999999999E-2</v>
      </c>
      <c r="AA30" s="7">
        <v>3.4599999999999999E-2</v>
      </c>
      <c r="AC30">
        <v>3</v>
      </c>
    </row>
    <row r="31" spans="1:33" x14ac:dyDescent="0.3">
      <c r="A31" s="8">
        <v>0.95</v>
      </c>
      <c r="B31" s="7">
        <v>1</v>
      </c>
      <c r="C31" s="7">
        <v>3</v>
      </c>
      <c r="D31" s="7">
        <v>1</v>
      </c>
      <c r="E31" s="7">
        <v>1</v>
      </c>
      <c r="F31" s="7">
        <v>3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/>
      <c r="O31" s="8">
        <v>0.95</v>
      </c>
      <c r="P31" s="7">
        <v>4.4699999999999997E-2</v>
      </c>
      <c r="Q31" s="7">
        <v>5.4600000000000003E-2</v>
      </c>
      <c r="R31" s="7">
        <v>3.3399999999999999E-2</v>
      </c>
      <c r="S31" s="7">
        <v>5.79E-2</v>
      </c>
      <c r="T31" s="7">
        <v>7.6200000000000004E-2</v>
      </c>
      <c r="U31" s="7">
        <v>4.7899999999999998E-2</v>
      </c>
      <c r="V31" s="7">
        <v>0.2379</v>
      </c>
      <c r="W31" s="7">
        <v>0.13489999999999999</v>
      </c>
      <c r="X31" s="7">
        <v>0.20030000000000001</v>
      </c>
      <c r="Y31" s="7">
        <v>4.2599999999999999E-2</v>
      </c>
      <c r="Z31" s="7">
        <v>2.3E-2</v>
      </c>
      <c r="AA31" s="7">
        <v>3.1899999999999998E-2</v>
      </c>
      <c r="AC31">
        <v>3</v>
      </c>
    </row>
    <row r="32" spans="1:33" x14ac:dyDescent="0.3">
      <c r="A32" s="8">
        <v>0.99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/>
      <c r="O32" s="8">
        <v>0.99</v>
      </c>
      <c r="P32" s="7">
        <v>4.41E-2</v>
      </c>
      <c r="Q32" s="7">
        <v>1.83E-2</v>
      </c>
      <c r="R32" s="7">
        <v>3.2399999999999998E-2</v>
      </c>
      <c r="S32" s="7">
        <v>5.7099999999999998E-2</v>
      </c>
      <c r="T32" s="7">
        <v>2.8299999999999999E-2</v>
      </c>
      <c r="U32" s="7">
        <v>4.4900000000000002E-2</v>
      </c>
      <c r="V32" s="7">
        <v>0.2379</v>
      </c>
      <c r="W32" s="7">
        <v>0.1328</v>
      </c>
      <c r="X32" s="7">
        <v>0.1973</v>
      </c>
      <c r="Y32" s="7">
        <v>4.0099999999999997E-2</v>
      </c>
      <c r="Z32" s="7">
        <v>2.12E-2</v>
      </c>
      <c r="AA32" s="7">
        <v>3.1899999999999998E-2</v>
      </c>
      <c r="AC32">
        <v>3</v>
      </c>
    </row>
    <row r="33" spans="1:33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D33" s="7"/>
      <c r="AE33" s="7"/>
      <c r="AF33" s="7"/>
      <c r="AG33" s="7"/>
    </row>
    <row r="34" spans="1:33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D34" s="7"/>
      <c r="AE34" s="7"/>
      <c r="AF34" s="7"/>
      <c r="AG34" s="7"/>
    </row>
    <row r="35" spans="1:33" x14ac:dyDescent="0.3">
      <c r="A35" s="7" t="s">
        <v>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D35" s="7"/>
      <c r="AE35" s="7"/>
      <c r="AF35" s="7"/>
      <c r="AG35" s="7"/>
    </row>
    <row r="36" spans="1:33" x14ac:dyDescent="0.3">
      <c r="A36" s="7" t="s">
        <v>32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 t="s">
        <v>13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D36" s="7"/>
    </row>
    <row r="37" spans="1:33" x14ac:dyDescent="0.3">
      <c r="A37" s="7" t="s">
        <v>0</v>
      </c>
      <c r="B37" s="7" t="s">
        <v>1</v>
      </c>
      <c r="C37" s="7" t="s">
        <v>2</v>
      </c>
      <c r="D37" s="7" t="s">
        <v>3</v>
      </c>
      <c r="E37" s="7" t="s">
        <v>4</v>
      </c>
      <c r="F37" s="7" t="s">
        <v>31</v>
      </c>
      <c r="G37" s="7" t="s">
        <v>5</v>
      </c>
      <c r="H37" s="7" t="s">
        <v>6</v>
      </c>
      <c r="I37" s="7" t="s">
        <v>7</v>
      </c>
      <c r="J37" s="7" t="s">
        <v>8</v>
      </c>
      <c r="K37" s="7" t="s">
        <v>9</v>
      </c>
      <c r="L37" s="7" t="s">
        <v>10</v>
      </c>
      <c r="M37" s="7" t="s">
        <v>11</v>
      </c>
      <c r="N37" s="7"/>
      <c r="O37" s="7" t="s">
        <v>0</v>
      </c>
      <c r="P37" s="7" t="s">
        <v>1</v>
      </c>
      <c r="Q37" s="7" t="s">
        <v>2</v>
      </c>
      <c r="R37" s="7" t="s">
        <v>3</v>
      </c>
      <c r="S37" s="7" t="s">
        <v>4</v>
      </c>
      <c r="T37" s="7" t="s">
        <v>31</v>
      </c>
      <c r="U37" s="7" t="s">
        <v>5</v>
      </c>
      <c r="V37" s="7" t="s">
        <v>6</v>
      </c>
      <c r="W37" s="7" t="s">
        <v>7</v>
      </c>
      <c r="X37" s="7" t="s">
        <v>8</v>
      </c>
      <c r="Y37" s="7" t="s">
        <v>9</v>
      </c>
      <c r="Z37" s="7" t="s">
        <v>10</v>
      </c>
      <c r="AA37" s="7" t="s">
        <v>11</v>
      </c>
    </row>
    <row r="38" spans="1:33" x14ac:dyDescent="0.3">
      <c r="A38" s="8">
        <v>0.3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7">
        <v>1</v>
      </c>
      <c r="H38" s="7">
        <v>2</v>
      </c>
      <c r="I38" s="7">
        <v>0</v>
      </c>
      <c r="J38" s="7">
        <v>1</v>
      </c>
      <c r="K38" s="7">
        <v>1</v>
      </c>
      <c r="L38" s="7">
        <v>0</v>
      </c>
      <c r="M38" s="7">
        <v>0</v>
      </c>
      <c r="N38" s="7"/>
      <c r="O38" s="8">
        <v>0.3</v>
      </c>
      <c r="P38" s="7">
        <v>-1</v>
      </c>
      <c r="Q38" s="7">
        <v>-1</v>
      </c>
      <c r="R38" s="7">
        <v>-1</v>
      </c>
      <c r="S38" s="7">
        <f>0.015</f>
        <v>1.4999999999999999E-2</v>
      </c>
      <c r="T38" s="7">
        <v>-1</v>
      </c>
      <c r="U38" s="7">
        <f>0.0045</f>
        <v>4.4999999999999997E-3</v>
      </c>
      <c r="V38" s="7">
        <v>0.20449999999999999</v>
      </c>
      <c r="W38" s="7">
        <v>-1</v>
      </c>
      <c r="X38" s="7">
        <v>0.1789</v>
      </c>
      <c r="Y38" s="7">
        <v>8.8000000000000005E-3</v>
      </c>
      <c r="Z38" s="7">
        <v>-1</v>
      </c>
      <c r="AA38" s="7">
        <v>-1</v>
      </c>
      <c r="AC38">
        <v>5</v>
      </c>
    </row>
    <row r="39" spans="1:33" x14ac:dyDescent="0.3">
      <c r="A39" s="8">
        <v>0.4</v>
      </c>
      <c r="B39" s="7">
        <v>0</v>
      </c>
      <c r="C39" s="7">
        <v>0</v>
      </c>
      <c r="D39" s="7">
        <v>0</v>
      </c>
      <c r="E39" s="7">
        <v>1</v>
      </c>
      <c r="F39" s="7">
        <v>0</v>
      </c>
      <c r="G39" s="7">
        <v>1</v>
      </c>
      <c r="H39" s="7">
        <v>2</v>
      </c>
      <c r="I39" s="7">
        <v>2</v>
      </c>
      <c r="J39" s="7">
        <v>2</v>
      </c>
      <c r="K39" s="7">
        <v>1</v>
      </c>
      <c r="L39" s="7">
        <v>0</v>
      </c>
      <c r="M39" s="7">
        <v>1</v>
      </c>
      <c r="N39" s="7"/>
      <c r="O39" s="8">
        <v>0.4</v>
      </c>
      <c r="P39" s="7">
        <v>-1</v>
      </c>
      <c r="Q39" s="7">
        <v>-1</v>
      </c>
      <c r="R39" s="7">
        <v>-1</v>
      </c>
      <c r="S39" s="7">
        <v>3.8899999999999997E-2</v>
      </c>
      <c r="T39" s="7">
        <v>-1</v>
      </c>
      <c r="U39" s="7">
        <v>5.0999999999999997E-2</v>
      </c>
      <c r="V39" s="7">
        <v>0.25819999999999999</v>
      </c>
      <c r="W39" s="7">
        <v>3.6400000000000002E-2</v>
      </c>
      <c r="X39" s="7">
        <v>0.28110000000000002</v>
      </c>
      <c r="Y39" s="7">
        <v>8.8000000000000005E-3</v>
      </c>
      <c r="Z39" s="7">
        <v>-1</v>
      </c>
      <c r="AA39" s="7">
        <v>1.8599999999999998E-2</v>
      </c>
      <c r="AC39">
        <v>5</v>
      </c>
    </row>
    <row r="40" spans="1:33" x14ac:dyDescent="0.3">
      <c r="A40" s="8">
        <v>0.5</v>
      </c>
      <c r="B40" s="7">
        <v>0</v>
      </c>
      <c r="C40" s="7">
        <v>0</v>
      </c>
      <c r="D40" s="7">
        <v>0</v>
      </c>
      <c r="E40" s="7">
        <v>1</v>
      </c>
      <c r="F40" s="7">
        <v>1</v>
      </c>
      <c r="G40" s="7">
        <v>1</v>
      </c>
      <c r="H40" s="7">
        <v>2</v>
      </c>
      <c r="I40" s="7">
        <v>2</v>
      </c>
      <c r="J40" s="7">
        <v>2</v>
      </c>
      <c r="K40" s="7">
        <v>1</v>
      </c>
      <c r="L40" s="7">
        <v>1</v>
      </c>
      <c r="M40" s="7">
        <v>1</v>
      </c>
      <c r="N40" s="7"/>
      <c r="O40" s="8">
        <v>0.5</v>
      </c>
      <c r="P40" s="7">
        <v>-1</v>
      </c>
      <c r="Q40" s="7">
        <v>-1</v>
      </c>
      <c r="R40" s="7">
        <v>-1</v>
      </c>
      <c r="S40" s="7">
        <v>5.5100000000000003E-2</v>
      </c>
      <c r="T40" s="7">
        <v>7.9000000000000008E-3</v>
      </c>
      <c r="U40" s="7">
        <v>6.2100000000000002E-2</v>
      </c>
      <c r="V40" s="7">
        <v>0.2707</v>
      </c>
      <c r="W40" s="7">
        <v>0.19339999999999999</v>
      </c>
      <c r="X40" s="7">
        <v>0.2888</v>
      </c>
      <c r="Y40" s="7">
        <v>2.76E-2</v>
      </c>
      <c r="Z40" s="7">
        <v>2.0899999999999998E-2</v>
      </c>
      <c r="AA40" s="7">
        <v>2.6499999999999999E-2</v>
      </c>
      <c r="AC40">
        <v>5</v>
      </c>
    </row>
    <row r="41" spans="1:33" x14ac:dyDescent="0.3">
      <c r="A41" s="8">
        <v>0.6</v>
      </c>
      <c r="B41" s="7">
        <v>0</v>
      </c>
      <c r="C41" s="7">
        <v>0</v>
      </c>
      <c r="D41" s="7">
        <v>0</v>
      </c>
      <c r="E41" s="7">
        <v>1</v>
      </c>
      <c r="F41" s="7">
        <v>1</v>
      </c>
      <c r="G41" s="7">
        <v>2</v>
      </c>
      <c r="H41" s="7">
        <v>2</v>
      </c>
      <c r="I41" s="7">
        <v>2</v>
      </c>
      <c r="J41" s="7">
        <v>2</v>
      </c>
      <c r="K41" s="7">
        <v>1</v>
      </c>
      <c r="L41" s="7">
        <v>1</v>
      </c>
      <c r="M41" s="7">
        <v>1</v>
      </c>
      <c r="N41" s="7"/>
      <c r="O41" s="8">
        <v>0.6</v>
      </c>
      <c r="P41" s="7">
        <v>-1</v>
      </c>
      <c r="Q41" s="7">
        <v>-1</v>
      </c>
      <c r="R41" s="7">
        <v>-1</v>
      </c>
      <c r="S41" s="7">
        <v>8.2600000000000007E-2</v>
      </c>
      <c r="T41" s="7">
        <v>4.2299999999999997E-2</v>
      </c>
      <c r="U41" s="7">
        <v>9.1300000000000006E-2</v>
      </c>
      <c r="V41" s="7">
        <v>0.2903</v>
      </c>
      <c r="W41" s="7">
        <v>0.21099999999999999</v>
      </c>
      <c r="X41" s="7">
        <v>0.28549999999999998</v>
      </c>
      <c r="Y41" s="7">
        <v>3.2899999999999999E-2</v>
      </c>
      <c r="Z41" s="7">
        <v>2.0899999999999998E-2</v>
      </c>
      <c r="AA41" s="7">
        <v>3.1699999999999999E-2</v>
      </c>
      <c r="AC41">
        <v>5</v>
      </c>
    </row>
    <row r="42" spans="1:33" x14ac:dyDescent="0.3">
      <c r="A42" s="8">
        <v>0.65</v>
      </c>
      <c r="B42" s="7">
        <v>0</v>
      </c>
      <c r="C42" s="7">
        <v>0</v>
      </c>
      <c r="D42" s="7">
        <v>0</v>
      </c>
      <c r="E42" s="7">
        <v>1</v>
      </c>
      <c r="F42" s="7">
        <v>1</v>
      </c>
      <c r="G42" s="7">
        <v>1</v>
      </c>
      <c r="H42" s="7">
        <v>2</v>
      </c>
      <c r="I42" s="7">
        <v>2</v>
      </c>
      <c r="J42" s="7">
        <v>2</v>
      </c>
      <c r="K42" s="7">
        <v>2</v>
      </c>
      <c r="L42" s="7">
        <v>1</v>
      </c>
      <c r="M42" s="7">
        <v>1</v>
      </c>
      <c r="N42" s="7"/>
      <c r="O42" s="8">
        <v>0.65</v>
      </c>
      <c r="P42" s="7">
        <v>-1</v>
      </c>
      <c r="Q42" s="7">
        <v>-1</v>
      </c>
      <c r="R42" s="7">
        <v>-1</v>
      </c>
      <c r="S42" s="7">
        <v>8.3400000000000002E-2</v>
      </c>
      <c r="T42" s="7">
        <v>4.9099999999999998E-2</v>
      </c>
      <c r="U42" s="7">
        <v>8.0399999999999999E-2</v>
      </c>
      <c r="V42" s="7">
        <v>0.2737</v>
      </c>
      <c r="W42" s="7">
        <v>0.2145</v>
      </c>
      <c r="X42" s="7">
        <v>0.2908</v>
      </c>
      <c r="Y42" s="7">
        <v>7.1300000000000002E-2</v>
      </c>
      <c r="Z42" s="7">
        <v>2.0899999999999998E-2</v>
      </c>
      <c r="AA42" s="7">
        <v>3.1699999999999999E-2</v>
      </c>
      <c r="AC42">
        <v>5</v>
      </c>
    </row>
    <row r="43" spans="1:33" x14ac:dyDescent="0.3">
      <c r="A43" s="8">
        <v>0.7</v>
      </c>
      <c r="B43" s="7">
        <v>1</v>
      </c>
      <c r="C43" s="7">
        <v>0</v>
      </c>
      <c r="D43" s="7">
        <v>1</v>
      </c>
      <c r="E43" s="7">
        <v>2</v>
      </c>
      <c r="F43" s="7">
        <v>1</v>
      </c>
      <c r="G43" s="7">
        <v>1</v>
      </c>
      <c r="H43" s="7">
        <v>1</v>
      </c>
      <c r="I43" s="7">
        <v>2</v>
      </c>
      <c r="J43" s="7">
        <v>2</v>
      </c>
      <c r="K43" s="7">
        <v>1</v>
      </c>
      <c r="L43" s="7">
        <v>1</v>
      </c>
      <c r="M43" s="7">
        <v>1</v>
      </c>
      <c r="N43" s="7"/>
      <c r="O43" s="8">
        <v>0.7</v>
      </c>
      <c r="P43" s="7">
        <v>1.9900000000000001E-2</v>
      </c>
      <c r="Q43" s="7">
        <v>-1</v>
      </c>
      <c r="R43" s="7">
        <f>0.0089</f>
        <v>8.8999999999999999E-3</v>
      </c>
      <c r="S43" s="7">
        <v>8.2100000000000006E-2</v>
      </c>
      <c r="T43" s="7">
        <v>5.0599999999999999E-2</v>
      </c>
      <c r="U43" s="7">
        <v>8.2299999999999998E-2</v>
      </c>
      <c r="V43" s="7">
        <v>0.2427</v>
      </c>
      <c r="W43" s="7">
        <v>0.2145</v>
      </c>
      <c r="X43" s="7">
        <v>0.27189999999999998</v>
      </c>
      <c r="Y43" s="7">
        <v>4.58E-2</v>
      </c>
      <c r="Z43" s="7">
        <v>2.5899999999999999E-2</v>
      </c>
      <c r="AA43" s="7">
        <v>3.1699999999999999E-2</v>
      </c>
      <c r="AC43">
        <v>5</v>
      </c>
    </row>
    <row r="44" spans="1:33" x14ac:dyDescent="0.3">
      <c r="A44" s="8">
        <v>0.75</v>
      </c>
      <c r="B44" s="7">
        <v>1</v>
      </c>
      <c r="C44" s="7">
        <v>0</v>
      </c>
      <c r="D44" s="7">
        <v>2</v>
      </c>
      <c r="E44" s="7">
        <v>2</v>
      </c>
      <c r="F44" s="7">
        <v>2</v>
      </c>
      <c r="G44" s="7">
        <v>2</v>
      </c>
      <c r="H44" s="7">
        <v>1</v>
      </c>
      <c r="I44" s="7">
        <v>2</v>
      </c>
      <c r="J44" s="7">
        <v>2</v>
      </c>
      <c r="K44" s="7">
        <v>1</v>
      </c>
      <c r="L44" s="7">
        <v>1</v>
      </c>
      <c r="M44" s="7">
        <v>1</v>
      </c>
      <c r="N44" s="7"/>
      <c r="O44" s="8">
        <v>0.75</v>
      </c>
      <c r="P44" s="7">
        <v>3.6600000000000001E-2</v>
      </c>
      <c r="Q44" s="7">
        <v>-1</v>
      </c>
      <c r="R44" s="7">
        <v>8.8000000000000005E-3</v>
      </c>
      <c r="S44" s="7">
        <v>8.7999999999999995E-2</v>
      </c>
      <c r="T44" s="7">
        <v>6.5799999999999997E-2</v>
      </c>
      <c r="U44" s="7">
        <v>8.8300000000000003E-2</v>
      </c>
      <c r="V44" s="7">
        <v>0.2402</v>
      </c>
      <c r="W44" s="7">
        <v>0.2094</v>
      </c>
      <c r="X44" s="7">
        <v>0.255</v>
      </c>
      <c r="Y44" s="7">
        <v>4.8399999999999999E-2</v>
      </c>
      <c r="Z44" s="7">
        <v>2.6599999999999999E-2</v>
      </c>
      <c r="AA44" s="7">
        <v>3.7600000000000001E-2</v>
      </c>
      <c r="AC44">
        <v>5</v>
      </c>
    </row>
    <row r="45" spans="1:33" x14ac:dyDescent="0.3">
      <c r="A45" s="8">
        <v>0.8</v>
      </c>
      <c r="B45" s="7">
        <v>1</v>
      </c>
      <c r="C45" s="7">
        <v>0</v>
      </c>
      <c r="D45" s="7">
        <v>1</v>
      </c>
      <c r="E45" s="7">
        <v>1</v>
      </c>
      <c r="F45" s="7">
        <v>1</v>
      </c>
      <c r="G45" s="7">
        <v>2</v>
      </c>
      <c r="H45" s="7">
        <v>1</v>
      </c>
      <c r="I45" s="7">
        <v>2</v>
      </c>
      <c r="J45" s="7">
        <v>2</v>
      </c>
      <c r="K45" s="7">
        <v>1</v>
      </c>
      <c r="L45" s="7">
        <v>1</v>
      </c>
      <c r="M45" s="7">
        <v>1</v>
      </c>
      <c r="N45" s="7"/>
      <c r="O45" s="8">
        <v>0.8</v>
      </c>
      <c r="P45" s="7">
        <v>4.1000000000000002E-2</v>
      </c>
      <c r="Q45" s="7">
        <v>-1</v>
      </c>
      <c r="R45" s="7">
        <v>3.0599999999999999E-2</v>
      </c>
      <c r="S45" s="7">
        <v>7.4999999999999997E-2</v>
      </c>
      <c r="T45" s="7">
        <v>5.4600000000000003E-2</v>
      </c>
      <c r="U45" s="7">
        <v>9.1200000000000003E-2</v>
      </c>
      <c r="V45" s="7">
        <v>0.24079999999999999</v>
      </c>
      <c r="W45" s="7">
        <v>0.2094</v>
      </c>
      <c r="X45" s="7">
        <v>0.25180000000000002</v>
      </c>
      <c r="Y45" s="7">
        <v>4.6800000000000001E-2</v>
      </c>
      <c r="Z45" s="7">
        <v>2.6599999999999999E-2</v>
      </c>
      <c r="AA45" s="7">
        <v>3.4299999999999997E-2</v>
      </c>
      <c r="AC45">
        <v>5</v>
      </c>
    </row>
    <row r="46" spans="1:33" x14ac:dyDescent="0.3">
      <c r="A46" s="8">
        <v>0.85</v>
      </c>
      <c r="B46" s="7">
        <v>1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2</v>
      </c>
      <c r="J46" s="7">
        <v>1</v>
      </c>
      <c r="K46" s="7">
        <v>1</v>
      </c>
      <c r="L46" s="7">
        <v>1</v>
      </c>
      <c r="M46" s="7">
        <v>1</v>
      </c>
      <c r="N46" s="7"/>
      <c r="O46" s="8">
        <v>0.85</v>
      </c>
      <c r="P46" s="7">
        <v>4.9000000000000002E-2</v>
      </c>
      <c r="Q46" s="7">
        <v>1.6000000000000001E-3</v>
      </c>
      <c r="R46" s="7">
        <v>3.7600000000000001E-2</v>
      </c>
      <c r="S46" s="7">
        <v>6.8199999999999997E-2</v>
      </c>
      <c r="T46" s="7">
        <v>5.4600000000000003E-2</v>
      </c>
      <c r="U46" s="7">
        <v>6.5500000000000003E-2</v>
      </c>
      <c r="V46" s="7">
        <v>0.24079999999999999</v>
      </c>
      <c r="W46" s="7">
        <v>0.18990000000000001</v>
      </c>
      <c r="X46" s="7">
        <v>0.20030000000000001</v>
      </c>
      <c r="Y46" s="7">
        <v>4.6800000000000001E-2</v>
      </c>
      <c r="Z46" s="7">
        <v>2.76E-2</v>
      </c>
      <c r="AA46" s="7">
        <v>3.3399999999999999E-2</v>
      </c>
      <c r="AC46">
        <v>5</v>
      </c>
    </row>
    <row r="47" spans="1:33" x14ac:dyDescent="0.3">
      <c r="A47" s="8">
        <v>0.9</v>
      </c>
      <c r="B47" s="7">
        <v>1</v>
      </c>
      <c r="C47" s="7">
        <v>1</v>
      </c>
      <c r="D47" s="7">
        <v>1</v>
      </c>
      <c r="E47" s="7">
        <v>1</v>
      </c>
      <c r="F47" s="7">
        <v>2</v>
      </c>
      <c r="G47" s="7">
        <v>1</v>
      </c>
      <c r="H47" s="7">
        <v>1</v>
      </c>
      <c r="I47" s="7">
        <v>2</v>
      </c>
      <c r="J47" s="7">
        <v>1</v>
      </c>
      <c r="K47" s="7">
        <v>1</v>
      </c>
      <c r="L47" s="7">
        <v>1</v>
      </c>
      <c r="M47" s="7">
        <v>1</v>
      </c>
      <c r="N47" s="7"/>
      <c r="O47" s="8">
        <v>0.9</v>
      </c>
      <c r="P47" s="7">
        <v>4.7699999999999999E-2</v>
      </c>
      <c r="Q47" s="7">
        <v>1.7899999999999999E-2</v>
      </c>
      <c r="R47" s="7">
        <v>4.1300000000000003E-2</v>
      </c>
      <c r="S47" s="7">
        <v>6.3E-2</v>
      </c>
      <c r="T47" s="7">
        <v>5.96E-2</v>
      </c>
      <c r="U47" s="7">
        <v>6.2300000000000001E-2</v>
      </c>
      <c r="V47" s="7">
        <v>0.24079999999999999</v>
      </c>
      <c r="W47" s="7">
        <v>0.1787</v>
      </c>
      <c r="X47" s="7">
        <v>0.20030000000000001</v>
      </c>
      <c r="Y47" s="7">
        <v>4.6300000000000001E-2</v>
      </c>
      <c r="Z47" s="7">
        <v>2.4E-2</v>
      </c>
      <c r="AA47" s="7">
        <v>3.5099999999999999E-2</v>
      </c>
      <c r="AC47">
        <v>5</v>
      </c>
    </row>
    <row r="48" spans="1:33" x14ac:dyDescent="0.3">
      <c r="A48" s="8">
        <v>0.95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/>
      <c r="O48" s="8">
        <v>0.95</v>
      </c>
      <c r="P48" s="7">
        <v>4.4699999999999997E-2</v>
      </c>
      <c r="Q48" s="7">
        <v>2.4E-2</v>
      </c>
      <c r="R48" s="7">
        <v>3.1899999999999998E-2</v>
      </c>
      <c r="S48" s="7">
        <v>5.79E-2</v>
      </c>
      <c r="T48" s="7">
        <v>3.9600000000000003E-2</v>
      </c>
      <c r="U48" s="7">
        <v>4.7E-2</v>
      </c>
      <c r="V48" s="7">
        <v>0.2379</v>
      </c>
      <c r="W48" s="7">
        <v>0.13489999999999999</v>
      </c>
      <c r="X48" s="7">
        <v>0.20030000000000001</v>
      </c>
      <c r="Y48" s="7">
        <v>4.2599999999999999E-2</v>
      </c>
      <c r="Z48" s="7">
        <v>2.3400000000000001E-2</v>
      </c>
      <c r="AA48" s="7">
        <v>3.1899999999999998E-2</v>
      </c>
      <c r="AC48">
        <v>5</v>
      </c>
    </row>
    <row r="49" spans="1:33" x14ac:dyDescent="0.3">
      <c r="A49" s="8">
        <v>0.99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/>
      <c r="O49" s="8">
        <v>0.99</v>
      </c>
      <c r="P49" s="7">
        <v>4.41E-2</v>
      </c>
      <c r="Q49" s="7">
        <v>1.6899999999999998E-2</v>
      </c>
      <c r="R49" s="7">
        <v>3.2399999999999998E-2</v>
      </c>
      <c r="S49" s="7">
        <v>5.7099999999999998E-2</v>
      </c>
      <c r="T49" s="7">
        <v>2.7099999999999999E-2</v>
      </c>
      <c r="U49" s="7">
        <v>4.4900000000000002E-2</v>
      </c>
      <c r="V49" s="7">
        <v>0.2379</v>
      </c>
      <c r="W49" s="7">
        <v>0.1328</v>
      </c>
      <c r="X49" s="7">
        <v>0.1973</v>
      </c>
      <c r="Y49" s="7">
        <v>4.0099999999999997E-2</v>
      </c>
      <c r="Z49" s="7">
        <v>2.12E-2</v>
      </c>
      <c r="AA49" s="7">
        <v>3.1899999999999998E-2</v>
      </c>
      <c r="AC49">
        <v>5</v>
      </c>
    </row>
    <row r="50" spans="1:33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D50" s="7"/>
      <c r="AE50" s="7"/>
      <c r="AF50" s="7"/>
      <c r="AG50" s="7"/>
    </row>
    <row r="51" spans="1:33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D51" s="7"/>
      <c r="AE51" s="7"/>
      <c r="AF51" s="7"/>
      <c r="AG51" s="7"/>
    </row>
    <row r="52" spans="1:33" x14ac:dyDescent="0.3">
      <c r="A52" s="7" t="s">
        <v>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D52" s="7"/>
      <c r="AE52" s="7"/>
      <c r="AF52" s="7"/>
      <c r="AG52" s="7"/>
    </row>
    <row r="53" spans="1:33" x14ac:dyDescent="0.3">
      <c r="A53" s="7" t="s">
        <v>32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 t="s">
        <v>13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D53" s="7"/>
    </row>
    <row r="54" spans="1:33" x14ac:dyDescent="0.3">
      <c r="A54" s="7" t="s">
        <v>0</v>
      </c>
      <c r="B54" s="7" t="s">
        <v>1</v>
      </c>
      <c r="C54" s="7" t="s">
        <v>2</v>
      </c>
      <c r="D54" s="7" t="s">
        <v>3</v>
      </c>
      <c r="E54" s="7" t="s">
        <v>4</v>
      </c>
      <c r="F54" s="7" t="s">
        <v>31</v>
      </c>
      <c r="G54" s="7" t="s">
        <v>5</v>
      </c>
      <c r="H54" s="7" t="s">
        <v>6</v>
      </c>
      <c r="I54" s="7" t="s">
        <v>7</v>
      </c>
      <c r="J54" s="7" t="s">
        <v>8</v>
      </c>
      <c r="K54" s="7" t="s">
        <v>9</v>
      </c>
      <c r="L54" s="7" t="s">
        <v>10</v>
      </c>
      <c r="M54" s="7" t="s">
        <v>11</v>
      </c>
      <c r="N54" s="7"/>
      <c r="O54" s="7" t="s">
        <v>0</v>
      </c>
      <c r="P54" s="7" t="s">
        <v>1</v>
      </c>
      <c r="Q54" s="7" t="s">
        <v>2</v>
      </c>
      <c r="R54" s="7" t="s">
        <v>3</v>
      </c>
      <c r="S54" s="7" t="s">
        <v>4</v>
      </c>
      <c r="T54" s="7" t="s">
        <v>31</v>
      </c>
      <c r="U54" s="7" t="s">
        <v>5</v>
      </c>
      <c r="V54" s="7" t="s">
        <v>6</v>
      </c>
      <c r="W54" s="7" t="s">
        <v>7</v>
      </c>
      <c r="X54" s="7" t="s">
        <v>8</v>
      </c>
      <c r="Y54" s="7" t="s">
        <v>9</v>
      </c>
      <c r="Z54" s="7" t="s">
        <v>10</v>
      </c>
      <c r="AA54" s="7" t="s">
        <v>11</v>
      </c>
    </row>
    <row r="55" spans="1:33" x14ac:dyDescent="0.3">
      <c r="A55" s="8">
        <v>0.3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/>
      <c r="O55" s="8">
        <v>0.3</v>
      </c>
      <c r="P55" s="7">
        <v>-1</v>
      </c>
      <c r="Q55" s="7">
        <v>-1</v>
      </c>
      <c r="R55" s="7">
        <v>-1</v>
      </c>
      <c r="S55" s="7">
        <v>-1</v>
      </c>
      <c r="T55" s="7">
        <v>-1</v>
      </c>
      <c r="U55" s="7">
        <v>-1</v>
      </c>
      <c r="V55" s="7">
        <v>-1</v>
      </c>
      <c r="W55" s="7">
        <v>-1</v>
      </c>
      <c r="X55" s="7">
        <v>-1</v>
      </c>
      <c r="Y55" s="7">
        <v>-1</v>
      </c>
      <c r="Z55" s="7">
        <v>-1</v>
      </c>
      <c r="AA55" s="7">
        <v>-1</v>
      </c>
      <c r="AC55">
        <v>30</v>
      </c>
    </row>
    <row r="56" spans="1:33" x14ac:dyDescent="0.3">
      <c r="A56" s="8">
        <v>0.4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/>
      <c r="O56" s="8">
        <v>0.4</v>
      </c>
      <c r="P56" s="7">
        <v>-1</v>
      </c>
      <c r="Q56" s="7">
        <v>-1</v>
      </c>
      <c r="R56" s="7">
        <v>-1</v>
      </c>
      <c r="S56" s="7">
        <v>-1</v>
      </c>
      <c r="T56" s="7">
        <v>-1</v>
      </c>
      <c r="U56" s="7">
        <v>-1</v>
      </c>
      <c r="V56" s="7">
        <v>-1</v>
      </c>
      <c r="W56" s="7">
        <v>-1</v>
      </c>
      <c r="X56" s="7">
        <v>-1</v>
      </c>
      <c r="Y56" s="7">
        <v>-1</v>
      </c>
      <c r="Z56" s="7">
        <v>-1</v>
      </c>
      <c r="AA56" s="7">
        <v>-1</v>
      </c>
      <c r="AC56">
        <v>30</v>
      </c>
    </row>
    <row r="57" spans="1:33" x14ac:dyDescent="0.3">
      <c r="A57" s="8">
        <v>0.5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/>
      <c r="O57" s="8">
        <v>0.5</v>
      </c>
      <c r="P57" s="7">
        <v>-1</v>
      </c>
      <c r="Q57" s="7">
        <v>-1</v>
      </c>
      <c r="R57" s="7">
        <v>-1</v>
      </c>
      <c r="S57" s="7">
        <v>-1</v>
      </c>
      <c r="T57" s="7">
        <v>-1</v>
      </c>
      <c r="U57" s="7">
        <v>-1</v>
      </c>
      <c r="V57" s="7">
        <v>0.2059</v>
      </c>
      <c r="W57" s="7">
        <v>-1</v>
      </c>
      <c r="X57" s="7">
        <v>-1</v>
      </c>
      <c r="Y57" s="7">
        <v>-1</v>
      </c>
      <c r="Z57" s="7">
        <v>-1</v>
      </c>
      <c r="AA57" s="7">
        <v>-1</v>
      </c>
      <c r="AC57">
        <v>30</v>
      </c>
    </row>
    <row r="58" spans="1:33" x14ac:dyDescent="0.3">
      <c r="A58" s="8">
        <v>0.6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1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7"/>
      <c r="O58" s="8">
        <v>0.6</v>
      </c>
      <c r="P58" s="7">
        <v>-1</v>
      </c>
      <c r="Q58" s="7">
        <v>-1</v>
      </c>
      <c r="R58" s="7">
        <v>-1</v>
      </c>
      <c r="S58" s="7">
        <v>-1</v>
      </c>
      <c r="T58" s="7">
        <v>-1</v>
      </c>
      <c r="U58" s="7">
        <v>-1</v>
      </c>
      <c r="V58" s="7">
        <v>0.23119999999999999</v>
      </c>
      <c r="W58" s="7">
        <v>-1</v>
      </c>
      <c r="X58" s="7">
        <v>0.2354</v>
      </c>
      <c r="Y58" s="7">
        <v>-1</v>
      </c>
      <c r="Z58" s="7">
        <v>-1</v>
      </c>
      <c r="AA58" s="7">
        <v>-1</v>
      </c>
      <c r="AC58">
        <v>30</v>
      </c>
    </row>
    <row r="59" spans="1:33" x14ac:dyDescent="0.3">
      <c r="A59" s="8">
        <v>0.65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1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7"/>
      <c r="O59" s="8">
        <v>0.65</v>
      </c>
      <c r="P59" s="7">
        <v>-1</v>
      </c>
      <c r="Q59" s="7">
        <v>-1</v>
      </c>
      <c r="R59" s="7">
        <v>-1</v>
      </c>
      <c r="S59" s="7">
        <v>-1</v>
      </c>
      <c r="T59" s="7">
        <v>-1</v>
      </c>
      <c r="U59" s="7">
        <v>-1</v>
      </c>
      <c r="V59" s="7">
        <v>0.23910000000000001</v>
      </c>
      <c r="W59" s="7">
        <v>-1</v>
      </c>
      <c r="X59" s="7">
        <v>0.24349999999999999</v>
      </c>
      <c r="Y59" s="7">
        <v>-1</v>
      </c>
      <c r="Z59" s="7">
        <v>-1</v>
      </c>
      <c r="AA59" s="7">
        <v>-1</v>
      </c>
      <c r="AC59">
        <v>30</v>
      </c>
    </row>
    <row r="60" spans="1:33" x14ac:dyDescent="0.3">
      <c r="A60" s="8">
        <v>0.7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</v>
      </c>
      <c r="I60" s="7">
        <v>1</v>
      </c>
      <c r="J60" s="7">
        <v>1</v>
      </c>
      <c r="K60" s="7">
        <v>0</v>
      </c>
      <c r="L60" s="7">
        <v>0</v>
      </c>
      <c r="M60" s="7">
        <v>0</v>
      </c>
      <c r="N60" s="7"/>
      <c r="O60" s="8">
        <v>0.7</v>
      </c>
      <c r="P60" s="7">
        <v>-1</v>
      </c>
      <c r="Q60" s="7">
        <v>-1</v>
      </c>
      <c r="R60" s="7">
        <v>-1</v>
      </c>
      <c r="S60" s="7">
        <v>-1</v>
      </c>
      <c r="T60" s="7">
        <v>-1</v>
      </c>
      <c r="U60" s="7">
        <v>-1</v>
      </c>
      <c r="V60" s="7">
        <v>0.22289999999999999</v>
      </c>
      <c r="W60" s="7">
        <v>0.1678</v>
      </c>
      <c r="X60" s="7">
        <v>0.2445</v>
      </c>
      <c r="Y60" s="7">
        <v>-1</v>
      </c>
      <c r="Z60" s="7">
        <v>-1</v>
      </c>
      <c r="AA60" s="7">
        <v>-1</v>
      </c>
      <c r="AC60">
        <v>30</v>
      </c>
    </row>
    <row r="61" spans="1:33" x14ac:dyDescent="0.3">
      <c r="A61" s="8">
        <v>0.75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1</v>
      </c>
      <c r="I61" s="7">
        <v>1</v>
      </c>
      <c r="J61" s="7">
        <v>1</v>
      </c>
      <c r="K61" s="7">
        <v>0</v>
      </c>
      <c r="L61" s="7">
        <v>0</v>
      </c>
      <c r="M61" s="7">
        <v>0</v>
      </c>
      <c r="N61" s="7"/>
      <c r="O61" s="8">
        <v>0.75</v>
      </c>
      <c r="P61" s="7">
        <v>-1</v>
      </c>
      <c r="Q61" s="7">
        <v>-1</v>
      </c>
      <c r="R61" s="7">
        <v>-1</v>
      </c>
      <c r="S61" s="7">
        <v>-1</v>
      </c>
      <c r="T61" s="7">
        <v>-1</v>
      </c>
      <c r="U61" s="7">
        <v>-1</v>
      </c>
      <c r="V61" s="7">
        <v>0.23480000000000001</v>
      </c>
      <c r="W61" s="7">
        <v>0.1736</v>
      </c>
      <c r="X61" s="7">
        <v>0.23810000000000001</v>
      </c>
      <c r="Y61" s="7">
        <v>-1</v>
      </c>
      <c r="Z61" s="7">
        <v>-1</v>
      </c>
      <c r="AA61" s="7">
        <v>-1</v>
      </c>
      <c r="AC61">
        <v>30</v>
      </c>
    </row>
    <row r="62" spans="1:33" x14ac:dyDescent="0.3">
      <c r="A62" s="8">
        <v>0.8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</v>
      </c>
      <c r="I62" s="7">
        <v>1</v>
      </c>
      <c r="J62" s="7">
        <v>1</v>
      </c>
      <c r="K62" s="7">
        <v>0</v>
      </c>
      <c r="L62" s="7">
        <v>0</v>
      </c>
      <c r="M62" s="7">
        <v>0</v>
      </c>
      <c r="N62" s="7"/>
      <c r="O62" s="8">
        <v>0.8</v>
      </c>
      <c r="P62" s="7">
        <v>-1</v>
      </c>
      <c r="Q62" s="7">
        <v>-1</v>
      </c>
      <c r="R62" s="7">
        <v>-1</v>
      </c>
      <c r="S62" s="7">
        <v>-1</v>
      </c>
      <c r="T62" s="7">
        <v>-1</v>
      </c>
      <c r="U62" s="7">
        <v>-1</v>
      </c>
      <c r="V62" s="7">
        <v>0.24079999999999999</v>
      </c>
      <c r="W62" s="7">
        <v>0.1759</v>
      </c>
      <c r="X62" s="7">
        <v>0.23100000000000001</v>
      </c>
      <c r="Y62" s="7">
        <v>-1</v>
      </c>
      <c r="Z62" s="7">
        <v>-1</v>
      </c>
      <c r="AA62" s="7">
        <v>-1</v>
      </c>
      <c r="AC62">
        <v>30</v>
      </c>
    </row>
    <row r="63" spans="1:33" x14ac:dyDescent="0.3">
      <c r="A63" s="8">
        <v>0.85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1</v>
      </c>
      <c r="I63" s="7">
        <v>1</v>
      </c>
      <c r="J63" s="7">
        <v>1</v>
      </c>
      <c r="K63" s="7">
        <v>0</v>
      </c>
      <c r="L63" s="7">
        <v>0</v>
      </c>
      <c r="M63" s="7">
        <v>0</v>
      </c>
      <c r="N63" s="7"/>
      <c r="O63" s="8">
        <v>0.85</v>
      </c>
      <c r="P63" s="7">
        <v>-1</v>
      </c>
      <c r="Q63" s="7">
        <v>-1</v>
      </c>
      <c r="R63" s="7">
        <v>-1</v>
      </c>
      <c r="S63" s="7">
        <v>-1</v>
      </c>
      <c r="T63" s="7">
        <v>-1</v>
      </c>
      <c r="U63" s="7">
        <v>-1</v>
      </c>
      <c r="V63" s="7">
        <v>0.24079999999999999</v>
      </c>
      <c r="W63" s="7">
        <v>0.1691</v>
      </c>
      <c r="X63" s="7">
        <v>0.19969999999999999</v>
      </c>
      <c r="Y63" s="7">
        <v>-1</v>
      </c>
      <c r="Z63" s="7">
        <v>-1</v>
      </c>
      <c r="AA63" s="7">
        <v>-1</v>
      </c>
      <c r="AC63">
        <v>30</v>
      </c>
    </row>
    <row r="64" spans="1:33" x14ac:dyDescent="0.3">
      <c r="A64" s="8">
        <v>0.9</v>
      </c>
      <c r="B64" s="7">
        <v>1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1</v>
      </c>
      <c r="I64" s="7">
        <v>1</v>
      </c>
      <c r="J64" s="7">
        <v>1</v>
      </c>
      <c r="K64" s="7">
        <v>0</v>
      </c>
      <c r="L64" s="7">
        <v>0</v>
      </c>
      <c r="M64" s="7">
        <v>0</v>
      </c>
      <c r="N64" s="7"/>
      <c r="O64" s="8">
        <v>0.9</v>
      </c>
      <c r="P64" s="7">
        <v>4.3799999999999999E-2</v>
      </c>
      <c r="Q64" s="7">
        <v>-1</v>
      </c>
      <c r="R64" s="7">
        <v>-1</v>
      </c>
      <c r="S64" s="7">
        <v>-1</v>
      </c>
      <c r="T64" s="7">
        <v>-1</v>
      </c>
      <c r="U64" s="7">
        <v>-1</v>
      </c>
      <c r="V64" s="7">
        <v>0.24079999999999999</v>
      </c>
      <c r="W64" s="7">
        <v>0.1615</v>
      </c>
      <c r="X64" s="7">
        <v>0.1993</v>
      </c>
      <c r="Y64" s="7">
        <v>-1</v>
      </c>
      <c r="Z64" s="7">
        <v>-1</v>
      </c>
      <c r="AA64" s="7">
        <v>-1</v>
      </c>
      <c r="AC64">
        <v>30</v>
      </c>
    </row>
    <row r="65" spans="1:29" x14ac:dyDescent="0.3">
      <c r="A65" s="8">
        <v>0.95</v>
      </c>
      <c r="B65" s="7">
        <v>1</v>
      </c>
      <c r="C65" s="7">
        <v>0</v>
      </c>
      <c r="D65" s="7">
        <v>1</v>
      </c>
      <c r="E65" s="7">
        <v>1</v>
      </c>
      <c r="F65" s="7">
        <v>0</v>
      </c>
      <c r="G65" s="7">
        <v>0</v>
      </c>
      <c r="H65" s="7">
        <v>1</v>
      </c>
      <c r="I65" s="7">
        <v>1</v>
      </c>
      <c r="J65" s="7">
        <v>1</v>
      </c>
      <c r="K65" s="7">
        <v>0</v>
      </c>
      <c r="L65" s="7">
        <v>0</v>
      </c>
      <c r="M65" s="7">
        <v>0</v>
      </c>
      <c r="N65" s="7"/>
      <c r="O65" s="8">
        <v>0.95</v>
      </c>
      <c r="P65" s="7">
        <v>4.7800000000000002E-2</v>
      </c>
      <c r="Q65" s="7">
        <v>-1</v>
      </c>
      <c r="R65" s="7">
        <v>3.5499999999999997E-2</v>
      </c>
      <c r="S65" s="7">
        <v>6.2E-2</v>
      </c>
      <c r="T65" s="7">
        <v>-1</v>
      </c>
      <c r="U65" s="7">
        <v>-1</v>
      </c>
      <c r="V65" s="7">
        <v>0.2379</v>
      </c>
      <c r="W65" s="7">
        <v>0.13450000000000001</v>
      </c>
      <c r="X65" s="7">
        <v>0.20030000000000001</v>
      </c>
      <c r="Y65" s="7">
        <v>-1</v>
      </c>
      <c r="Z65" s="7">
        <v>-1</v>
      </c>
      <c r="AA65" s="7">
        <v>-1</v>
      </c>
      <c r="AC65">
        <v>30</v>
      </c>
    </row>
    <row r="66" spans="1:29" x14ac:dyDescent="0.3">
      <c r="A66" s="8">
        <v>0.99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0</v>
      </c>
      <c r="M66" s="7">
        <v>0</v>
      </c>
      <c r="N66" s="7"/>
      <c r="O66" s="8">
        <v>0.99</v>
      </c>
      <c r="P66" s="7">
        <v>4.3999999999999997E-2</v>
      </c>
      <c r="Q66" s="7">
        <v>1.9800000000000002E-2</v>
      </c>
      <c r="R66" s="7">
        <v>3.2500000000000001E-2</v>
      </c>
      <c r="S66" s="7">
        <v>5.74E-2</v>
      </c>
      <c r="T66" s="7">
        <v>3.0800000000000001E-2</v>
      </c>
      <c r="U66" s="7">
        <v>4.5400000000000003E-2</v>
      </c>
      <c r="V66" s="7">
        <v>0.2379</v>
      </c>
      <c r="W66" s="7">
        <v>0.1328</v>
      </c>
      <c r="X66" s="7">
        <v>0.1973</v>
      </c>
      <c r="Y66" s="7">
        <v>4.2000000000000003E-2</v>
      </c>
      <c r="Z66" s="7">
        <v>-1</v>
      </c>
      <c r="AA66" s="7">
        <v>-1</v>
      </c>
      <c r="AC66">
        <v>30</v>
      </c>
    </row>
    <row r="70" spans="1:29" ht="15" thickBot="1" x14ac:dyDescent="0.35">
      <c r="B70" s="5" t="s">
        <v>17</v>
      </c>
      <c r="C70" s="5" t="s">
        <v>18</v>
      </c>
      <c r="D70" s="5" t="s">
        <v>19</v>
      </c>
      <c r="E70" s="5" t="s">
        <v>20</v>
      </c>
      <c r="F70" s="5" t="s">
        <v>21</v>
      </c>
      <c r="G70" s="5" t="s">
        <v>22</v>
      </c>
      <c r="H70" s="5" t="s">
        <v>23</v>
      </c>
      <c r="I70" s="5" t="s">
        <v>24</v>
      </c>
      <c r="J70" s="5" t="s">
        <v>25</v>
      </c>
      <c r="K70" s="5" t="s">
        <v>26</v>
      </c>
      <c r="L70" s="5" t="s">
        <v>27</v>
      </c>
      <c r="M70" s="5" t="s">
        <v>28</v>
      </c>
    </row>
    <row r="71" spans="1:29" x14ac:dyDescent="0.3">
      <c r="A71" s="6" t="s">
        <v>29</v>
      </c>
      <c r="B71">
        <f xml:space="preserve"> INDEX($AC4:$AC66,MATCH(MAX(P4:P66),P4:P66,0),0)</f>
        <v>2</v>
      </c>
      <c r="C71">
        <f t="shared" ref="C71:M71" si="0" xml:space="preserve"> INDEX($AC4:$AC66,MATCH(MAX(Q4:Q66),Q4:Q66,0),0)</f>
        <v>2</v>
      </c>
      <c r="D71">
        <f t="shared" si="0"/>
        <v>2</v>
      </c>
      <c r="E71">
        <f t="shared" si="0"/>
        <v>2</v>
      </c>
      <c r="F71">
        <f t="shared" si="0"/>
        <v>2</v>
      </c>
      <c r="G71">
        <f t="shared" si="0"/>
        <v>2</v>
      </c>
      <c r="H71">
        <f t="shared" si="0"/>
        <v>2</v>
      </c>
      <c r="I71">
        <f t="shared" si="0"/>
        <v>2</v>
      </c>
      <c r="J71">
        <f t="shared" si="0"/>
        <v>2</v>
      </c>
      <c r="K71">
        <f t="shared" si="0"/>
        <v>2</v>
      </c>
      <c r="L71">
        <f t="shared" si="0"/>
        <v>2</v>
      </c>
      <c r="M71">
        <f t="shared" si="0"/>
        <v>2</v>
      </c>
    </row>
    <row r="72" spans="1:29" x14ac:dyDescent="0.3">
      <c r="A72" s="6" t="s">
        <v>0</v>
      </c>
      <c r="B72">
        <f xml:space="preserve"> INDEX($A4:$A66,MATCH(MAX(P4:P66),P4:P66,0),0)</f>
        <v>0.7</v>
      </c>
      <c r="C72">
        <f t="shared" ref="C72:M72" si="1" xml:space="preserve"> INDEX($A4:$A66,MATCH(MAX(Q4:Q66),Q4:Q66,0),0)</f>
        <v>0.95</v>
      </c>
      <c r="D72">
        <f t="shared" si="1"/>
        <v>0.9</v>
      </c>
      <c r="E72">
        <f t="shared" si="1"/>
        <v>0.7</v>
      </c>
      <c r="F72">
        <f t="shared" si="1"/>
        <v>0.75</v>
      </c>
      <c r="G72">
        <f t="shared" si="1"/>
        <v>0.6</v>
      </c>
      <c r="H72">
        <f t="shared" si="1"/>
        <v>0.5</v>
      </c>
      <c r="I72">
        <f t="shared" si="1"/>
        <v>0.7</v>
      </c>
      <c r="J72">
        <f t="shared" si="1"/>
        <v>0.5</v>
      </c>
      <c r="K72">
        <f t="shared" si="1"/>
        <v>0.6</v>
      </c>
      <c r="L72">
        <f t="shared" si="1"/>
        <v>0.75</v>
      </c>
      <c r="M72">
        <f t="shared" si="1"/>
        <v>0.6</v>
      </c>
    </row>
    <row r="73" spans="1:29" x14ac:dyDescent="0.3">
      <c r="A73" s="6" t="s">
        <v>30</v>
      </c>
      <c r="B73">
        <f xml:space="preserve"> MAX(P4:P66)</f>
        <v>9.7799999999999998E-2</v>
      </c>
      <c r="C73">
        <f t="shared" ref="C73:M73" si="2" xml:space="preserve"> MAX(Q4:Q66)</f>
        <v>6.0499999999999998E-2</v>
      </c>
      <c r="D73">
        <f t="shared" si="2"/>
        <v>8.8700000000000001E-2</v>
      </c>
      <c r="E73">
        <f t="shared" si="2"/>
        <v>0.16719999999999999</v>
      </c>
      <c r="F73">
        <f t="shared" si="2"/>
        <v>0.12640000000000001</v>
      </c>
      <c r="G73">
        <f t="shared" si="2"/>
        <v>0.17050000000000001</v>
      </c>
      <c r="H73">
        <f t="shared" si="2"/>
        <v>0.316</v>
      </c>
      <c r="I73">
        <f t="shared" si="2"/>
        <v>0.26179999999999998</v>
      </c>
      <c r="J73">
        <f t="shared" si="2"/>
        <v>0.3377</v>
      </c>
      <c r="K73">
        <f t="shared" si="2"/>
        <v>0.1024</v>
      </c>
      <c r="L73">
        <f t="shared" si="2"/>
        <v>0.1046</v>
      </c>
      <c r="M73">
        <f t="shared" si="2"/>
        <v>0.1198</v>
      </c>
    </row>
    <row r="74" spans="1:29" x14ac:dyDescent="0.3">
      <c r="A74" s="6" t="s">
        <v>32</v>
      </c>
      <c r="B74">
        <f xml:space="preserve"> INDEX(B4:B66,MATCH(MAX(P4:P66),P4:P66,0),0)</f>
        <v>6</v>
      </c>
      <c r="C74">
        <f t="shared" ref="C74:M74" si="3" xml:space="preserve"> INDEX(C4:C66,MATCH(MAX(Q4:Q66),Q4:Q66,0),0)</f>
        <v>4</v>
      </c>
      <c r="D74">
        <f t="shared" si="3"/>
        <v>4</v>
      </c>
      <c r="E74">
        <f t="shared" si="3"/>
        <v>7</v>
      </c>
      <c r="F74">
        <f t="shared" si="3"/>
        <v>9</v>
      </c>
      <c r="G74">
        <f t="shared" si="3"/>
        <v>9</v>
      </c>
      <c r="H74">
        <f t="shared" si="3"/>
        <v>7</v>
      </c>
      <c r="I74">
        <f t="shared" si="3"/>
        <v>7</v>
      </c>
      <c r="J74">
        <f t="shared" si="3"/>
        <v>7</v>
      </c>
      <c r="K74">
        <f t="shared" si="3"/>
        <v>4</v>
      </c>
      <c r="L74">
        <f t="shared" si="3"/>
        <v>5</v>
      </c>
      <c r="M74">
        <f t="shared" si="3"/>
        <v>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80-D0BD-4638-ACEC-F8F11BDCBB63}">
  <dimension ref="A1:AC74"/>
  <sheetViews>
    <sheetView topLeftCell="A51" zoomScale="78" workbookViewId="0">
      <selection activeCell="B71" sqref="B71:M74"/>
    </sheetView>
  </sheetViews>
  <sheetFormatPr baseColWidth="10" defaultRowHeight="14.4" x14ac:dyDescent="0.3"/>
  <sheetData>
    <row r="1" spans="1:29" x14ac:dyDescent="0.3">
      <c r="A1" t="s">
        <v>12</v>
      </c>
    </row>
    <row r="2" spans="1:29" x14ac:dyDescent="0.3">
      <c r="A2" t="s">
        <v>32</v>
      </c>
      <c r="O2" t="s">
        <v>13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31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31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</row>
    <row r="4" spans="1:29" x14ac:dyDescent="0.3">
      <c r="A4" s="1">
        <v>0.3</v>
      </c>
      <c r="B4">
        <v>31</v>
      </c>
      <c r="C4">
        <v>17</v>
      </c>
      <c r="D4">
        <v>26</v>
      </c>
      <c r="E4">
        <v>32</v>
      </c>
      <c r="F4">
        <v>19</v>
      </c>
      <c r="G4">
        <v>27</v>
      </c>
      <c r="H4">
        <v>34</v>
      </c>
      <c r="I4">
        <v>30</v>
      </c>
      <c r="J4">
        <v>38</v>
      </c>
      <c r="K4">
        <v>23</v>
      </c>
      <c r="L4">
        <v>21</v>
      </c>
      <c r="M4">
        <v>21</v>
      </c>
      <c r="O4" s="1">
        <v>0.3</v>
      </c>
      <c r="P4">
        <v>4.2200000000000001E-2</v>
      </c>
      <c r="Q4">
        <v>6.0100000000000001E-2</v>
      </c>
      <c r="R4">
        <v>4.5900000000000003E-2</v>
      </c>
      <c r="S4">
        <v>4.2099999999999999E-2</v>
      </c>
      <c r="T4">
        <v>5.8099999999999999E-2</v>
      </c>
      <c r="U4">
        <v>4.7199999999999999E-2</v>
      </c>
      <c r="V4">
        <v>7.1499999999999994E-2</v>
      </c>
      <c r="W4">
        <v>1.6400000000000001E-2</v>
      </c>
      <c r="X4">
        <v>7.2499999999999995E-2</v>
      </c>
      <c r="Y4">
        <v>9.2600000000000002E-2</v>
      </c>
      <c r="Z4">
        <v>8.5400000000000004E-2</v>
      </c>
      <c r="AA4">
        <v>7.7600000000000002E-2</v>
      </c>
      <c r="AC4">
        <v>2</v>
      </c>
    </row>
    <row r="5" spans="1:29" x14ac:dyDescent="0.3">
      <c r="A5" s="1">
        <v>0.4</v>
      </c>
      <c r="B5">
        <v>34</v>
      </c>
      <c r="C5">
        <v>23</v>
      </c>
      <c r="D5">
        <v>34</v>
      </c>
      <c r="E5">
        <v>35</v>
      </c>
      <c r="F5">
        <v>25</v>
      </c>
      <c r="G5">
        <v>35</v>
      </c>
      <c r="H5">
        <v>34</v>
      </c>
      <c r="I5">
        <v>36</v>
      </c>
      <c r="J5">
        <v>38</v>
      </c>
      <c r="K5">
        <v>25</v>
      </c>
      <c r="L5">
        <v>21</v>
      </c>
      <c r="M5">
        <v>24</v>
      </c>
      <c r="O5" s="1">
        <v>0.4</v>
      </c>
      <c r="P5">
        <v>6.0499999999999998E-2</v>
      </c>
      <c r="Q5">
        <v>6.5299999999999997E-2</v>
      </c>
      <c r="R5">
        <v>7.6600000000000001E-2</v>
      </c>
      <c r="S5">
        <v>6.5600000000000006E-2</v>
      </c>
      <c r="T5">
        <v>6.4199999999999993E-2</v>
      </c>
      <c r="U5">
        <v>8.09E-2</v>
      </c>
      <c r="V5">
        <v>6.3700000000000007E-2</v>
      </c>
      <c r="W5">
        <v>7.7700000000000005E-2</v>
      </c>
      <c r="X5">
        <v>0.1091</v>
      </c>
      <c r="Y5">
        <v>9.6699999999999994E-2</v>
      </c>
      <c r="Z5">
        <v>8.9300000000000004E-2</v>
      </c>
      <c r="AA5">
        <v>9.98E-2</v>
      </c>
      <c r="AC5">
        <v>2</v>
      </c>
    </row>
    <row r="6" spans="1:29" x14ac:dyDescent="0.3">
      <c r="A6" s="1">
        <v>0.5</v>
      </c>
      <c r="B6">
        <v>39</v>
      </c>
      <c r="C6">
        <v>34</v>
      </c>
      <c r="D6">
        <v>37</v>
      </c>
      <c r="E6">
        <v>40</v>
      </c>
      <c r="F6">
        <v>33</v>
      </c>
      <c r="G6">
        <v>37</v>
      </c>
      <c r="H6">
        <v>11</v>
      </c>
      <c r="I6">
        <v>38</v>
      </c>
      <c r="J6">
        <v>17</v>
      </c>
      <c r="K6">
        <v>24</v>
      </c>
      <c r="L6">
        <v>23</v>
      </c>
      <c r="M6">
        <v>25</v>
      </c>
      <c r="O6" s="1">
        <v>0.5</v>
      </c>
      <c r="P6">
        <v>7.0199999999999999E-2</v>
      </c>
      <c r="Q6">
        <v>8.3299999999999999E-2</v>
      </c>
      <c r="R6">
        <v>7.9100000000000004E-2</v>
      </c>
      <c r="S6">
        <v>7.8899999999999998E-2</v>
      </c>
      <c r="T6">
        <v>8.1900000000000001E-2</v>
      </c>
      <c r="U6">
        <v>9.0200000000000002E-2</v>
      </c>
      <c r="V6">
        <f>0.0139</f>
        <v>1.3899999999999999E-2</v>
      </c>
      <c r="W6">
        <v>0.1119</v>
      </c>
      <c r="X6">
        <v>4.7300000000000002E-2</v>
      </c>
      <c r="Y6">
        <v>8.1600000000000006E-2</v>
      </c>
      <c r="Z6">
        <v>9.69E-2</v>
      </c>
      <c r="AA6">
        <v>9.4299999999999995E-2</v>
      </c>
      <c r="AC6">
        <v>2</v>
      </c>
    </row>
    <row r="7" spans="1:29" x14ac:dyDescent="0.3">
      <c r="A7" s="1">
        <v>0.6</v>
      </c>
      <c r="B7">
        <v>48</v>
      </c>
      <c r="C7">
        <v>36</v>
      </c>
      <c r="D7">
        <v>43</v>
      </c>
      <c r="E7">
        <v>48</v>
      </c>
      <c r="F7">
        <v>38</v>
      </c>
      <c r="G7">
        <v>46</v>
      </c>
      <c r="H7">
        <v>4</v>
      </c>
      <c r="I7">
        <v>38</v>
      </c>
      <c r="J7">
        <v>7</v>
      </c>
      <c r="K7">
        <v>22</v>
      </c>
      <c r="L7">
        <v>25</v>
      </c>
      <c r="M7">
        <v>25</v>
      </c>
      <c r="O7" s="1">
        <v>0.6</v>
      </c>
      <c r="P7" s="3">
        <v>0.1019</v>
      </c>
      <c r="Q7">
        <v>8.8200000000000001E-2</v>
      </c>
      <c r="R7">
        <v>0.09</v>
      </c>
      <c r="S7" s="3">
        <v>0.1144</v>
      </c>
      <c r="T7">
        <v>9.3299999999999994E-2</v>
      </c>
      <c r="U7">
        <v>0.1002</v>
      </c>
      <c r="V7">
        <v>6.2399999999999997E-2</v>
      </c>
      <c r="W7">
        <v>0.1077</v>
      </c>
      <c r="X7">
        <v>2.7400000000000001E-2</v>
      </c>
      <c r="Y7">
        <v>6.7400000000000002E-2</v>
      </c>
      <c r="Z7">
        <v>0.1002</v>
      </c>
      <c r="AA7">
        <v>8.2900000000000001E-2</v>
      </c>
      <c r="AC7">
        <v>2</v>
      </c>
    </row>
    <row r="8" spans="1:29" x14ac:dyDescent="0.3">
      <c r="A8" s="1">
        <v>0.65</v>
      </c>
      <c r="B8">
        <v>40</v>
      </c>
      <c r="C8">
        <v>39</v>
      </c>
      <c r="D8">
        <v>43</v>
      </c>
      <c r="E8">
        <v>39</v>
      </c>
      <c r="F8">
        <v>39</v>
      </c>
      <c r="G8">
        <v>45</v>
      </c>
      <c r="H8">
        <v>3</v>
      </c>
      <c r="I8">
        <v>27</v>
      </c>
      <c r="J8">
        <v>6</v>
      </c>
      <c r="K8">
        <v>16</v>
      </c>
      <c r="L8">
        <v>25</v>
      </c>
      <c r="M8">
        <v>25</v>
      </c>
      <c r="O8" s="1">
        <v>0.65</v>
      </c>
      <c r="P8">
        <v>8.9899999999999994E-2</v>
      </c>
      <c r="Q8">
        <v>9.0499999999999997E-2</v>
      </c>
      <c r="R8">
        <v>9.6699999999999994E-2</v>
      </c>
      <c r="S8">
        <v>9.3600000000000003E-2</v>
      </c>
      <c r="T8">
        <v>9.5600000000000004E-2</v>
      </c>
      <c r="U8">
        <v>0.10829999999999999</v>
      </c>
      <c r="V8">
        <v>7.6700000000000004E-2</v>
      </c>
      <c r="W8">
        <v>7.6799999999999993E-2</v>
      </c>
      <c r="X8">
        <v>5.6000000000000001E-2</v>
      </c>
      <c r="Y8">
        <v>5.3199999999999997E-2</v>
      </c>
      <c r="Z8">
        <v>0.1002</v>
      </c>
      <c r="AA8">
        <v>8.3099999999999993E-2</v>
      </c>
      <c r="AC8">
        <v>2</v>
      </c>
    </row>
    <row r="9" spans="1:29" x14ac:dyDescent="0.3">
      <c r="A9" s="1">
        <v>0.7</v>
      </c>
      <c r="B9">
        <v>40</v>
      </c>
      <c r="C9">
        <v>39</v>
      </c>
      <c r="D9">
        <v>41</v>
      </c>
      <c r="E9">
        <v>34</v>
      </c>
      <c r="F9">
        <v>42</v>
      </c>
      <c r="G9">
        <v>39</v>
      </c>
      <c r="H9">
        <v>2</v>
      </c>
      <c r="I9">
        <v>14</v>
      </c>
      <c r="J9">
        <v>3</v>
      </c>
      <c r="K9">
        <v>14</v>
      </c>
      <c r="L9">
        <v>26</v>
      </c>
      <c r="M9">
        <v>19</v>
      </c>
      <c r="O9" s="1">
        <v>0.7</v>
      </c>
      <c r="P9">
        <v>7.9600000000000004E-2</v>
      </c>
      <c r="Q9">
        <v>7.7299999999999994E-2</v>
      </c>
      <c r="R9">
        <v>9.4100000000000003E-2</v>
      </c>
      <c r="S9">
        <v>7.2300000000000003E-2</v>
      </c>
      <c r="T9">
        <v>8.4500000000000006E-2</v>
      </c>
      <c r="U9">
        <v>9.5000000000000001E-2</v>
      </c>
      <c r="V9">
        <v>7.4800000000000005E-2</v>
      </c>
      <c r="W9">
        <v>1.4200000000000001E-2</v>
      </c>
      <c r="X9">
        <v>7.1599999999999997E-2</v>
      </c>
      <c r="Y9">
        <v>3.7199999999999997E-2</v>
      </c>
      <c r="Z9">
        <v>8.7599999999999997E-2</v>
      </c>
      <c r="AA9">
        <v>6.9800000000000001E-2</v>
      </c>
      <c r="AC9">
        <v>2</v>
      </c>
    </row>
    <row r="10" spans="1:29" x14ac:dyDescent="0.3">
      <c r="A10" s="1">
        <v>0.75</v>
      </c>
      <c r="B10">
        <v>31</v>
      </c>
      <c r="C10">
        <v>43</v>
      </c>
      <c r="D10">
        <v>35</v>
      </c>
      <c r="E10">
        <v>25</v>
      </c>
      <c r="F10">
        <v>46</v>
      </c>
      <c r="G10">
        <v>33</v>
      </c>
      <c r="H10">
        <v>1</v>
      </c>
      <c r="I10">
        <v>7</v>
      </c>
      <c r="J10">
        <v>3</v>
      </c>
      <c r="K10">
        <v>11</v>
      </c>
      <c r="L10">
        <v>25</v>
      </c>
      <c r="M10">
        <v>11</v>
      </c>
      <c r="O10" s="1">
        <v>0.75</v>
      </c>
      <c r="P10">
        <v>6.1600000000000002E-2</v>
      </c>
      <c r="Q10">
        <v>7.8200000000000006E-2</v>
      </c>
      <c r="R10">
        <v>6.7699999999999996E-2</v>
      </c>
      <c r="S10">
        <v>5.21E-2</v>
      </c>
      <c r="T10">
        <v>8.5400000000000004E-2</v>
      </c>
      <c r="U10">
        <v>7.3999999999999996E-2</v>
      </c>
      <c r="V10">
        <v>8.14E-2</v>
      </c>
      <c r="W10">
        <v>2.7E-2</v>
      </c>
      <c r="X10">
        <v>7.1499999999999994E-2</v>
      </c>
      <c r="Y10">
        <v>3.0800000000000001E-2</v>
      </c>
      <c r="Z10">
        <v>7.2300000000000003E-2</v>
      </c>
      <c r="AA10">
        <v>4.3700000000000003E-2</v>
      </c>
      <c r="AC10">
        <v>2</v>
      </c>
    </row>
    <row r="11" spans="1:29" x14ac:dyDescent="0.3">
      <c r="A11" s="1">
        <v>0.8</v>
      </c>
      <c r="B11">
        <v>13</v>
      </c>
      <c r="C11">
        <v>43</v>
      </c>
      <c r="D11">
        <v>25</v>
      </c>
      <c r="E11">
        <v>15</v>
      </c>
      <c r="F11">
        <v>39</v>
      </c>
      <c r="G11">
        <v>22</v>
      </c>
      <c r="H11">
        <v>1</v>
      </c>
      <c r="I11">
        <v>3</v>
      </c>
      <c r="J11">
        <v>3</v>
      </c>
      <c r="K11">
        <v>6</v>
      </c>
      <c r="L11">
        <v>19</v>
      </c>
      <c r="M11">
        <v>12</v>
      </c>
      <c r="O11" s="1">
        <v>0.8</v>
      </c>
      <c r="P11">
        <v>3.5700000000000003E-2</v>
      </c>
      <c r="Q11">
        <v>7.3899999999999993E-2</v>
      </c>
      <c r="R11">
        <v>4.1799999999999997E-2</v>
      </c>
      <c r="S11">
        <v>3.8600000000000002E-2</v>
      </c>
      <c r="T11">
        <v>7.5700000000000003E-2</v>
      </c>
      <c r="U11">
        <v>4.2599999999999999E-2</v>
      </c>
      <c r="V11">
        <v>8.1199999999999994E-2</v>
      </c>
      <c r="W11">
        <v>4.8300000000000003E-2</v>
      </c>
      <c r="X11">
        <v>7.1499999999999994E-2</v>
      </c>
      <c r="Y11">
        <v>2.24E-2</v>
      </c>
      <c r="Z11">
        <v>0.06</v>
      </c>
      <c r="AA11">
        <v>4.3299999999999998E-2</v>
      </c>
      <c r="AC11">
        <v>2</v>
      </c>
    </row>
    <row r="12" spans="1:29" x14ac:dyDescent="0.3">
      <c r="A12" s="1">
        <v>0.85</v>
      </c>
      <c r="B12">
        <v>7</v>
      </c>
      <c r="C12">
        <v>41</v>
      </c>
      <c r="D12">
        <v>19</v>
      </c>
      <c r="E12">
        <v>8</v>
      </c>
      <c r="F12">
        <v>37</v>
      </c>
      <c r="G12">
        <v>18</v>
      </c>
      <c r="H12">
        <v>1</v>
      </c>
      <c r="I12">
        <v>3</v>
      </c>
      <c r="J12">
        <v>2</v>
      </c>
      <c r="K12">
        <v>2</v>
      </c>
      <c r="L12">
        <v>13</v>
      </c>
      <c r="M12">
        <v>7</v>
      </c>
      <c r="O12" s="1">
        <v>0.85</v>
      </c>
      <c r="P12">
        <v>2.35E-2</v>
      </c>
      <c r="Q12">
        <v>6.1800000000000001E-2</v>
      </c>
      <c r="R12">
        <v>2.5399999999999999E-2</v>
      </c>
      <c r="S12">
        <v>2.5999999999999999E-2</v>
      </c>
      <c r="T12">
        <v>6.7100000000000007E-2</v>
      </c>
      <c r="U12">
        <v>2.8899999999999999E-2</v>
      </c>
      <c r="V12">
        <v>8.1199999999999994E-2</v>
      </c>
      <c r="W12">
        <v>4.8099999999999997E-2</v>
      </c>
      <c r="X12">
        <v>6.7599999999999993E-2</v>
      </c>
      <c r="Y12">
        <v>1.2800000000000001E-2</v>
      </c>
      <c r="Z12">
        <v>4.2599999999999999E-2</v>
      </c>
      <c r="AA12">
        <v>3.6200000000000003E-2</v>
      </c>
      <c r="AC12">
        <v>2</v>
      </c>
    </row>
    <row r="13" spans="1:29" x14ac:dyDescent="0.3">
      <c r="A13" s="1">
        <v>0.9</v>
      </c>
      <c r="B13">
        <v>3</v>
      </c>
      <c r="C13">
        <v>21</v>
      </c>
      <c r="D13">
        <v>5</v>
      </c>
      <c r="E13">
        <v>3</v>
      </c>
      <c r="F13">
        <v>18</v>
      </c>
      <c r="G13">
        <v>4</v>
      </c>
      <c r="H13">
        <v>1</v>
      </c>
      <c r="I13">
        <v>2</v>
      </c>
      <c r="J13">
        <v>1</v>
      </c>
      <c r="K13">
        <v>2</v>
      </c>
      <c r="L13">
        <v>11</v>
      </c>
      <c r="M13">
        <v>7</v>
      </c>
      <c r="O13" s="1">
        <v>0.9</v>
      </c>
      <c r="P13">
        <v>1.4E-2</v>
      </c>
      <c r="Q13">
        <v>3.4099999999999998E-2</v>
      </c>
      <c r="R13">
        <v>1.5100000000000001E-2</v>
      </c>
      <c r="S13">
        <v>1.43E-2</v>
      </c>
      <c r="T13">
        <v>3.3300000000000003E-2</v>
      </c>
      <c r="U13">
        <v>1.2999999999999999E-2</v>
      </c>
      <c r="V13">
        <v>8.1199999999999994E-2</v>
      </c>
      <c r="W13">
        <v>4.3900000000000002E-2</v>
      </c>
      <c r="X13">
        <v>6.3899999999999998E-2</v>
      </c>
      <c r="Y13">
        <v>1.26E-2</v>
      </c>
      <c r="Z13">
        <v>3.6299999999999999E-2</v>
      </c>
      <c r="AA13">
        <v>3.6299999999999999E-2</v>
      </c>
      <c r="AC13">
        <v>2</v>
      </c>
    </row>
    <row r="14" spans="1:29" x14ac:dyDescent="0.3">
      <c r="A14" s="1">
        <v>0.95</v>
      </c>
      <c r="B14">
        <v>2</v>
      </c>
      <c r="C14">
        <v>5</v>
      </c>
      <c r="D14">
        <v>3</v>
      </c>
      <c r="E14">
        <v>2</v>
      </c>
      <c r="F14">
        <v>4</v>
      </c>
      <c r="G14">
        <v>3</v>
      </c>
      <c r="H14">
        <v>1</v>
      </c>
      <c r="I14">
        <v>1</v>
      </c>
      <c r="J14">
        <v>1</v>
      </c>
      <c r="K14">
        <v>2</v>
      </c>
      <c r="L14">
        <v>7</v>
      </c>
      <c r="M14">
        <v>2</v>
      </c>
      <c r="O14" s="1">
        <v>0.95</v>
      </c>
      <c r="P14">
        <v>1.2200000000000001E-2</v>
      </c>
      <c r="Q14">
        <v>0.01</v>
      </c>
      <c r="R14">
        <v>1.1299999999999999E-2</v>
      </c>
      <c r="S14">
        <v>1.2500000000000001E-2</v>
      </c>
      <c r="T14">
        <v>8.2000000000000007E-3</v>
      </c>
      <c r="U14">
        <v>1.1599999999999999E-2</v>
      </c>
      <c r="V14">
        <v>8.1199999999999994E-2</v>
      </c>
      <c r="W14">
        <v>3.8800000000000001E-2</v>
      </c>
      <c r="X14">
        <v>6.3700000000000007E-2</v>
      </c>
      <c r="Y14">
        <v>1.2500000000000001E-2</v>
      </c>
      <c r="Z14">
        <v>3.1099999999999999E-2</v>
      </c>
      <c r="AA14">
        <v>1.0800000000000001E-2</v>
      </c>
      <c r="AC14">
        <v>2</v>
      </c>
    </row>
    <row r="15" spans="1:29" x14ac:dyDescent="0.3">
      <c r="A15" s="1">
        <v>0.99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O15" s="1">
        <v>0.99</v>
      </c>
      <c r="P15">
        <v>1.21E-2</v>
      </c>
      <c r="Q15">
        <v>6.1000000000000004E-3</v>
      </c>
      <c r="R15">
        <v>9.5999999999999992E-3</v>
      </c>
      <c r="S15">
        <v>1.24E-2</v>
      </c>
      <c r="T15">
        <v>6.3E-3</v>
      </c>
      <c r="U15">
        <v>9.7999999999999997E-3</v>
      </c>
      <c r="V15">
        <v>8.1199999999999994E-2</v>
      </c>
      <c r="W15">
        <v>3.8699999999999998E-2</v>
      </c>
      <c r="X15">
        <v>6.3700000000000007E-2</v>
      </c>
      <c r="Y15">
        <v>1.24E-2</v>
      </c>
      <c r="Z15">
        <v>8.8000000000000005E-3</v>
      </c>
      <c r="AA15">
        <v>1.0699999999999999E-2</v>
      </c>
      <c r="AC15">
        <v>2</v>
      </c>
    </row>
    <row r="18" spans="1:29" x14ac:dyDescent="0.3">
      <c r="A18" t="s">
        <v>14</v>
      </c>
    </row>
    <row r="19" spans="1:29" x14ac:dyDescent="0.3">
      <c r="A19" t="s">
        <v>32</v>
      </c>
      <c r="O19" t="s">
        <v>13</v>
      </c>
    </row>
    <row r="20" spans="1:29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31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O20" t="s">
        <v>0</v>
      </c>
      <c r="P20" t="s">
        <v>1</v>
      </c>
      <c r="Q20" t="s">
        <v>2</v>
      </c>
      <c r="R20" t="s">
        <v>3</v>
      </c>
      <c r="S20" t="s">
        <v>4</v>
      </c>
      <c r="T20" t="s">
        <v>31</v>
      </c>
      <c r="U20" t="s">
        <v>5</v>
      </c>
      <c r="V20" t="s">
        <v>6</v>
      </c>
      <c r="W20" t="s">
        <v>7</v>
      </c>
      <c r="X20" t="s">
        <v>8</v>
      </c>
      <c r="Y20" t="s">
        <v>9</v>
      </c>
      <c r="Z20" t="s">
        <v>10</v>
      </c>
      <c r="AA20" t="s">
        <v>11</v>
      </c>
    </row>
    <row r="21" spans="1:29" x14ac:dyDescent="0.3">
      <c r="A21" s="1">
        <v>0.3</v>
      </c>
      <c r="B21">
        <v>9</v>
      </c>
      <c r="C21">
        <v>5</v>
      </c>
      <c r="D21">
        <v>6</v>
      </c>
      <c r="E21">
        <v>11</v>
      </c>
      <c r="F21">
        <v>6</v>
      </c>
      <c r="G21">
        <v>8</v>
      </c>
      <c r="H21">
        <v>17</v>
      </c>
      <c r="I21">
        <v>11</v>
      </c>
      <c r="J21">
        <v>18</v>
      </c>
      <c r="K21">
        <v>17</v>
      </c>
      <c r="L21">
        <v>7</v>
      </c>
      <c r="M21">
        <v>9</v>
      </c>
      <c r="O21" s="1">
        <v>0.3</v>
      </c>
      <c r="P21">
        <v>2.23E-2</v>
      </c>
      <c r="Q21">
        <v>2.35E-2</v>
      </c>
      <c r="R21">
        <v>1.4999999999999999E-2</v>
      </c>
      <c r="S21">
        <v>1.34E-2</v>
      </c>
      <c r="T21">
        <v>2.1700000000000001E-2</v>
      </c>
      <c r="U21">
        <v>8.8999999999999999E-3</v>
      </c>
      <c r="V21">
        <v>2.35E-2</v>
      </c>
      <c r="W21">
        <f>0.0104</f>
        <v>1.04E-2</v>
      </c>
      <c r="X21">
        <v>6.1000000000000004E-3</v>
      </c>
      <c r="Y21">
        <v>7.3999999999999996E-2</v>
      </c>
      <c r="Z21">
        <v>4.3799999999999999E-2</v>
      </c>
      <c r="AA21">
        <v>4.5999999999999999E-2</v>
      </c>
      <c r="AC21">
        <v>3</v>
      </c>
    </row>
    <row r="22" spans="1:29" x14ac:dyDescent="0.3">
      <c r="A22" s="1">
        <v>0.4</v>
      </c>
      <c r="B22">
        <v>13</v>
      </c>
      <c r="C22">
        <v>5</v>
      </c>
      <c r="D22">
        <v>12</v>
      </c>
      <c r="E22">
        <v>14</v>
      </c>
      <c r="F22">
        <v>6</v>
      </c>
      <c r="G22">
        <v>13</v>
      </c>
      <c r="H22">
        <v>13</v>
      </c>
      <c r="I22">
        <v>18</v>
      </c>
      <c r="J22">
        <v>17</v>
      </c>
      <c r="K22">
        <v>18</v>
      </c>
      <c r="L22">
        <v>9</v>
      </c>
      <c r="M22">
        <v>17</v>
      </c>
      <c r="O22" s="1">
        <v>0.4</v>
      </c>
      <c r="P22">
        <v>3.4599999999999999E-2</v>
      </c>
      <c r="Q22">
        <v>2.35E-2</v>
      </c>
      <c r="R22">
        <v>3.5200000000000002E-2</v>
      </c>
      <c r="S22">
        <v>3.4299999999999997E-2</v>
      </c>
      <c r="T22">
        <v>2.1700000000000001E-2</v>
      </c>
      <c r="U22">
        <v>3.6700000000000003E-2</v>
      </c>
      <c r="V22">
        <v>4.7199999999999999E-2</v>
      </c>
      <c r="W22">
        <v>3.8399999999999997E-2</v>
      </c>
      <c r="X22">
        <v>6.5699999999999995E-2</v>
      </c>
      <c r="Y22">
        <v>0.08</v>
      </c>
      <c r="Z22">
        <v>5.2200000000000003E-2</v>
      </c>
      <c r="AA22">
        <v>8.0100000000000005E-2</v>
      </c>
      <c r="AC22">
        <v>3</v>
      </c>
    </row>
    <row r="23" spans="1:29" x14ac:dyDescent="0.3">
      <c r="A23" s="1">
        <v>0.5</v>
      </c>
      <c r="B23">
        <v>18</v>
      </c>
      <c r="C23">
        <v>11</v>
      </c>
      <c r="D23">
        <v>14</v>
      </c>
      <c r="E23">
        <v>19</v>
      </c>
      <c r="F23">
        <v>12</v>
      </c>
      <c r="G23">
        <v>15</v>
      </c>
      <c r="H23">
        <v>5</v>
      </c>
      <c r="I23">
        <v>18</v>
      </c>
      <c r="J23">
        <v>10</v>
      </c>
      <c r="K23">
        <v>14</v>
      </c>
      <c r="L23">
        <v>17</v>
      </c>
      <c r="M23">
        <v>14</v>
      </c>
      <c r="O23" s="1">
        <v>0.5</v>
      </c>
      <c r="P23">
        <v>5.45E-2</v>
      </c>
      <c r="Q23">
        <v>3.6700000000000003E-2</v>
      </c>
      <c r="R23">
        <v>5.1299999999999998E-2</v>
      </c>
      <c r="S23">
        <v>6.0900000000000003E-2</v>
      </c>
      <c r="T23">
        <v>3.3799999999999997E-2</v>
      </c>
      <c r="U23">
        <v>5.7500000000000002E-2</v>
      </c>
      <c r="V23">
        <v>1.3599999999999999E-2</v>
      </c>
      <c r="W23">
        <v>6.3799999999999996E-2</v>
      </c>
      <c r="X23">
        <v>5.6000000000000001E-2</v>
      </c>
      <c r="Y23">
        <v>6.0699999999999997E-2</v>
      </c>
      <c r="Z23">
        <v>7.8100000000000003E-2</v>
      </c>
      <c r="AA23">
        <v>7.0699999999999999E-2</v>
      </c>
      <c r="AC23">
        <v>3</v>
      </c>
    </row>
    <row r="24" spans="1:29" x14ac:dyDescent="0.3">
      <c r="A24" s="1">
        <v>0.6</v>
      </c>
      <c r="B24">
        <v>21</v>
      </c>
      <c r="C24">
        <v>13</v>
      </c>
      <c r="D24">
        <v>21</v>
      </c>
      <c r="E24">
        <v>25</v>
      </c>
      <c r="F24">
        <v>14</v>
      </c>
      <c r="G24">
        <v>24</v>
      </c>
      <c r="H24">
        <v>2</v>
      </c>
      <c r="I24">
        <v>18</v>
      </c>
      <c r="J24">
        <v>4</v>
      </c>
      <c r="K24">
        <v>14</v>
      </c>
      <c r="L24">
        <v>18</v>
      </c>
      <c r="M24">
        <v>14</v>
      </c>
      <c r="O24" s="1">
        <v>0.6</v>
      </c>
      <c r="P24">
        <v>6.4899999999999999E-2</v>
      </c>
      <c r="Q24">
        <v>4.2099999999999999E-2</v>
      </c>
      <c r="R24">
        <v>0.06</v>
      </c>
      <c r="S24">
        <v>7.0300000000000001E-2</v>
      </c>
      <c r="T24">
        <v>4.4600000000000001E-2</v>
      </c>
      <c r="U24">
        <v>6.5699999999999995E-2</v>
      </c>
      <c r="V24">
        <v>7.3200000000000001E-2</v>
      </c>
      <c r="W24">
        <v>7.6799999999999993E-2</v>
      </c>
      <c r="X24">
        <v>2.2200000000000001E-2</v>
      </c>
      <c r="Y24">
        <v>5.5599999999999997E-2</v>
      </c>
      <c r="Z24">
        <v>8.1799999999999998E-2</v>
      </c>
      <c r="AA24">
        <v>6.0100000000000001E-2</v>
      </c>
      <c r="AC24">
        <v>3</v>
      </c>
    </row>
    <row r="25" spans="1:29" x14ac:dyDescent="0.3">
      <c r="A25" s="1">
        <v>0.65</v>
      </c>
      <c r="B25">
        <v>22</v>
      </c>
      <c r="C25">
        <v>13</v>
      </c>
      <c r="D25">
        <v>20</v>
      </c>
      <c r="E25">
        <v>22</v>
      </c>
      <c r="F25">
        <v>14</v>
      </c>
      <c r="G25">
        <v>24</v>
      </c>
      <c r="H25">
        <v>2</v>
      </c>
      <c r="I25">
        <v>15</v>
      </c>
      <c r="J25">
        <v>3</v>
      </c>
      <c r="K25">
        <v>10</v>
      </c>
      <c r="L25">
        <v>18</v>
      </c>
      <c r="M25">
        <v>15</v>
      </c>
      <c r="O25" s="1">
        <v>0.65</v>
      </c>
      <c r="P25">
        <v>6.8099999999999994E-2</v>
      </c>
      <c r="Q25">
        <v>4.3700000000000003E-2</v>
      </c>
      <c r="R25">
        <v>6.7199999999999996E-2</v>
      </c>
      <c r="S25">
        <v>6.8000000000000005E-2</v>
      </c>
      <c r="T25">
        <v>4.5900000000000003E-2</v>
      </c>
      <c r="U25">
        <v>7.4399999999999994E-2</v>
      </c>
      <c r="V25">
        <v>7.4899999999999994E-2</v>
      </c>
      <c r="W25">
        <v>5.8999999999999997E-2</v>
      </c>
      <c r="X25">
        <v>6.3E-2</v>
      </c>
      <c r="Y25">
        <v>4.5600000000000002E-2</v>
      </c>
      <c r="Z25">
        <v>8.1799999999999998E-2</v>
      </c>
      <c r="AA25">
        <v>6.25E-2</v>
      </c>
      <c r="AC25">
        <v>3</v>
      </c>
    </row>
    <row r="26" spans="1:29" x14ac:dyDescent="0.3">
      <c r="A26" s="1">
        <v>0.7</v>
      </c>
      <c r="B26">
        <v>24</v>
      </c>
      <c r="C26">
        <v>13</v>
      </c>
      <c r="D26">
        <v>23</v>
      </c>
      <c r="E26">
        <v>24</v>
      </c>
      <c r="F26">
        <v>15</v>
      </c>
      <c r="G26">
        <v>21</v>
      </c>
      <c r="H26">
        <v>2</v>
      </c>
      <c r="I26">
        <v>7</v>
      </c>
      <c r="J26">
        <v>2</v>
      </c>
      <c r="K26">
        <v>7</v>
      </c>
      <c r="L26">
        <v>14</v>
      </c>
      <c r="M26">
        <v>14</v>
      </c>
      <c r="O26" s="1">
        <v>0.7</v>
      </c>
      <c r="P26">
        <v>5.6399999999999999E-2</v>
      </c>
      <c r="Q26">
        <v>4.2900000000000001E-2</v>
      </c>
      <c r="R26">
        <v>6.59E-2</v>
      </c>
      <c r="S26">
        <v>5.4100000000000002E-2</v>
      </c>
      <c r="T26">
        <v>4.5699999999999998E-2</v>
      </c>
      <c r="U26">
        <v>6.8099999999999994E-2</v>
      </c>
      <c r="V26">
        <v>7.4800000000000005E-2</v>
      </c>
      <c r="W26">
        <v>2.6200000000000001E-2</v>
      </c>
      <c r="X26">
        <v>6.8099999999999994E-2</v>
      </c>
      <c r="Y26">
        <v>3.4500000000000003E-2</v>
      </c>
      <c r="Z26">
        <v>6.3899999999999998E-2</v>
      </c>
      <c r="AA26">
        <v>5.91E-2</v>
      </c>
      <c r="AC26">
        <v>3</v>
      </c>
    </row>
    <row r="27" spans="1:29" x14ac:dyDescent="0.3">
      <c r="A27" s="1">
        <v>0.75</v>
      </c>
      <c r="B27">
        <v>21</v>
      </c>
      <c r="C27">
        <v>21</v>
      </c>
      <c r="D27">
        <v>22</v>
      </c>
      <c r="E27">
        <v>16</v>
      </c>
      <c r="F27">
        <v>24</v>
      </c>
      <c r="G27">
        <v>20</v>
      </c>
      <c r="H27">
        <v>1</v>
      </c>
      <c r="I27">
        <v>4</v>
      </c>
      <c r="J27">
        <v>2</v>
      </c>
      <c r="K27">
        <v>8</v>
      </c>
      <c r="L27">
        <v>14</v>
      </c>
      <c r="M27">
        <v>8</v>
      </c>
      <c r="O27" s="1">
        <v>0.75</v>
      </c>
      <c r="P27">
        <v>4.6199999999999998E-2</v>
      </c>
      <c r="Q27">
        <v>5.1900000000000002E-2</v>
      </c>
      <c r="R27">
        <v>5.1200000000000002E-2</v>
      </c>
      <c r="S27">
        <v>3.9399999999999998E-2</v>
      </c>
      <c r="T27">
        <v>5.7099999999999998E-2</v>
      </c>
      <c r="U27">
        <v>5.96E-2</v>
      </c>
      <c r="V27">
        <v>8.14E-2</v>
      </c>
      <c r="W27">
        <v>2.0899999999999998E-2</v>
      </c>
      <c r="X27">
        <v>6.8000000000000005E-2</v>
      </c>
      <c r="Y27">
        <v>2.8199999999999999E-2</v>
      </c>
      <c r="Z27">
        <v>5.2699999999999997E-2</v>
      </c>
      <c r="AA27">
        <v>3.9199999999999999E-2</v>
      </c>
      <c r="AC27">
        <v>3</v>
      </c>
    </row>
    <row r="28" spans="1:29" x14ac:dyDescent="0.3">
      <c r="A28" s="1">
        <v>0.8</v>
      </c>
      <c r="B28">
        <v>8</v>
      </c>
      <c r="C28">
        <v>20</v>
      </c>
      <c r="D28">
        <v>14</v>
      </c>
      <c r="E28">
        <v>9</v>
      </c>
      <c r="F28">
        <v>20</v>
      </c>
      <c r="G28">
        <v>13</v>
      </c>
      <c r="H28">
        <v>1</v>
      </c>
      <c r="I28">
        <v>2</v>
      </c>
      <c r="J28">
        <v>2</v>
      </c>
      <c r="K28">
        <v>5</v>
      </c>
      <c r="L28">
        <v>14</v>
      </c>
      <c r="M28">
        <v>10</v>
      </c>
      <c r="O28" s="1">
        <v>0.8</v>
      </c>
      <c r="P28">
        <v>2.7199999999999998E-2</v>
      </c>
      <c r="Q28">
        <v>4.8800000000000003E-2</v>
      </c>
      <c r="R28">
        <v>3.4700000000000002E-2</v>
      </c>
      <c r="S28">
        <v>2.7199999999999998E-2</v>
      </c>
      <c r="T28">
        <v>5.2499999999999998E-2</v>
      </c>
      <c r="U28">
        <v>3.6499999999999998E-2</v>
      </c>
      <c r="V28">
        <v>8.1199999999999994E-2</v>
      </c>
      <c r="W28">
        <v>4.4299999999999999E-2</v>
      </c>
      <c r="X28">
        <v>6.8000000000000005E-2</v>
      </c>
      <c r="Y28">
        <v>1.7899999999999999E-2</v>
      </c>
      <c r="Z28">
        <v>4.9399999999999999E-2</v>
      </c>
      <c r="AA28">
        <v>3.9300000000000002E-2</v>
      </c>
      <c r="AC28">
        <v>3</v>
      </c>
    </row>
    <row r="29" spans="1:29" x14ac:dyDescent="0.3">
      <c r="A29" s="1">
        <v>0.85</v>
      </c>
      <c r="B29">
        <v>4</v>
      </c>
      <c r="C29">
        <v>22</v>
      </c>
      <c r="D29">
        <v>9</v>
      </c>
      <c r="E29">
        <v>4</v>
      </c>
      <c r="F29">
        <v>20</v>
      </c>
      <c r="G29">
        <v>9</v>
      </c>
      <c r="H29">
        <v>1</v>
      </c>
      <c r="I29">
        <v>2</v>
      </c>
      <c r="J29">
        <v>2</v>
      </c>
      <c r="K29">
        <v>1</v>
      </c>
      <c r="L29">
        <v>8</v>
      </c>
      <c r="M29">
        <v>6</v>
      </c>
      <c r="O29" s="1">
        <v>0.85</v>
      </c>
      <c r="P29">
        <v>1.6799999999999999E-2</v>
      </c>
      <c r="Q29">
        <v>4.2799999999999998E-2</v>
      </c>
      <c r="R29">
        <v>1.9E-2</v>
      </c>
      <c r="S29">
        <v>1.7399999999999999E-2</v>
      </c>
      <c r="T29">
        <v>4.6899999999999997E-2</v>
      </c>
      <c r="U29">
        <v>1.9800000000000002E-2</v>
      </c>
      <c r="V29">
        <v>8.1199999999999994E-2</v>
      </c>
      <c r="W29">
        <v>4.4200000000000003E-2</v>
      </c>
      <c r="X29">
        <v>6.7599999999999993E-2</v>
      </c>
      <c r="Y29">
        <v>8.3000000000000001E-3</v>
      </c>
      <c r="Z29">
        <v>3.2899999999999999E-2</v>
      </c>
      <c r="AA29">
        <v>3.1699999999999999E-2</v>
      </c>
      <c r="AC29">
        <v>3</v>
      </c>
    </row>
    <row r="30" spans="1:29" x14ac:dyDescent="0.3">
      <c r="A30" s="1">
        <v>0.9</v>
      </c>
      <c r="B30">
        <v>1</v>
      </c>
      <c r="C30">
        <v>14</v>
      </c>
      <c r="D30">
        <v>1</v>
      </c>
      <c r="E30">
        <v>1</v>
      </c>
      <c r="F30">
        <v>11</v>
      </c>
      <c r="G30">
        <v>1</v>
      </c>
      <c r="H30">
        <v>1</v>
      </c>
      <c r="I30">
        <v>2</v>
      </c>
      <c r="J30">
        <v>1</v>
      </c>
      <c r="K30">
        <v>1</v>
      </c>
      <c r="L30">
        <v>10</v>
      </c>
      <c r="M30">
        <v>6</v>
      </c>
      <c r="O30" s="1">
        <v>0.9</v>
      </c>
      <c r="P30">
        <v>9.1999999999999998E-3</v>
      </c>
      <c r="Q30">
        <v>2.6800000000000001E-2</v>
      </c>
      <c r="R30">
        <v>6.8999999999999999E-3</v>
      </c>
      <c r="S30">
        <v>9.4999999999999998E-3</v>
      </c>
      <c r="T30">
        <v>2.63E-2</v>
      </c>
      <c r="U30">
        <v>7.1999999999999998E-3</v>
      </c>
      <c r="V30">
        <v>8.1199999999999994E-2</v>
      </c>
      <c r="W30">
        <v>4.3900000000000002E-2</v>
      </c>
      <c r="X30">
        <v>6.3899999999999998E-2</v>
      </c>
      <c r="Y30">
        <v>8.0999999999999996E-3</v>
      </c>
      <c r="Z30">
        <v>3.1800000000000002E-2</v>
      </c>
      <c r="AA30">
        <v>3.1800000000000002E-2</v>
      </c>
      <c r="AC30">
        <v>3</v>
      </c>
    </row>
    <row r="31" spans="1:29" x14ac:dyDescent="0.3">
      <c r="A31" s="1">
        <v>0.95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6</v>
      </c>
      <c r="M31">
        <v>1</v>
      </c>
      <c r="O31" s="1">
        <v>0.95</v>
      </c>
      <c r="P31">
        <v>8.9999999999999993E-3</v>
      </c>
      <c r="Q31">
        <v>4.1000000000000003E-3</v>
      </c>
      <c r="R31">
        <v>6.7000000000000002E-3</v>
      </c>
      <c r="S31">
        <v>9.2999999999999992E-3</v>
      </c>
      <c r="T31">
        <v>4.1999999999999997E-3</v>
      </c>
      <c r="U31">
        <v>7.0000000000000001E-3</v>
      </c>
      <c r="V31">
        <v>8.1199999999999994E-2</v>
      </c>
      <c r="W31">
        <v>3.8800000000000001E-2</v>
      </c>
      <c r="X31">
        <v>6.3700000000000007E-2</v>
      </c>
      <c r="Y31">
        <v>7.9000000000000008E-3</v>
      </c>
      <c r="Z31">
        <v>2.6499999999999999E-2</v>
      </c>
      <c r="AA31">
        <v>6.3E-3</v>
      </c>
      <c r="AC31">
        <v>3</v>
      </c>
    </row>
    <row r="32" spans="1:29" x14ac:dyDescent="0.3">
      <c r="A32" s="1">
        <v>0.99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O32" s="1">
        <v>0.99</v>
      </c>
      <c r="P32">
        <v>8.9999999999999993E-3</v>
      </c>
      <c r="Q32">
        <v>3.8999999999999998E-3</v>
      </c>
      <c r="R32">
        <v>6.6E-3</v>
      </c>
      <c r="S32">
        <v>9.2999999999999992E-3</v>
      </c>
      <c r="T32">
        <v>4.1000000000000003E-3</v>
      </c>
      <c r="U32">
        <v>6.7999999999999996E-3</v>
      </c>
      <c r="V32">
        <v>8.1199999999999994E-2</v>
      </c>
      <c r="W32">
        <v>3.8699999999999998E-2</v>
      </c>
      <c r="X32">
        <v>6.3700000000000007E-2</v>
      </c>
      <c r="Y32">
        <v>7.9000000000000008E-3</v>
      </c>
      <c r="Z32">
        <v>4.3E-3</v>
      </c>
      <c r="AA32">
        <v>6.1000000000000004E-3</v>
      </c>
      <c r="AC32">
        <v>3</v>
      </c>
    </row>
    <row r="35" spans="1:29" x14ac:dyDescent="0.3">
      <c r="A35" t="s">
        <v>15</v>
      </c>
    </row>
    <row r="36" spans="1:29" x14ac:dyDescent="0.3">
      <c r="A36" t="s">
        <v>32</v>
      </c>
      <c r="O36" t="s">
        <v>13</v>
      </c>
    </row>
    <row r="37" spans="1:29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31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31</v>
      </c>
      <c r="U37" t="s">
        <v>5</v>
      </c>
      <c r="V37" t="s">
        <v>6</v>
      </c>
      <c r="W37" t="s">
        <v>7</v>
      </c>
      <c r="X37" t="s">
        <v>8</v>
      </c>
      <c r="Y37" t="s">
        <v>9</v>
      </c>
      <c r="Z37" t="s">
        <v>10</v>
      </c>
      <c r="AA37" t="s">
        <v>11</v>
      </c>
    </row>
    <row r="38" spans="1:29" x14ac:dyDescent="0.3">
      <c r="A38" s="1">
        <v>0.3</v>
      </c>
      <c r="B38">
        <v>2</v>
      </c>
      <c r="C38">
        <v>0</v>
      </c>
      <c r="D38">
        <v>0</v>
      </c>
      <c r="E38">
        <v>2</v>
      </c>
      <c r="F38">
        <v>0</v>
      </c>
      <c r="G38">
        <v>0</v>
      </c>
      <c r="H38">
        <v>8</v>
      </c>
      <c r="I38">
        <v>3</v>
      </c>
      <c r="J38">
        <v>5</v>
      </c>
      <c r="K38">
        <v>3</v>
      </c>
      <c r="L38">
        <v>1</v>
      </c>
      <c r="M38">
        <v>2</v>
      </c>
      <c r="O38" s="1">
        <v>0.3</v>
      </c>
      <c r="P38">
        <v>6.8999999999999999E-3</v>
      </c>
      <c r="Q38" s="2">
        <v>-1</v>
      </c>
      <c r="R38" s="2">
        <v>-1</v>
      </c>
      <c r="S38">
        <v>7.0000000000000001E-3</v>
      </c>
      <c r="T38" s="2">
        <v>-1</v>
      </c>
      <c r="U38" s="2">
        <v>-1</v>
      </c>
      <c r="V38">
        <v>2.3999999999999998E-3</v>
      </c>
      <c r="W38">
        <f>0.0287</f>
        <v>2.87E-2</v>
      </c>
      <c r="X38">
        <f>0.0088</f>
        <v>8.8000000000000005E-3</v>
      </c>
      <c r="Y38">
        <v>2.0299999999999999E-2</v>
      </c>
      <c r="Z38">
        <v>1.06E-2</v>
      </c>
      <c r="AA38">
        <v>1.47E-2</v>
      </c>
      <c r="AC38">
        <v>5</v>
      </c>
    </row>
    <row r="39" spans="1:29" x14ac:dyDescent="0.3">
      <c r="A39" s="1">
        <v>0.4</v>
      </c>
      <c r="B39">
        <v>3</v>
      </c>
      <c r="C39">
        <v>0</v>
      </c>
      <c r="D39">
        <v>2</v>
      </c>
      <c r="E39">
        <v>4</v>
      </c>
      <c r="F39">
        <v>0</v>
      </c>
      <c r="G39">
        <v>2</v>
      </c>
      <c r="H39">
        <v>8</v>
      </c>
      <c r="I39">
        <v>4</v>
      </c>
      <c r="J39">
        <v>8</v>
      </c>
      <c r="K39">
        <v>3</v>
      </c>
      <c r="L39">
        <v>2</v>
      </c>
      <c r="M39">
        <v>3</v>
      </c>
      <c r="O39" s="1">
        <v>0.4</v>
      </c>
      <c r="P39">
        <v>1.7600000000000001E-2</v>
      </c>
      <c r="Q39" s="2">
        <v>-1</v>
      </c>
      <c r="R39">
        <v>9.1000000000000004E-3</v>
      </c>
      <c r="S39">
        <v>1.14E-2</v>
      </c>
      <c r="T39" s="2">
        <v>-1</v>
      </c>
      <c r="U39">
        <v>9.1999999999999998E-3</v>
      </c>
      <c r="V39">
        <v>5.0599999999999999E-2</v>
      </c>
      <c r="W39">
        <f>0.0075</f>
        <v>7.4999999999999997E-3</v>
      </c>
      <c r="X39">
        <v>6.2899999999999998E-2</v>
      </c>
      <c r="Y39">
        <v>2.2100000000000002E-2</v>
      </c>
      <c r="Z39">
        <v>1.6500000000000001E-2</v>
      </c>
      <c r="AA39">
        <v>2.3099999999999999E-2</v>
      </c>
      <c r="AC39">
        <v>5</v>
      </c>
    </row>
    <row r="40" spans="1:29" x14ac:dyDescent="0.3">
      <c r="A40" s="1">
        <v>0.5</v>
      </c>
      <c r="B40">
        <v>5</v>
      </c>
      <c r="C40">
        <v>2</v>
      </c>
      <c r="D40">
        <v>5</v>
      </c>
      <c r="E40">
        <v>7</v>
      </c>
      <c r="F40">
        <v>2</v>
      </c>
      <c r="G40">
        <v>7</v>
      </c>
      <c r="H40">
        <v>4</v>
      </c>
      <c r="I40">
        <v>9</v>
      </c>
      <c r="J40">
        <v>6</v>
      </c>
      <c r="K40">
        <v>4</v>
      </c>
      <c r="L40">
        <v>3</v>
      </c>
      <c r="M40">
        <v>5</v>
      </c>
      <c r="O40" s="1">
        <v>0.5</v>
      </c>
      <c r="P40">
        <v>2.69E-2</v>
      </c>
      <c r="Q40">
        <v>9.1000000000000004E-3</v>
      </c>
      <c r="R40">
        <v>2.64E-2</v>
      </c>
      <c r="S40">
        <v>3.0499999999999999E-2</v>
      </c>
      <c r="T40">
        <v>9.1999999999999998E-3</v>
      </c>
      <c r="U40">
        <v>2.8899999999999999E-2</v>
      </c>
      <c r="V40">
        <v>3.4200000000000001E-2</v>
      </c>
      <c r="W40">
        <v>3.4200000000000001E-2</v>
      </c>
      <c r="X40">
        <v>7.0699999999999999E-2</v>
      </c>
      <c r="Y40">
        <v>2.52E-2</v>
      </c>
      <c r="Z40">
        <v>2.3199999999999998E-2</v>
      </c>
      <c r="AA40">
        <v>3.1399999999999997E-2</v>
      </c>
      <c r="AC40">
        <v>5</v>
      </c>
    </row>
    <row r="41" spans="1:29" x14ac:dyDescent="0.3">
      <c r="A41" s="1">
        <v>0.6</v>
      </c>
      <c r="B41">
        <v>8</v>
      </c>
      <c r="C41">
        <v>3</v>
      </c>
      <c r="D41">
        <v>7</v>
      </c>
      <c r="E41">
        <v>9</v>
      </c>
      <c r="F41">
        <v>4</v>
      </c>
      <c r="G41">
        <v>8</v>
      </c>
      <c r="H41">
        <v>1</v>
      </c>
      <c r="I41">
        <v>8</v>
      </c>
      <c r="J41">
        <v>1</v>
      </c>
      <c r="K41">
        <v>4</v>
      </c>
      <c r="L41">
        <v>3</v>
      </c>
      <c r="M41">
        <v>3</v>
      </c>
      <c r="O41" s="1">
        <v>0.6</v>
      </c>
      <c r="P41">
        <v>3.7199999999999997E-2</v>
      </c>
      <c r="Q41">
        <v>1.61E-2</v>
      </c>
      <c r="R41">
        <v>2.92E-2</v>
      </c>
      <c r="S41">
        <v>3.9199999999999999E-2</v>
      </c>
      <c r="T41">
        <v>1.6E-2</v>
      </c>
      <c r="U41">
        <v>3.1600000000000003E-2</v>
      </c>
      <c r="V41">
        <v>7.7200000000000005E-2</v>
      </c>
      <c r="W41">
        <v>6.4399999999999999E-2</v>
      </c>
      <c r="X41">
        <v>5.8400000000000001E-2</v>
      </c>
      <c r="Y41">
        <v>2.23E-2</v>
      </c>
      <c r="Z41">
        <v>2.3900000000000001E-2</v>
      </c>
      <c r="AA41">
        <v>2.12E-2</v>
      </c>
      <c r="AC41">
        <v>5</v>
      </c>
    </row>
    <row r="42" spans="1:29" x14ac:dyDescent="0.3">
      <c r="A42" s="1">
        <v>0.65</v>
      </c>
      <c r="B42">
        <v>7</v>
      </c>
      <c r="C42">
        <v>3</v>
      </c>
      <c r="D42">
        <v>9</v>
      </c>
      <c r="E42">
        <v>9</v>
      </c>
      <c r="F42">
        <v>4</v>
      </c>
      <c r="G42">
        <v>9</v>
      </c>
      <c r="H42">
        <v>1</v>
      </c>
      <c r="I42">
        <v>7</v>
      </c>
      <c r="J42">
        <v>2</v>
      </c>
      <c r="K42">
        <v>5</v>
      </c>
      <c r="L42">
        <v>3</v>
      </c>
      <c r="M42">
        <v>3</v>
      </c>
      <c r="O42" s="1">
        <v>0.65</v>
      </c>
      <c r="P42">
        <v>1.5699999999999999E-2</v>
      </c>
      <c r="Q42">
        <v>1.6500000000000001E-2</v>
      </c>
      <c r="R42">
        <v>2.87E-2</v>
      </c>
      <c r="S42">
        <v>2.5600000000000001E-2</v>
      </c>
      <c r="T42">
        <v>1.7399999999999999E-2</v>
      </c>
      <c r="U42">
        <v>3.7900000000000003E-2</v>
      </c>
      <c r="V42">
        <v>8.1299999999999997E-2</v>
      </c>
      <c r="W42">
        <v>5.8500000000000003E-2</v>
      </c>
      <c r="X42">
        <v>5.79E-2</v>
      </c>
      <c r="Y42">
        <v>2.9499999999999998E-2</v>
      </c>
      <c r="Z42">
        <v>2.3900000000000001E-2</v>
      </c>
      <c r="AA42">
        <v>2.12E-2</v>
      </c>
      <c r="AC42">
        <v>5</v>
      </c>
    </row>
    <row r="43" spans="1:29" x14ac:dyDescent="0.3">
      <c r="A43" s="1">
        <v>0.7</v>
      </c>
      <c r="B43">
        <v>7</v>
      </c>
      <c r="C43">
        <v>5</v>
      </c>
      <c r="D43">
        <v>9</v>
      </c>
      <c r="E43">
        <v>10</v>
      </c>
      <c r="F43">
        <v>7</v>
      </c>
      <c r="G43">
        <v>11</v>
      </c>
      <c r="H43">
        <v>1</v>
      </c>
      <c r="I43">
        <v>4</v>
      </c>
      <c r="J43">
        <v>1</v>
      </c>
      <c r="K43">
        <v>7</v>
      </c>
      <c r="L43">
        <v>5</v>
      </c>
      <c r="M43">
        <v>5</v>
      </c>
      <c r="O43" s="1">
        <v>0.7</v>
      </c>
      <c r="P43">
        <v>2.5100000000000001E-2</v>
      </c>
      <c r="Q43">
        <v>2.4299999999999999E-2</v>
      </c>
      <c r="R43">
        <v>3.3700000000000001E-2</v>
      </c>
      <c r="S43">
        <v>3.6600000000000001E-2</v>
      </c>
      <c r="T43">
        <v>2.7400000000000001E-2</v>
      </c>
      <c r="U43">
        <v>4.6399999999999997E-2</v>
      </c>
      <c r="V43">
        <v>8.1600000000000006E-2</v>
      </c>
      <c r="W43">
        <v>4.02E-2</v>
      </c>
      <c r="X43">
        <v>6.4799999999999996E-2</v>
      </c>
      <c r="Y43">
        <v>3.6499999999999998E-2</v>
      </c>
      <c r="Z43">
        <v>2.8199999999999999E-2</v>
      </c>
      <c r="AA43">
        <v>2.8500000000000001E-2</v>
      </c>
      <c r="AC43">
        <v>5</v>
      </c>
    </row>
    <row r="44" spans="1:29" x14ac:dyDescent="0.3">
      <c r="A44" s="1">
        <v>0.75</v>
      </c>
      <c r="B44">
        <v>9</v>
      </c>
      <c r="C44">
        <v>7</v>
      </c>
      <c r="D44">
        <v>6</v>
      </c>
      <c r="E44">
        <v>8</v>
      </c>
      <c r="F44">
        <v>8</v>
      </c>
      <c r="G44">
        <v>8</v>
      </c>
      <c r="H44">
        <v>1</v>
      </c>
      <c r="I44">
        <v>1</v>
      </c>
      <c r="J44">
        <v>1</v>
      </c>
      <c r="K44">
        <v>5</v>
      </c>
      <c r="L44">
        <v>3</v>
      </c>
      <c r="M44">
        <v>5</v>
      </c>
      <c r="O44" s="1">
        <v>0.75</v>
      </c>
      <c r="P44">
        <v>3.39E-2</v>
      </c>
      <c r="Q44">
        <v>2.4500000000000001E-2</v>
      </c>
      <c r="R44">
        <v>2.7E-2</v>
      </c>
      <c r="S44">
        <v>3.2300000000000002E-2</v>
      </c>
      <c r="T44">
        <v>2.7199999999999998E-2</v>
      </c>
      <c r="U44">
        <v>3.7100000000000001E-2</v>
      </c>
      <c r="V44">
        <v>8.14E-2</v>
      </c>
      <c r="W44">
        <v>3.6299999999999999E-2</v>
      </c>
      <c r="X44">
        <v>6.4799999999999996E-2</v>
      </c>
      <c r="Y44">
        <v>2.3699999999999999E-2</v>
      </c>
      <c r="Z44">
        <v>1.7399999999999999E-2</v>
      </c>
      <c r="AA44">
        <v>2.4199999999999999E-2</v>
      </c>
      <c r="AC44">
        <v>5</v>
      </c>
    </row>
    <row r="45" spans="1:29" x14ac:dyDescent="0.3">
      <c r="A45" s="1">
        <v>0.8</v>
      </c>
      <c r="B45">
        <v>4</v>
      </c>
      <c r="C45">
        <v>8</v>
      </c>
      <c r="D45">
        <v>8</v>
      </c>
      <c r="E45">
        <v>3</v>
      </c>
      <c r="F45">
        <v>12</v>
      </c>
      <c r="G45">
        <v>7</v>
      </c>
      <c r="H45">
        <v>1</v>
      </c>
      <c r="I45">
        <v>1</v>
      </c>
      <c r="J45">
        <v>1</v>
      </c>
      <c r="K45">
        <v>4</v>
      </c>
      <c r="L45">
        <v>5</v>
      </c>
      <c r="M45">
        <v>5</v>
      </c>
      <c r="O45" s="1">
        <v>0.8</v>
      </c>
      <c r="P45">
        <v>1.9E-2</v>
      </c>
      <c r="Q45">
        <v>2.3599999999999999E-2</v>
      </c>
      <c r="R45">
        <v>2.4500000000000001E-2</v>
      </c>
      <c r="S45">
        <v>1.84E-2</v>
      </c>
      <c r="T45">
        <v>3.4500000000000003E-2</v>
      </c>
      <c r="U45">
        <v>2.4E-2</v>
      </c>
      <c r="V45">
        <v>8.1199999999999994E-2</v>
      </c>
      <c r="W45">
        <v>3.9300000000000002E-2</v>
      </c>
      <c r="X45">
        <v>6.4799999999999996E-2</v>
      </c>
      <c r="Y45">
        <v>9.1999999999999998E-3</v>
      </c>
      <c r="Z45">
        <v>2.3599999999999999E-2</v>
      </c>
      <c r="AA45">
        <v>1.8499999999999999E-2</v>
      </c>
      <c r="AC45">
        <v>5</v>
      </c>
    </row>
    <row r="46" spans="1:29" x14ac:dyDescent="0.3">
      <c r="A46" s="1">
        <v>0.85</v>
      </c>
      <c r="B46">
        <v>2</v>
      </c>
      <c r="C46">
        <v>8</v>
      </c>
      <c r="D46">
        <v>4</v>
      </c>
      <c r="E46">
        <v>1</v>
      </c>
      <c r="F46">
        <v>9</v>
      </c>
      <c r="G46">
        <v>4</v>
      </c>
      <c r="H46">
        <v>1</v>
      </c>
      <c r="I46">
        <v>1</v>
      </c>
      <c r="J46">
        <v>1</v>
      </c>
      <c r="K46">
        <v>1</v>
      </c>
      <c r="L46">
        <v>7</v>
      </c>
      <c r="M46">
        <v>4</v>
      </c>
      <c r="O46" s="1">
        <v>0.85</v>
      </c>
      <c r="P46">
        <v>1.0200000000000001E-2</v>
      </c>
      <c r="Q46">
        <v>2.6100000000000002E-2</v>
      </c>
      <c r="R46">
        <v>9.1000000000000004E-3</v>
      </c>
      <c r="S46">
        <v>9.4999999999999998E-3</v>
      </c>
      <c r="T46">
        <v>3.0099999999999998E-2</v>
      </c>
      <c r="U46">
        <v>9.4999999999999998E-3</v>
      </c>
      <c r="V46">
        <v>8.1199999999999994E-2</v>
      </c>
      <c r="W46">
        <v>3.9300000000000002E-2</v>
      </c>
      <c r="X46">
        <v>6.4399999999999999E-2</v>
      </c>
      <c r="Y46">
        <v>8.3999999999999995E-3</v>
      </c>
      <c r="Z46">
        <v>2.93E-2</v>
      </c>
      <c r="AA46">
        <v>1.5100000000000001E-2</v>
      </c>
      <c r="AC46">
        <v>5</v>
      </c>
    </row>
    <row r="47" spans="1:29" x14ac:dyDescent="0.3">
      <c r="A47" s="1">
        <v>0.9</v>
      </c>
      <c r="B47">
        <v>1</v>
      </c>
      <c r="C47">
        <v>7</v>
      </c>
      <c r="D47">
        <v>1</v>
      </c>
      <c r="E47">
        <v>1</v>
      </c>
      <c r="F47">
        <v>4</v>
      </c>
      <c r="G47">
        <v>2</v>
      </c>
      <c r="H47">
        <v>1</v>
      </c>
      <c r="I47">
        <v>1</v>
      </c>
      <c r="J47">
        <v>1</v>
      </c>
      <c r="K47">
        <v>1</v>
      </c>
      <c r="L47">
        <v>5</v>
      </c>
      <c r="M47">
        <v>3</v>
      </c>
      <c r="O47" s="1">
        <v>0.9</v>
      </c>
      <c r="P47">
        <v>9.1999999999999998E-3</v>
      </c>
      <c r="Q47">
        <v>1.7000000000000001E-2</v>
      </c>
      <c r="R47">
        <v>7.0000000000000001E-3</v>
      </c>
      <c r="S47">
        <v>9.4999999999999998E-3</v>
      </c>
      <c r="T47">
        <v>1.23E-2</v>
      </c>
      <c r="U47">
        <v>6.7999999999999996E-3</v>
      </c>
      <c r="V47">
        <v>8.1199999999999994E-2</v>
      </c>
      <c r="W47">
        <v>3.9100000000000003E-2</v>
      </c>
      <c r="X47">
        <v>6.3899999999999998E-2</v>
      </c>
      <c r="Y47">
        <v>8.0999999999999996E-3</v>
      </c>
      <c r="Z47">
        <v>1.4200000000000001E-2</v>
      </c>
      <c r="AA47">
        <v>1.46E-2</v>
      </c>
      <c r="AC47">
        <v>5</v>
      </c>
    </row>
    <row r="48" spans="1:29" x14ac:dyDescent="0.3">
      <c r="A48" s="1">
        <v>0.95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3</v>
      </c>
      <c r="M48">
        <v>1</v>
      </c>
      <c r="O48" s="1">
        <v>0.95</v>
      </c>
      <c r="P48">
        <v>8.9999999999999993E-3</v>
      </c>
      <c r="Q48">
        <v>4.1000000000000003E-3</v>
      </c>
      <c r="R48">
        <v>6.7999999999999996E-3</v>
      </c>
      <c r="S48">
        <v>9.2999999999999992E-3</v>
      </c>
      <c r="T48">
        <v>4.1999999999999997E-3</v>
      </c>
      <c r="U48">
        <v>7.0000000000000001E-3</v>
      </c>
      <c r="V48">
        <v>8.1199999999999994E-2</v>
      </c>
      <c r="W48">
        <v>3.8800000000000001E-2</v>
      </c>
      <c r="X48">
        <v>6.3700000000000007E-2</v>
      </c>
      <c r="Y48">
        <v>7.9000000000000008E-3</v>
      </c>
      <c r="Z48">
        <v>1.0999999999999999E-2</v>
      </c>
      <c r="AA48">
        <v>6.3E-3</v>
      </c>
      <c r="AC48">
        <v>5</v>
      </c>
    </row>
    <row r="49" spans="1:29" x14ac:dyDescent="0.3">
      <c r="A49" s="1">
        <v>0.99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O49" s="1">
        <v>0.99</v>
      </c>
      <c r="P49">
        <v>8.9999999999999993E-3</v>
      </c>
      <c r="Q49">
        <v>3.8999999999999998E-3</v>
      </c>
      <c r="R49">
        <v>6.6E-3</v>
      </c>
      <c r="S49">
        <v>9.2999999999999992E-3</v>
      </c>
      <c r="T49">
        <v>4.1000000000000003E-3</v>
      </c>
      <c r="U49">
        <v>6.7999999999999996E-3</v>
      </c>
      <c r="V49">
        <v>8.1199999999999994E-2</v>
      </c>
      <c r="W49">
        <v>3.8699999999999998E-2</v>
      </c>
      <c r="X49">
        <v>6.3700000000000007E-2</v>
      </c>
      <c r="Y49">
        <v>7.9000000000000008E-3</v>
      </c>
      <c r="Z49">
        <v>4.3E-3</v>
      </c>
      <c r="AA49">
        <v>6.1000000000000004E-3</v>
      </c>
      <c r="AC49">
        <v>5</v>
      </c>
    </row>
    <row r="52" spans="1:29" x14ac:dyDescent="0.3">
      <c r="A52" t="s">
        <v>16</v>
      </c>
    </row>
    <row r="53" spans="1:29" x14ac:dyDescent="0.3">
      <c r="A53" t="s">
        <v>32</v>
      </c>
      <c r="O53" t="s">
        <v>13</v>
      </c>
    </row>
    <row r="54" spans="1:29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31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O54" t="s">
        <v>0</v>
      </c>
      <c r="P54" t="s">
        <v>1</v>
      </c>
      <c r="Q54" t="s">
        <v>2</v>
      </c>
      <c r="R54" t="s">
        <v>3</v>
      </c>
      <c r="S54" t="s">
        <v>4</v>
      </c>
      <c r="T54" t="s">
        <v>31</v>
      </c>
      <c r="U54" t="s">
        <v>5</v>
      </c>
      <c r="V54" t="s">
        <v>6</v>
      </c>
      <c r="W54" t="s">
        <v>7</v>
      </c>
      <c r="X54" t="s">
        <v>8</v>
      </c>
      <c r="Y54" t="s">
        <v>9</v>
      </c>
      <c r="Z54" t="s">
        <v>10</v>
      </c>
      <c r="AA54" t="s">
        <v>11</v>
      </c>
    </row>
    <row r="55" spans="1:29" x14ac:dyDescent="0.3">
      <c r="A55" s="1">
        <v>0.3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 s="1">
        <v>0.3</v>
      </c>
      <c r="P55" s="2">
        <v>-1</v>
      </c>
      <c r="Q55" s="2">
        <v>-1</v>
      </c>
      <c r="R55" s="2">
        <v>-1</v>
      </c>
      <c r="S55" s="2">
        <v>-1</v>
      </c>
      <c r="T55" s="2">
        <v>-1</v>
      </c>
      <c r="U55" s="2">
        <v>-1</v>
      </c>
      <c r="V55" s="2">
        <v>-1</v>
      </c>
      <c r="W55" s="2">
        <v>-1</v>
      </c>
      <c r="X55" s="2">
        <v>-1</v>
      </c>
      <c r="Y55" s="2">
        <v>-1</v>
      </c>
      <c r="Z55" s="2">
        <v>-1</v>
      </c>
      <c r="AA55" s="2">
        <v>-1</v>
      </c>
      <c r="AC55">
        <v>30</v>
      </c>
    </row>
    <row r="56" spans="1:29" x14ac:dyDescent="0.3">
      <c r="A56" s="1">
        <v>0.4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O56" s="1">
        <v>0.4</v>
      </c>
      <c r="P56" s="2">
        <v>-1</v>
      </c>
      <c r="Q56" s="2">
        <v>-1</v>
      </c>
      <c r="R56" s="2">
        <v>-1</v>
      </c>
      <c r="S56" s="2">
        <v>-1</v>
      </c>
      <c r="T56" s="2">
        <v>-1</v>
      </c>
      <c r="U56" s="2">
        <v>-1</v>
      </c>
      <c r="V56">
        <f>0.0218</f>
        <v>2.18E-2</v>
      </c>
      <c r="W56" s="2">
        <v>-1</v>
      </c>
      <c r="X56">
        <v>7.1000000000000004E-3</v>
      </c>
      <c r="Y56" s="2">
        <v>-1</v>
      </c>
      <c r="Z56" s="2">
        <v>-1</v>
      </c>
      <c r="AA56" s="2">
        <v>-1</v>
      </c>
      <c r="AC56">
        <v>30</v>
      </c>
    </row>
    <row r="57" spans="1:29" x14ac:dyDescent="0.3">
      <c r="A57" s="1">
        <v>0.5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O57" s="1">
        <v>0.5</v>
      </c>
      <c r="P57" s="2">
        <v>-1</v>
      </c>
      <c r="Q57" s="2">
        <v>-1</v>
      </c>
      <c r="R57" s="2">
        <v>-1</v>
      </c>
      <c r="S57" s="2">
        <v>-1</v>
      </c>
      <c r="T57" s="2">
        <v>-1</v>
      </c>
      <c r="U57" s="2">
        <v>-1</v>
      </c>
      <c r="V57">
        <v>2.8199999999999999E-2</v>
      </c>
      <c r="W57" s="2">
        <v>-1</v>
      </c>
      <c r="X57">
        <v>3.8399999999999997E-2</v>
      </c>
      <c r="Y57" s="2">
        <v>-1</v>
      </c>
      <c r="Z57" s="2">
        <v>-1</v>
      </c>
      <c r="AA57" s="2">
        <v>-1</v>
      </c>
      <c r="AC57">
        <v>30</v>
      </c>
    </row>
    <row r="58" spans="1:29" x14ac:dyDescent="0.3">
      <c r="A58" s="1">
        <v>0.6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  <c r="J58">
        <v>2</v>
      </c>
      <c r="K58">
        <v>0</v>
      </c>
      <c r="L58">
        <v>0</v>
      </c>
      <c r="M58">
        <v>0</v>
      </c>
      <c r="O58" s="1">
        <v>0.6</v>
      </c>
      <c r="P58" s="2">
        <v>-1</v>
      </c>
      <c r="Q58" s="2">
        <v>-1</v>
      </c>
      <c r="R58" s="2">
        <v>-1</v>
      </c>
      <c r="S58" s="2">
        <v>-1</v>
      </c>
      <c r="T58" s="2">
        <v>-1</v>
      </c>
      <c r="U58" s="2">
        <v>-1</v>
      </c>
      <c r="V58">
        <v>5.0599999999999999E-2</v>
      </c>
      <c r="W58">
        <v>1.8200000000000001E-2</v>
      </c>
      <c r="X58">
        <v>6.2E-2</v>
      </c>
      <c r="Y58" s="2">
        <v>-1</v>
      </c>
      <c r="Z58" s="2">
        <v>-1</v>
      </c>
      <c r="AA58" s="2">
        <v>-1</v>
      </c>
      <c r="AC58">
        <v>30</v>
      </c>
    </row>
    <row r="59" spans="1:29" x14ac:dyDescent="0.3">
      <c r="A59" s="1">
        <v>0.65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2</v>
      </c>
      <c r="K59">
        <v>0</v>
      </c>
      <c r="L59">
        <v>0</v>
      </c>
      <c r="M59">
        <v>0</v>
      </c>
      <c r="O59" s="1">
        <v>0.65</v>
      </c>
      <c r="P59" s="2">
        <v>-1</v>
      </c>
      <c r="Q59" s="2">
        <v>-1</v>
      </c>
      <c r="R59" s="2">
        <v>-1</v>
      </c>
      <c r="S59" s="2">
        <v>-1</v>
      </c>
      <c r="T59" s="2">
        <v>-1</v>
      </c>
      <c r="U59" s="2">
        <v>-1</v>
      </c>
      <c r="V59">
        <v>7.9899999999999999E-2</v>
      </c>
      <c r="W59">
        <v>3.0099999999999998E-2</v>
      </c>
      <c r="X59">
        <v>6.7900000000000002E-2</v>
      </c>
      <c r="Y59" s="2">
        <v>-1</v>
      </c>
      <c r="Z59" s="2">
        <v>-1</v>
      </c>
      <c r="AA59" s="2">
        <v>-1</v>
      </c>
      <c r="AC59">
        <v>30</v>
      </c>
    </row>
    <row r="60" spans="1:29" x14ac:dyDescent="0.3">
      <c r="A60" s="1">
        <v>0.7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O60" s="1">
        <v>0.7</v>
      </c>
      <c r="P60" s="2">
        <v>-1</v>
      </c>
      <c r="Q60" s="2">
        <v>-1</v>
      </c>
      <c r="R60" s="2">
        <v>-1</v>
      </c>
      <c r="S60" s="2">
        <v>-1</v>
      </c>
      <c r="T60" s="2">
        <v>-1</v>
      </c>
      <c r="U60" s="2">
        <v>-1</v>
      </c>
      <c r="V60">
        <v>8.0600000000000005E-2</v>
      </c>
      <c r="W60">
        <v>3.5299999999999998E-2</v>
      </c>
      <c r="X60">
        <v>7.1400000000000005E-2</v>
      </c>
      <c r="Y60" s="2">
        <v>-1</v>
      </c>
      <c r="Z60" s="2">
        <v>-1</v>
      </c>
      <c r="AA60" s="2">
        <v>-1</v>
      </c>
      <c r="AC60">
        <v>30</v>
      </c>
    </row>
    <row r="61" spans="1:29" x14ac:dyDescent="0.3">
      <c r="A61" s="1">
        <v>0.75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2</v>
      </c>
      <c r="J61">
        <v>1</v>
      </c>
      <c r="K61">
        <v>0</v>
      </c>
      <c r="L61">
        <v>0</v>
      </c>
      <c r="M61">
        <v>0</v>
      </c>
      <c r="O61" s="1">
        <v>0.75</v>
      </c>
      <c r="P61" s="2">
        <v>-1</v>
      </c>
      <c r="Q61" s="2">
        <v>-1</v>
      </c>
      <c r="R61" s="2">
        <v>-1</v>
      </c>
      <c r="S61" s="2">
        <v>-1</v>
      </c>
      <c r="T61" s="2">
        <v>-1</v>
      </c>
      <c r="U61" s="2">
        <v>-1</v>
      </c>
      <c r="V61">
        <v>8.2299999999999998E-2</v>
      </c>
      <c r="W61">
        <v>4.5199999999999997E-2</v>
      </c>
      <c r="X61">
        <v>7.0199999999999999E-2</v>
      </c>
      <c r="Y61" s="2">
        <v>-1</v>
      </c>
      <c r="Z61" s="2">
        <v>-1</v>
      </c>
      <c r="AA61" s="2">
        <v>-1</v>
      </c>
      <c r="AC61">
        <v>30</v>
      </c>
    </row>
    <row r="62" spans="1:29" x14ac:dyDescent="0.3">
      <c r="A62" s="1">
        <v>0.8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O62" s="1">
        <v>0.8</v>
      </c>
      <c r="P62" s="2">
        <v>-1</v>
      </c>
      <c r="Q62" s="2">
        <v>-1</v>
      </c>
      <c r="R62" s="2">
        <v>-1</v>
      </c>
      <c r="S62" s="2">
        <v>-1</v>
      </c>
      <c r="T62" s="2">
        <v>-1</v>
      </c>
      <c r="U62" s="2">
        <v>-1</v>
      </c>
      <c r="V62">
        <v>8.1299999999999997E-2</v>
      </c>
      <c r="W62">
        <v>4.4699999999999997E-2</v>
      </c>
      <c r="X62">
        <v>6.6299999999999998E-2</v>
      </c>
      <c r="Y62" s="2">
        <v>-1</v>
      </c>
      <c r="Z62" s="2">
        <v>-1</v>
      </c>
      <c r="AA62" s="2">
        <v>-1</v>
      </c>
      <c r="AC62">
        <v>30</v>
      </c>
    </row>
    <row r="63" spans="1:29" x14ac:dyDescent="0.3">
      <c r="A63" s="1">
        <v>0.85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O63" s="1">
        <v>0.85</v>
      </c>
      <c r="P63" s="2">
        <v>-1</v>
      </c>
      <c r="Q63" s="2">
        <v>-1</v>
      </c>
      <c r="R63" s="2">
        <v>-1</v>
      </c>
      <c r="S63" s="2">
        <v>-1</v>
      </c>
      <c r="T63" s="2">
        <v>-1</v>
      </c>
      <c r="U63" s="2">
        <v>-1</v>
      </c>
      <c r="V63">
        <v>8.1199999999999994E-2</v>
      </c>
      <c r="W63">
        <v>4.4400000000000002E-2</v>
      </c>
      <c r="X63">
        <v>6.5199999999999994E-2</v>
      </c>
      <c r="Y63" s="2">
        <v>-1</v>
      </c>
      <c r="Z63" s="2">
        <v>-1</v>
      </c>
      <c r="AA63" s="2">
        <v>-1</v>
      </c>
      <c r="AC63">
        <v>30</v>
      </c>
    </row>
    <row r="64" spans="1:29" x14ac:dyDescent="0.3">
      <c r="A64" s="1">
        <v>0.9</v>
      </c>
      <c r="B64">
        <v>1</v>
      </c>
      <c r="C64">
        <v>0</v>
      </c>
      <c r="D64">
        <v>1</v>
      </c>
      <c r="E64">
        <v>1</v>
      </c>
      <c r="F64">
        <v>0</v>
      </c>
      <c r="G64">
        <v>2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O64" s="1">
        <v>0.9</v>
      </c>
      <c r="P64">
        <v>9.1999999999999998E-3</v>
      </c>
      <c r="Q64" s="2">
        <v>-1</v>
      </c>
      <c r="R64">
        <v>8.6E-3</v>
      </c>
      <c r="S64">
        <v>1.03E-2</v>
      </c>
      <c r="T64" s="2">
        <v>-1</v>
      </c>
      <c r="U64">
        <v>1.2999999999999999E-2</v>
      </c>
      <c r="V64">
        <v>8.1199999999999994E-2</v>
      </c>
      <c r="W64">
        <v>3.9699999999999999E-2</v>
      </c>
      <c r="X64">
        <v>6.3899999999999998E-2</v>
      </c>
      <c r="Y64">
        <v>7.4000000000000003E-3</v>
      </c>
      <c r="Z64" s="2">
        <v>-1</v>
      </c>
      <c r="AA64" s="2">
        <v>-1</v>
      </c>
      <c r="AC64">
        <v>30</v>
      </c>
    </row>
    <row r="65" spans="1:29" x14ac:dyDescent="0.3">
      <c r="A65" s="1">
        <v>0.95</v>
      </c>
      <c r="B65">
        <v>1</v>
      </c>
      <c r="C65">
        <v>1</v>
      </c>
      <c r="D65">
        <v>1</v>
      </c>
      <c r="E65">
        <v>1</v>
      </c>
      <c r="F65">
        <v>2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O65" s="1">
        <v>0.95</v>
      </c>
      <c r="P65">
        <v>8.8000000000000005E-3</v>
      </c>
      <c r="Q65">
        <v>5.0000000000000001E-3</v>
      </c>
      <c r="R65">
        <v>7.3000000000000001E-3</v>
      </c>
      <c r="S65">
        <v>9.2999999999999992E-3</v>
      </c>
      <c r="T65">
        <v>8.3999999999999995E-3</v>
      </c>
      <c r="U65">
        <v>7.6E-3</v>
      </c>
      <c r="V65">
        <v>8.1199999999999994E-2</v>
      </c>
      <c r="W65">
        <v>3.8800000000000001E-2</v>
      </c>
      <c r="X65">
        <v>6.3700000000000007E-2</v>
      </c>
      <c r="Y65">
        <v>8.2000000000000007E-3</v>
      </c>
      <c r="Z65" s="2">
        <v>-1</v>
      </c>
      <c r="AA65">
        <v>6.4000000000000003E-3</v>
      </c>
      <c r="AC65">
        <v>30</v>
      </c>
    </row>
    <row r="66" spans="1:29" x14ac:dyDescent="0.3">
      <c r="A66" s="1">
        <v>0.99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O66" s="1">
        <v>0.99</v>
      </c>
      <c r="P66">
        <v>8.9999999999999993E-3</v>
      </c>
      <c r="Q66">
        <v>3.8999999999999998E-3</v>
      </c>
      <c r="R66">
        <v>6.7000000000000002E-3</v>
      </c>
      <c r="S66">
        <v>9.2999999999999992E-3</v>
      </c>
      <c r="T66">
        <v>4.1000000000000003E-3</v>
      </c>
      <c r="U66">
        <v>6.8999999999999999E-3</v>
      </c>
      <c r="V66">
        <v>8.1199999999999994E-2</v>
      </c>
      <c r="W66">
        <v>3.8699999999999998E-2</v>
      </c>
      <c r="X66">
        <v>6.3700000000000007E-2</v>
      </c>
      <c r="Y66">
        <v>7.7000000000000002E-3</v>
      </c>
      <c r="Z66">
        <v>4.3E-3</v>
      </c>
      <c r="AA66">
        <v>6.3E-3</v>
      </c>
      <c r="AC66">
        <v>30</v>
      </c>
    </row>
    <row r="70" spans="1:29" ht="15" thickBot="1" x14ac:dyDescent="0.35">
      <c r="B70" s="5" t="s">
        <v>17</v>
      </c>
      <c r="C70" s="5" t="s">
        <v>18</v>
      </c>
      <c r="D70" s="5" t="s">
        <v>19</v>
      </c>
      <c r="E70" s="5" t="s">
        <v>20</v>
      </c>
      <c r="F70" s="5" t="s">
        <v>21</v>
      </c>
      <c r="G70" s="5" t="s">
        <v>22</v>
      </c>
      <c r="H70" s="5" t="s">
        <v>23</v>
      </c>
      <c r="I70" s="5" t="s">
        <v>24</v>
      </c>
      <c r="J70" s="5" t="s">
        <v>25</v>
      </c>
      <c r="K70" s="5" t="s">
        <v>26</v>
      </c>
      <c r="L70" s="5" t="s">
        <v>27</v>
      </c>
      <c r="M70" s="5" t="s">
        <v>28</v>
      </c>
    </row>
    <row r="71" spans="1:29" x14ac:dyDescent="0.3">
      <c r="A71" s="6" t="s">
        <v>29</v>
      </c>
      <c r="B71">
        <f xml:space="preserve"> INDEX($AC4:$AC66,MATCH(MAX(P4:P66),P4:P66,0),0)</f>
        <v>2</v>
      </c>
      <c r="C71">
        <f xml:space="preserve"> INDEX($AC4:$AC66,MATCH(MAX(Q4:Q66),Q4:Q66,0),0)</f>
        <v>2</v>
      </c>
      <c r="D71">
        <f t="shared" ref="C71:M71" si="0" xml:space="preserve"> INDEX($AC4:$AC66,MATCH(MAX(R4:R66),R4:R66,0),0)</f>
        <v>2</v>
      </c>
      <c r="E71">
        <f t="shared" si="0"/>
        <v>2</v>
      </c>
      <c r="F71">
        <f t="shared" si="0"/>
        <v>2</v>
      </c>
      <c r="G71">
        <f t="shared" si="0"/>
        <v>2</v>
      </c>
      <c r="H71">
        <f t="shared" si="0"/>
        <v>30</v>
      </c>
      <c r="I71">
        <f t="shared" si="0"/>
        <v>2</v>
      </c>
      <c r="J71">
        <f t="shared" si="0"/>
        <v>2</v>
      </c>
      <c r="K71">
        <f t="shared" si="0"/>
        <v>2</v>
      </c>
      <c r="L71">
        <f t="shared" si="0"/>
        <v>2</v>
      </c>
      <c r="M71">
        <f t="shared" si="0"/>
        <v>2</v>
      </c>
    </row>
    <row r="72" spans="1:29" x14ac:dyDescent="0.3">
      <c r="A72" s="6" t="s">
        <v>0</v>
      </c>
      <c r="B72">
        <f>INDEX($A4:$A66,MATCH(MAX(P4:P66),P4:P66,0),0)</f>
        <v>0.6</v>
      </c>
      <c r="C72">
        <f t="shared" ref="C72:M72" si="1" xml:space="preserve">  INDEX($A4:$A66,MATCH(MAX(Q4:Q66),Q4:Q66,0),0)</f>
        <v>0.65</v>
      </c>
      <c r="D72">
        <f t="shared" si="1"/>
        <v>0.65</v>
      </c>
      <c r="E72">
        <f t="shared" si="1"/>
        <v>0.6</v>
      </c>
      <c r="F72">
        <f t="shared" si="1"/>
        <v>0.65</v>
      </c>
      <c r="G72">
        <f t="shared" si="1"/>
        <v>0.65</v>
      </c>
      <c r="H72">
        <f t="shared" si="1"/>
        <v>0.75</v>
      </c>
      <c r="I72">
        <f t="shared" si="1"/>
        <v>0.5</v>
      </c>
      <c r="J72">
        <f t="shared" si="1"/>
        <v>0.4</v>
      </c>
      <c r="K72">
        <f t="shared" si="1"/>
        <v>0.4</v>
      </c>
      <c r="L72">
        <f t="shared" si="1"/>
        <v>0.6</v>
      </c>
      <c r="M72">
        <f t="shared" si="1"/>
        <v>0.4</v>
      </c>
    </row>
    <row r="73" spans="1:29" x14ac:dyDescent="0.3">
      <c r="A73" s="6" t="s">
        <v>30</v>
      </c>
      <c r="B73">
        <f xml:space="preserve"> MAX(P4:P66)</f>
        <v>0.1019</v>
      </c>
      <c r="C73">
        <f t="shared" ref="C73:M73" si="2" xml:space="preserve"> MAX(Q4:Q66)</f>
        <v>9.0499999999999997E-2</v>
      </c>
      <c r="D73">
        <f t="shared" si="2"/>
        <v>9.6699999999999994E-2</v>
      </c>
      <c r="E73">
        <f t="shared" si="2"/>
        <v>0.1144</v>
      </c>
      <c r="F73">
        <f t="shared" si="2"/>
        <v>9.5600000000000004E-2</v>
      </c>
      <c r="G73">
        <f t="shared" si="2"/>
        <v>0.10829999999999999</v>
      </c>
      <c r="H73">
        <f t="shared" si="2"/>
        <v>8.2299999999999998E-2</v>
      </c>
      <c r="I73">
        <f t="shared" si="2"/>
        <v>0.1119</v>
      </c>
      <c r="J73">
        <f t="shared" si="2"/>
        <v>0.1091</v>
      </c>
      <c r="K73">
        <f t="shared" si="2"/>
        <v>9.6699999999999994E-2</v>
      </c>
      <c r="L73">
        <f t="shared" si="2"/>
        <v>0.1002</v>
      </c>
      <c r="M73">
        <f t="shared" si="2"/>
        <v>9.98E-2</v>
      </c>
    </row>
    <row r="74" spans="1:29" x14ac:dyDescent="0.3">
      <c r="A74" s="6" t="s">
        <v>32</v>
      </c>
      <c r="B74">
        <f xml:space="preserve"> INDEX(B4:B66,MATCH(MAX(P4:P66),P4:P66,0),0)</f>
        <v>48</v>
      </c>
      <c r="C74">
        <f t="shared" ref="C74:M74" si="3" xml:space="preserve"> INDEX(C4:C66,MATCH(MAX(Q4:Q66),Q4:Q66,0),0)</f>
        <v>39</v>
      </c>
      <c r="D74">
        <f t="shared" si="3"/>
        <v>43</v>
      </c>
      <c r="E74">
        <f t="shared" si="3"/>
        <v>48</v>
      </c>
      <c r="F74">
        <f t="shared" si="3"/>
        <v>39</v>
      </c>
      <c r="G74">
        <f t="shared" si="3"/>
        <v>45</v>
      </c>
      <c r="H74">
        <f t="shared" si="3"/>
        <v>1</v>
      </c>
      <c r="I74">
        <f t="shared" si="3"/>
        <v>38</v>
      </c>
      <c r="J74">
        <f t="shared" si="3"/>
        <v>38</v>
      </c>
      <c r="K74">
        <f t="shared" si="3"/>
        <v>25</v>
      </c>
      <c r="L74">
        <f t="shared" si="3"/>
        <v>25</v>
      </c>
      <c r="M74">
        <f t="shared" si="3"/>
        <v>24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F974-651D-4985-A319-D60830278B3B}">
  <dimension ref="A1:AC74"/>
  <sheetViews>
    <sheetView topLeftCell="A50" zoomScale="70" workbookViewId="0">
      <selection activeCell="B71" sqref="B71:M74"/>
    </sheetView>
  </sheetViews>
  <sheetFormatPr baseColWidth="10" defaultRowHeight="14.4" x14ac:dyDescent="0.3"/>
  <sheetData>
    <row r="1" spans="1:29" x14ac:dyDescent="0.3">
      <c r="A1" t="s">
        <v>12</v>
      </c>
    </row>
    <row r="2" spans="1:29" x14ac:dyDescent="0.3">
      <c r="A2" t="s">
        <v>32</v>
      </c>
      <c r="O2" t="s">
        <v>13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31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31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</row>
    <row r="4" spans="1:29" x14ac:dyDescent="0.3">
      <c r="A4" s="1">
        <v>0.3</v>
      </c>
      <c r="B4">
        <v>124</v>
      </c>
      <c r="C4">
        <v>60</v>
      </c>
      <c r="D4">
        <v>86</v>
      </c>
      <c r="E4">
        <v>122</v>
      </c>
      <c r="F4">
        <v>66</v>
      </c>
      <c r="G4">
        <v>89</v>
      </c>
      <c r="H4">
        <v>110</v>
      </c>
      <c r="I4">
        <v>147</v>
      </c>
      <c r="J4">
        <v>148</v>
      </c>
      <c r="K4">
        <v>84</v>
      </c>
      <c r="L4">
        <v>85</v>
      </c>
      <c r="M4">
        <v>93</v>
      </c>
      <c r="O4" s="1">
        <v>0.3</v>
      </c>
      <c r="P4">
        <v>1.21E-2</v>
      </c>
      <c r="Q4">
        <v>3.2300000000000002E-2</v>
      </c>
      <c r="R4">
        <v>8.0000000000000002E-3</v>
      </c>
      <c r="S4">
        <v>1.6299999999999999E-2</v>
      </c>
      <c r="T4">
        <v>2.81E-2</v>
      </c>
      <c r="U4">
        <v>1.21E-2</v>
      </c>
      <c r="V4">
        <v>1.0800000000000001E-2</v>
      </c>
      <c r="W4">
        <v>3.7100000000000001E-2</v>
      </c>
      <c r="X4">
        <v>7.8200000000000006E-2</v>
      </c>
      <c r="Y4">
        <v>3.7600000000000001E-2</v>
      </c>
      <c r="Z4">
        <v>6.4199999999999993E-2</v>
      </c>
      <c r="AA4">
        <v>4.8599999999999997E-2</v>
      </c>
      <c r="AC4">
        <v>2</v>
      </c>
    </row>
    <row r="5" spans="1:29" x14ac:dyDescent="0.3">
      <c r="A5" s="1">
        <v>0.4</v>
      </c>
      <c r="B5">
        <v>137</v>
      </c>
      <c r="C5">
        <v>77</v>
      </c>
      <c r="D5">
        <v>133</v>
      </c>
      <c r="E5">
        <v>132</v>
      </c>
      <c r="F5">
        <v>82</v>
      </c>
      <c r="G5">
        <v>130</v>
      </c>
      <c r="H5">
        <v>83</v>
      </c>
      <c r="I5">
        <v>153</v>
      </c>
      <c r="J5">
        <v>94</v>
      </c>
      <c r="K5">
        <v>94</v>
      </c>
      <c r="L5">
        <v>93</v>
      </c>
      <c r="M5">
        <v>93</v>
      </c>
      <c r="O5" s="1">
        <v>0.4</v>
      </c>
      <c r="P5">
        <v>2.1299999999999999E-2</v>
      </c>
      <c r="Q5">
        <v>3.5099999999999999E-2</v>
      </c>
      <c r="R5">
        <v>4.3499999999999997E-2</v>
      </c>
      <c r="S5">
        <v>3.6299999999999999E-2</v>
      </c>
      <c r="T5">
        <v>3.5900000000000001E-2</v>
      </c>
      <c r="U5">
        <v>5.4800000000000001E-2</v>
      </c>
      <c r="V5">
        <f>0.0646</f>
        <v>6.4600000000000005E-2</v>
      </c>
      <c r="W5">
        <v>9.9500000000000005E-2</v>
      </c>
      <c r="X5">
        <f>0.0139</f>
        <v>1.3899999999999999E-2</v>
      </c>
      <c r="Y5">
        <v>4.2799999999999998E-2</v>
      </c>
      <c r="Z5">
        <v>7.2999999999999995E-2</v>
      </c>
      <c r="AA5">
        <v>5.6800000000000003E-2</v>
      </c>
      <c r="AC5">
        <v>2</v>
      </c>
    </row>
    <row r="6" spans="1:29" x14ac:dyDescent="0.3">
      <c r="A6" s="1">
        <v>0.5</v>
      </c>
      <c r="B6">
        <v>200</v>
      </c>
      <c r="C6">
        <v>127</v>
      </c>
      <c r="D6">
        <v>186</v>
      </c>
      <c r="E6">
        <v>186</v>
      </c>
      <c r="F6">
        <v>124</v>
      </c>
      <c r="G6">
        <v>178</v>
      </c>
      <c r="H6">
        <v>7</v>
      </c>
      <c r="I6">
        <v>106</v>
      </c>
      <c r="J6">
        <v>25</v>
      </c>
      <c r="K6">
        <v>52</v>
      </c>
      <c r="L6">
        <v>88</v>
      </c>
      <c r="M6">
        <v>65</v>
      </c>
      <c r="O6" s="1">
        <v>0.5</v>
      </c>
      <c r="P6">
        <v>6.4000000000000001E-2</v>
      </c>
      <c r="Q6">
        <v>5.8900000000000001E-2</v>
      </c>
      <c r="R6">
        <v>7.1400000000000005E-2</v>
      </c>
      <c r="S6">
        <v>8.3699999999999997E-2</v>
      </c>
      <c r="T6">
        <v>6.1800000000000001E-2</v>
      </c>
      <c r="U6">
        <v>8.2199999999999995E-2</v>
      </c>
      <c r="V6">
        <f>0.0209</f>
        <v>2.0899999999999998E-2</v>
      </c>
      <c r="W6">
        <v>5.4300000000000001E-2</v>
      </c>
      <c r="X6">
        <f>0.0724</f>
        <v>7.2400000000000006E-2</v>
      </c>
      <c r="Y6">
        <v>1.2200000000000001E-2</v>
      </c>
      <c r="Z6">
        <v>6.7699999999999996E-2</v>
      </c>
      <c r="AA6">
        <v>2.69E-2</v>
      </c>
      <c r="AC6">
        <v>2</v>
      </c>
    </row>
    <row r="7" spans="1:29" x14ac:dyDescent="0.3">
      <c r="A7" s="1">
        <v>0.6</v>
      </c>
      <c r="B7">
        <v>210</v>
      </c>
      <c r="C7">
        <v>143</v>
      </c>
      <c r="D7">
        <v>200</v>
      </c>
      <c r="E7">
        <v>186</v>
      </c>
      <c r="F7">
        <v>141</v>
      </c>
      <c r="G7">
        <v>191</v>
      </c>
      <c r="H7">
        <v>1</v>
      </c>
      <c r="I7">
        <v>79</v>
      </c>
      <c r="J7">
        <v>2</v>
      </c>
      <c r="K7">
        <v>31</v>
      </c>
      <c r="L7">
        <v>96</v>
      </c>
      <c r="M7">
        <v>46</v>
      </c>
      <c r="O7" s="1">
        <v>0.6</v>
      </c>
      <c r="P7">
        <v>7.4700000000000003E-2</v>
      </c>
      <c r="Q7">
        <v>6.4100000000000004E-2</v>
      </c>
      <c r="R7">
        <v>8.4099999999999994E-2</v>
      </c>
      <c r="S7">
        <v>8.0399999999999999E-2</v>
      </c>
      <c r="T7">
        <v>7.4899999999999994E-2</v>
      </c>
      <c r="U7">
        <v>0.10290000000000001</v>
      </c>
      <c r="V7">
        <v>0.1099</v>
      </c>
      <c r="W7">
        <f>0.0084</f>
        <v>8.3999999999999995E-3</v>
      </c>
      <c r="X7">
        <v>8.0799999999999997E-2</v>
      </c>
      <c r="Y7">
        <v>1.5E-3</v>
      </c>
      <c r="Z7">
        <v>7.0499999999999993E-2</v>
      </c>
      <c r="AA7">
        <v>2.1499999999999998E-2</v>
      </c>
      <c r="AC7">
        <v>2</v>
      </c>
    </row>
    <row r="8" spans="1:29" x14ac:dyDescent="0.3">
      <c r="A8" s="1">
        <v>0.65</v>
      </c>
      <c r="B8">
        <v>185</v>
      </c>
      <c r="C8">
        <v>159</v>
      </c>
      <c r="D8">
        <v>222</v>
      </c>
      <c r="E8">
        <v>159</v>
      </c>
      <c r="F8">
        <v>152</v>
      </c>
      <c r="G8">
        <v>201</v>
      </c>
      <c r="H8">
        <v>1</v>
      </c>
      <c r="I8">
        <v>65</v>
      </c>
      <c r="J8">
        <v>2</v>
      </c>
      <c r="K8">
        <v>22</v>
      </c>
      <c r="L8">
        <v>96</v>
      </c>
      <c r="M8">
        <v>45</v>
      </c>
      <c r="O8" s="1">
        <v>0.65</v>
      </c>
      <c r="P8">
        <v>4.53E-2</v>
      </c>
      <c r="Q8">
        <v>6.8500000000000005E-2</v>
      </c>
      <c r="R8">
        <v>9.0800000000000006E-2</v>
      </c>
      <c r="S8">
        <v>4.53E-2</v>
      </c>
      <c r="T8">
        <v>7.4300000000000005E-2</v>
      </c>
      <c r="U8">
        <v>9.1800000000000007E-2</v>
      </c>
      <c r="V8">
        <v>0.1101</v>
      </c>
      <c r="W8">
        <f>0.0019</f>
        <v>1.9E-3</v>
      </c>
      <c r="X8">
        <v>8.1100000000000005E-2</v>
      </c>
      <c r="Y8">
        <f>0.0022</f>
        <v>2.2000000000000001E-3</v>
      </c>
      <c r="Z8">
        <v>7.1800000000000003E-2</v>
      </c>
      <c r="AA8">
        <v>1.12E-2</v>
      </c>
      <c r="AC8">
        <v>2</v>
      </c>
    </row>
    <row r="9" spans="1:29" x14ac:dyDescent="0.3">
      <c r="A9" s="1">
        <v>0.7</v>
      </c>
      <c r="B9">
        <v>138</v>
      </c>
      <c r="C9">
        <v>196</v>
      </c>
      <c r="D9">
        <v>202</v>
      </c>
      <c r="E9">
        <v>129</v>
      </c>
      <c r="F9">
        <v>184</v>
      </c>
      <c r="G9">
        <v>188</v>
      </c>
      <c r="H9">
        <v>1</v>
      </c>
      <c r="I9">
        <v>13</v>
      </c>
      <c r="J9">
        <v>1</v>
      </c>
      <c r="K9">
        <v>18</v>
      </c>
      <c r="L9">
        <v>65</v>
      </c>
      <c r="M9">
        <v>35</v>
      </c>
      <c r="O9" s="1">
        <v>0.7</v>
      </c>
      <c r="P9">
        <v>1.6299999999999999E-2</v>
      </c>
      <c r="Q9">
        <v>7.7799999999999994E-2</v>
      </c>
      <c r="R9">
        <v>7.17E-2</v>
      </c>
      <c r="S9">
        <v>2.5100000000000001E-2</v>
      </c>
      <c r="T9">
        <v>8.7800000000000003E-2</v>
      </c>
      <c r="U9">
        <v>7.5399999999999995E-2</v>
      </c>
      <c r="V9">
        <v>0.1101</v>
      </c>
      <c r="W9">
        <f>0.0243</f>
        <v>2.4299999999999999E-2</v>
      </c>
      <c r="X9">
        <v>8.8200000000000001E-2</v>
      </c>
      <c r="Y9">
        <f>0.0053</f>
        <v>5.3E-3</v>
      </c>
      <c r="Z9">
        <v>3.6299999999999999E-2</v>
      </c>
      <c r="AA9">
        <v>1.6E-2</v>
      </c>
      <c r="AC9">
        <v>2</v>
      </c>
    </row>
    <row r="10" spans="1:29" x14ac:dyDescent="0.3">
      <c r="A10" s="1">
        <v>0.75</v>
      </c>
      <c r="B10">
        <v>78</v>
      </c>
      <c r="C10">
        <v>200</v>
      </c>
      <c r="D10">
        <v>138</v>
      </c>
      <c r="E10">
        <v>66</v>
      </c>
      <c r="F10">
        <v>191</v>
      </c>
      <c r="G10">
        <v>126</v>
      </c>
      <c r="H10">
        <v>1</v>
      </c>
      <c r="I10">
        <v>2</v>
      </c>
      <c r="J10">
        <v>1</v>
      </c>
      <c r="K10">
        <v>14</v>
      </c>
      <c r="L10">
        <v>46</v>
      </c>
      <c r="M10">
        <v>24</v>
      </c>
      <c r="O10" s="1">
        <v>0.75</v>
      </c>
      <c r="P10">
        <f>0.0122</f>
        <v>1.2200000000000001E-2</v>
      </c>
      <c r="Q10">
        <v>7.7600000000000002E-2</v>
      </c>
      <c r="R10">
        <v>2.98E-2</v>
      </c>
      <c r="S10">
        <f>0.0011</f>
        <v>1.1000000000000001E-3</v>
      </c>
      <c r="T10">
        <v>8.8200000000000001E-2</v>
      </c>
      <c r="U10">
        <v>3.5999999999999997E-2</v>
      </c>
      <c r="V10">
        <v>0.11</v>
      </c>
      <c r="W10">
        <v>5.0900000000000001E-2</v>
      </c>
      <c r="X10">
        <v>8.8200000000000001E-2</v>
      </c>
      <c r="Y10">
        <f>0.0038</f>
        <v>3.8E-3</v>
      </c>
      <c r="Z10">
        <v>2.7099999999999999E-2</v>
      </c>
      <c r="AA10">
        <v>0.01</v>
      </c>
      <c r="AC10">
        <v>2</v>
      </c>
    </row>
    <row r="11" spans="1:29" x14ac:dyDescent="0.3">
      <c r="A11" s="1">
        <v>0.8</v>
      </c>
      <c r="B11">
        <v>23</v>
      </c>
      <c r="C11">
        <v>198</v>
      </c>
      <c r="D11">
        <v>77</v>
      </c>
      <c r="E11">
        <v>21</v>
      </c>
      <c r="F11">
        <v>186</v>
      </c>
      <c r="G11">
        <v>63</v>
      </c>
      <c r="H11">
        <v>1</v>
      </c>
      <c r="I11">
        <v>1</v>
      </c>
      <c r="J11">
        <v>1</v>
      </c>
      <c r="K11">
        <v>10</v>
      </c>
      <c r="L11">
        <v>38</v>
      </c>
      <c r="M11">
        <v>15</v>
      </c>
      <c r="O11" s="1">
        <v>0.8</v>
      </c>
      <c r="P11">
        <v>8.6E-3</v>
      </c>
      <c r="Q11">
        <v>6.4799999999999996E-2</v>
      </c>
      <c r="R11">
        <v>1.7000000000000001E-2</v>
      </c>
      <c r="S11">
        <v>1.41E-2</v>
      </c>
      <c r="T11">
        <v>6.2600000000000003E-2</v>
      </c>
      <c r="U11">
        <v>1.89E-2</v>
      </c>
      <c r="V11">
        <v>0.11</v>
      </c>
      <c r="W11">
        <v>5.45E-2</v>
      </c>
      <c r="X11">
        <v>8.8200000000000001E-2</v>
      </c>
      <c r="Y11">
        <v>1.8E-3</v>
      </c>
      <c r="Z11">
        <v>1.77E-2</v>
      </c>
      <c r="AA11">
        <v>8.3000000000000001E-3</v>
      </c>
      <c r="AC11">
        <v>2</v>
      </c>
    </row>
    <row r="12" spans="1:29" x14ac:dyDescent="0.3">
      <c r="A12" s="1">
        <v>0.85</v>
      </c>
      <c r="B12">
        <v>9</v>
      </c>
      <c r="C12">
        <v>179</v>
      </c>
      <c r="D12">
        <v>24</v>
      </c>
      <c r="E12">
        <v>10</v>
      </c>
      <c r="F12">
        <v>152</v>
      </c>
      <c r="G12">
        <v>23</v>
      </c>
      <c r="H12">
        <v>1</v>
      </c>
      <c r="I12">
        <v>1</v>
      </c>
      <c r="J12">
        <v>1</v>
      </c>
      <c r="K12">
        <v>6</v>
      </c>
      <c r="L12">
        <v>28</v>
      </c>
      <c r="M12">
        <v>9</v>
      </c>
      <c r="O12" s="1">
        <v>0.85</v>
      </c>
      <c r="P12">
        <v>1.06E-2</v>
      </c>
      <c r="Q12">
        <v>0.05</v>
      </c>
      <c r="R12">
        <v>8.5000000000000006E-3</v>
      </c>
      <c r="S12">
        <v>1.23E-2</v>
      </c>
      <c r="T12">
        <v>0.05</v>
      </c>
      <c r="U12">
        <v>1.2200000000000001E-2</v>
      </c>
      <c r="V12">
        <v>0.1099</v>
      </c>
      <c r="W12">
        <v>5.45E-2</v>
      </c>
      <c r="X12">
        <v>8.8200000000000001E-2</v>
      </c>
      <c r="Y12">
        <v>1.11E-2</v>
      </c>
      <c r="Z12">
        <v>1.3899999999999999E-2</v>
      </c>
      <c r="AA12">
        <v>8.5000000000000006E-3</v>
      </c>
      <c r="AC12">
        <v>2</v>
      </c>
    </row>
    <row r="13" spans="1:29" x14ac:dyDescent="0.3">
      <c r="A13" s="1">
        <v>0.9</v>
      </c>
      <c r="B13">
        <v>5</v>
      </c>
      <c r="C13">
        <v>51</v>
      </c>
      <c r="D13">
        <v>12</v>
      </c>
      <c r="E13">
        <v>5</v>
      </c>
      <c r="F13">
        <v>45</v>
      </c>
      <c r="G13">
        <v>12</v>
      </c>
      <c r="H13">
        <v>1</v>
      </c>
      <c r="I13">
        <v>1</v>
      </c>
      <c r="J13">
        <v>1</v>
      </c>
      <c r="K13">
        <v>4</v>
      </c>
      <c r="L13">
        <v>13</v>
      </c>
      <c r="M13">
        <v>6</v>
      </c>
      <c r="O13" s="1">
        <v>0.9</v>
      </c>
      <c r="P13">
        <v>8.8999999999999999E-3</v>
      </c>
      <c r="Q13">
        <v>1.5100000000000001E-2</v>
      </c>
      <c r="R13">
        <v>1.3899999999999999E-2</v>
      </c>
      <c r="S13">
        <v>1.01E-2</v>
      </c>
      <c r="T13">
        <v>1.3599999999999999E-2</v>
      </c>
      <c r="U13">
        <v>1.49E-2</v>
      </c>
      <c r="V13">
        <v>0.1099</v>
      </c>
      <c r="W13">
        <v>5.45E-2</v>
      </c>
      <c r="X13">
        <v>8.8099999999999998E-2</v>
      </c>
      <c r="Y13">
        <v>1.0500000000000001E-2</v>
      </c>
      <c r="Z13">
        <v>7.1000000000000004E-3</v>
      </c>
      <c r="AA13">
        <v>1.0500000000000001E-2</v>
      </c>
      <c r="AC13">
        <v>2</v>
      </c>
    </row>
    <row r="14" spans="1:29" x14ac:dyDescent="0.3">
      <c r="A14" s="1">
        <v>0.95</v>
      </c>
      <c r="B14">
        <v>4</v>
      </c>
      <c r="C14">
        <v>12</v>
      </c>
      <c r="D14">
        <v>6</v>
      </c>
      <c r="E14">
        <v>4</v>
      </c>
      <c r="F14">
        <v>12</v>
      </c>
      <c r="G14">
        <v>5</v>
      </c>
      <c r="H14">
        <v>1</v>
      </c>
      <c r="I14">
        <v>1</v>
      </c>
      <c r="J14">
        <v>1</v>
      </c>
      <c r="K14">
        <v>4</v>
      </c>
      <c r="L14">
        <v>6</v>
      </c>
      <c r="M14">
        <v>6</v>
      </c>
      <c r="O14" s="1">
        <v>0.95</v>
      </c>
      <c r="P14">
        <v>8.3000000000000001E-3</v>
      </c>
      <c r="Q14">
        <v>1.1599999999999999E-2</v>
      </c>
      <c r="R14">
        <v>9.1000000000000004E-3</v>
      </c>
      <c r="S14">
        <v>9.5999999999999992E-3</v>
      </c>
      <c r="T14">
        <v>1.2200000000000001E-2</v>
      </c>
      <c r="U14">
        <v>9.1999999999999998E-3</v>
      </c>
      <c r="V14">
        <v>0.1099</v>
      </c>
      <c r="W14">
        <v>5.4399999999999997E-2</v>
      </c>
      <c r="X14">
        <v>8.8099999999999998E-2</v>
      </c>
      <c r="Y14">
        <v>1.04E-2</v>
      </c>
      <c r="Z14">
        <v>8.2000000000000007E-3</v>
      </c>
      <c r="AA14">
        <v>1.04E-2</v>
      </c>
      <c r="AC14">
        <v>2</v>
      </c>
    </row>
    <row r="15" spans="1:29" x14ac:dyDescent="0.3">
      <c r="A15" s="1">
        <v>0.99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1</v>
      </c>
      <c r="I15">
        <v>1</v>
      </c>
      <c r="J15">
        <v>1</v>
      </c>
      <c r="K15">
        <v>4</v>
      </c>
      <c r="L15">
        <v>4</v>
      </c>
      <c r="M15">
        <v>4</v>
      </c>
      <c r="O15" s="1">
        <v>0.99</v>
      </c>
      <c r="P15">
        <v>8.3000000000000001E-3</v>
      </c>
      <c r="Q15">
        <v>4.8999999999999998E-3</v>
      </c>
      <c r="R15">
        <v>6.8999999999999999E-3</v>
      </c>
      <c r="S15">
        <v>9.5999999999999992E-3</v>
      </c>
      <c r="T15">
        <v>5.7000000000000002E-3</v>
      </c>
      <c r="U15">
        <v>8.0999999999999996E-3</v>
      </c>
      <c r="V15">
        <v>0.1099</v>
      </c>
      <c r="W15">
        <v>5.4399999999999997E-2</v>
      </c>
      <c r="X15">
        <v>8.8099999999999998E-2</v>
      </c>
      <c r="Y15">
        <v>1.04E-2</v>
      </c>
      <c r="Z15">
        <v>6.4999999999999997E-3</v>
      </c>
      <c r="AA15">
        <v>8.6E-3</v>
      </c>
      <c r="AC15">
        <v>2</v>
      </c>
    </row>
    <row r="18" spans="1:29" x14ac:dyDescent="0.3">
      <c r="A18" t="s">
        <v>14</v>
      </c>
    </row>
    <row r="19" spans="1:29" x14ac:dyDescent="0.3">
      <c r="A19" t="s">
        <v>32</v>
      </c>
      <c r="O19" t="s">
        <v>13</v>
      </c>
    </row>
    <row r="20" spans="1:29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31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O20" t="s">
        <v>0</v>
      </c>
      <c r="P20" t="s">
        <v>1</v>
      </c>
      <c r="Q20" t="s">
        <v>2</v>
      </c>
      <c r="R20" t="s">
        <v>3</v>
      </c>
      <c r="S20" t="s">
        <v>4</v>
      </c>
      <c r="T20" t="s">
        <v>31</v>
      </c>
      <c r="U20" t="s">
        <v>5</v>
      </c>
      <c r="V20" t="s">
        <v>6</v>
      </c>
      <c r="W20" t="s">
        <v>7</v>
      </c>
      <c r="X20" t="s">
        <v>8</v>
      </c>
      <c r="Y20" t="s">
        <v>9</v>
      </c>
      <c r="Z20" t="s">
        <v>10</v>
      </c>
      <c r="AA20" t="s">
        <v>11</v>
      </c>
    </row>
    <row r="21" spans="1:29" x14ac:dyDescent="0.3">
      <c r="A21" s="1">
        <v>0.3</v>
      </c>
      <c r="B21">
        <v>29</v>
      </c>
      <c r="C21">
        <v>9</v>
      </c>
      <c r="D21">
        <v>12</v>
      </c>
      <c r="E21">
        <v>37</v>
      </c>
      <c r="F21">
        <v>15</v>
      </c>
      <c r="G21">
        <v>18</v>
      </c>
      <c r="H21">
        <v>65</v>
      </c>
      <c r="I21">
        <v>62</v>
      </c>
      <c r="J21">
        <v>86</v>
      </c>
      <c r="K21">
        <v>38</v>
      </c>
      <c r="L21">
        <v>34</v>
      </c>
      <c r="M21">
        <v>35</v>
      </c>
      <c r="O21" s="1">
        <v>0.3</v>
      </c>
      <c r="P21">
        <f>0.0051</f>
        <v>5.1000000000000004E-3</v>
      </c>
      <c r="Q21">
        <v>1.26E-2</v>
      </c>
      <c r="R21">
        <v>5.5999999999999999E-3</v>
      </c>
      <c r="S21">
        <f>0.0101</f>
        <v>1.01E-2</v>
      </c>
      <c r="T21">
        <f>0.001</f>
        <v>1E-3</v>
      </c>
      <c r="U21">
        <f>0.0073</f>
        <v>7.3000000000000001E-3</v>
      </c>
      <c r="V21">
        <f>0.0116</f>
        <v>1.1599999999999999E-2</v>
      </c>
      <c r="W21">
        <f>0.0268</f>
        <v>2.6800000000000001E-2</v>
      </c>
      <c r="X21">
        <v>2.2700000000000001E-2</v>
      </c>
      <c r="Y21">
        <v>3.0099999999999998E-2</v>
      </c>
      <c r="Z21">
        <v>2.63E-2</v>
      </c>
      <c r="AA21">
        <v>1.43E-2</v>
      </c>
      <c r="AC21">
        <v>3</v>
      </c>
    </row>
    <row r="22" spans="1:29" x14ac:dyDescent="0.3">
      <c r="A22" s="1">
        <v>0.4</v>
      </c>
      <c r="B22">
        <v>38</v>
      </c>
      <c r="C22">
        <v>10</v>
      </c>
      <c r="D22">
        <v>35</v>
      </c>
      <c r="E22">
        <v>43</v>
      </c>
      <c r="F22">
        <v>14</v>
      </c>
      <c r="G22">
        <v>42</v>
      </c>
      <c r="H22">
        <v>49</v>
      </c>
      <c r="I22">
        <v>84</v>
      </c>
      <c r="J22">
        <v>52</v>
      </c>
      <c r="K22">
        <v>43</v>
      </c>
      <c r="L22">
        <v>36</v>
      </c>
      <c r="M22">
        <v>41</v>
      </c>
      <c r="O22" s="1">
        <v>0.4</v>
      </c>
      <c r="P22">
        <f>0.0114</f>
        <v>1.14E-2</v>
      </c>
      <c r="Q22">
        <v>1.1599999999999999E-2</v>
      </c>
      <c r="R22">
        <v>8.0000000000000004E-4</v>
      </c>
      <c r="S22">
        <v>7.4000000000000003E-3</v>
      </c>
      <c r="T22">
        <v>7.9000000000000008E-3</v>
      </c>
      <c r="U22">
        <v>1.15E-2</v>
      </c>
      <c r="V22">
        <f>0.0514</f>
        <v>5.1400000000000001E-2</v>
      </c>
      <c r="W22">
        <v>4.8599999999999997E-2</v>
      </c>
      <c r="X22">
        <v>1E-3</v>
      </c>
      <c r="Y22">
        <v>3.2199999999999999E-2</v>
      </c>
      <c r="Z22">
        <v>3.1600000000000003E-2</v>
      </c>
      <c r="AA22">
        <v>4.2099999999999999E-2</v>
      </c>
      <c r="AC22">
        <v>3</v>
      </c>
    </row>
    <row r="23" spans="1:29" x14ac:dyDescent="0.3">
      <c r="A23" s="1">
        <v>0.5</v>
      </c>
      <c r="B23">
        <v>85</v>
      </c>
      <c r="C23">
        <v>32</v>
      </c>
      <c r="D23">
        <v>64</v>
      </c>
      <c r="E23">
        <v>85</v>
      </c>
      <c r="F23">
        <v>40</v>
      </c>
      <c r="G23">
        <v>69</v>
      </c>
      <c r="H23">
        <v>5</v>
      </c>
      <c r="I23">
        <v>61</v>
      </c>
      <c r="J23">
        <v>13</v>
      </c>
      <c r="K23">
        <v>24</v>
      </c>
      <c r="L23">
        <v>39</v>
      </c>
      <c r="M23">
        <v>28</v>
      </c>
      <c r="O23" s="1">
        <v>0.5</v>
      </c>
      <c r="P23">
        <v>1.7999999999999999E-2</v>
      </c>
      <c r="Q23">
        <v>1.7999999999999999E-2</v>
      </c>
      <c r="R23">
        <v>1.7500000000000002E-2</v>
      </c>
      <c r="S23">
        <v>4.4600000000000001E-2</v>
      </c>
      <c r="T23">
        <v>1.7500000000000002E-2</v>
      </c>
      <c r="U23">
        <v>4.1200000000000001E-2</v>
      </c>
      <c r="V23">
        <f>0.008</f>
        <v>8.0000000000000002E-3</v>
      </c>
      <c r="W23">
        <v>3.9899999999999998E-2</v>
      </c>
      <c r="X23">
        <f>0.0454</f>
        <v>4.5400000000000003E-2</v>
      </c>
      <c r="Y23">
        <v>1.17E-2</v>
      </c>
      <c r="Z23">
        <v>4.5100000000000001E-2</v>
      </c>
      <c r="AA23">
        <v>2.06E-2</v>
      </c>
      <c r="AC23">
        <v>3</v>
      </c>
    </row>
    <row r="24" spans="1:29" x14ac:dyDescent="0.3">
      <c r="A24" s="1">
        <v>0.6</v>
      </c>
      <c r="B24">
        <v>102</v>
      </c>
      <c r="C24">
        <v>40</v>
      </c>
      <c r="D24">
        <v>99</v>
      </c>
      <c r="E24">
        <v>95</v>
      </c>
      <c r="F24">
        <v>44</v>
      </c>
      <c r="G24">
        <v>94</v>
      </c>
      <c r="H24">
        <v>1</v>
      </c>
      <c r="I24">
        <v>43</v>
      </c>
      <c r="J24">
        <v>1</v>
      </c>
      <c r="K24">
        <v>12</v>
      </c>
      <c r="L24">
        <v>47</v>
      </c>
      <c r="M24">
        <v>20</v>
      </c>
      <c r="O24" s="1">
        <v>0.6</v>
      </c>
      <c r="P24">
        <v>3.5400000000000001E-2</v>
      </c>
      <c r="Q24">
        <v>1.4999999999999999E-2</v>
      </c>
      <c r="R24">
        <v>3.8300000000000001E-2</v>
      </c>
      <c r="S24">
        <v>4.9599999999999998E-2</v>
      </c>
      <c r="T24">
        <v>3.0300000000000001E-2</v>
      </c>
      <c r="U24">
        <v>6.0600000000000001E-2</v>
      </c>
      <c r="V24">
        <v>0.1099</v>
      </c>
      <c r="W24">
        <v>1.5100000000000001E-2</v>
      </c>
      <c r="X24">
        <v>8.77E-2</v>
      </c>
      <c r="Y24">
        <v>7.1999999999999998E-3</v>
      </c>
      <c r="Z24">
        <v>4.41E-2</v>
      </c>
      <c r="AA24">
        <v>1.8200000000000001E-2</v>
      </c>
      <c r="AC24">
        <v>3</v>
      </c>
    </row>
    <row r="25" spans="1:29" x14ac:dyDescent="0.3">
      <c r="A25" s="1">
        <v>0.65</v>
      </c>
      <c r="B25">
        <v>88</v>
      </c>
      <c r="C25">
        <v>44</v>
      </c>
      <c r="D25">
        <v>106</v>
      </c>
      <c r="E25">
        <v>74</v>
      </c>
      <c r="F25">
        <v>46</v>
      </c>
      <c r="G25">
        <v>97</v>
      </c>
      <c r="H25">
        <v>1</v>
      </c>
      <c r="I25">
        <v>36</v>
      </c>
      <c r="J25">
        <v>1</v>
      </c>
      <c r="K25">
        <v>7</v>
      </c>
      <c r="L25">
        <v>47</v>
      </c>
      <c r="M25">
        <v>19</v>
      </c>
      <c r="O25" s="1">
        <v>0.65</v>
      </c>
      <c r="P25">
        <v>1.38E-2</v>
      </c>
      <c r="Q25">
        <v>1.5900000000000001E-2</v>
      </c>
      <c r="R25">
        <v>4.1700000000000001E-2</v>
      </c>
      <c r="S25">
        <v>2.3099999999999999E-2</v>
      </c>
      <c r="T25">
        <v>3.0499999999999999E-2</v>
      </c>
      <c r="U25">
        <v>5.8700000000000002E-2</v>
      </c>
      <c r="V25">
        <v>0.1101</v>
      </c>
      <c r="W25">
        <f>0.0011</f>
        <v>1.1000000000000001E-3</v>
      </c>
      <c r="X25">
        <v>8.8200000000000001E-2</v>
      </c>
      <c r="Y25">
        <v>5.3E-3</v>
      </c>
      <c r="Z25">
        <v>4.5699999999999998E-2</v>
      </c>
      <c r="AA25">
        <v>1.55E-2</v>
      </c>
      <c r="AC25">
        <v>3</v>
      </c>
    </row>
    <row r="26" spans="1:29" x14ac:dyDescent="0.3">
      <c r="A26" s="1">
        <v>0.7</v>
      </c>
      <c r="B26">
        <v>59</v>
      </c>
      <c r="C26">
        <v>66</v>
      </c>
      <c r="D26">
        <v>92</v>
      </c>
      <c r="E26">
        <v>60</v>
      </c>
      <c r="F26">
        <v>72</v>
      </c>
      <c r="G26">
        <v>90</v>
      </c>
      <c r="H26">
        <v>1</v>
      </c>
      <c r="I26">
        <v>5</v>
      </c>
      <c r="J26">
        <v>1</v>
      </c>
      <c r="K26">
        <v>5</v>
      </c>
      <c r="L26">
        <v>27</v>
      </c>
      <c r="M26">
        <v>15</v>
      </c>
      <c r="O26" s="1">
        <v>0.7</v>
      </c>
      <c r="P26">
        <v>2.9999999999999997E-4</v>
      </c>
      <c r="Q26">
        <v>2.5100000000000001E-2</v>
      </c>
      <c r="R26">
        <v>3.3500000000000002E-2</v>
      </c>
      <c r="S26">
        <v>1.2699999999999999E-2</v>
      </c>
      <c r="T26">
        <v>4.2099999999999999E-2</v>
      </c>
      <c r="U26">
        <v>4.24E-2</v>
      </c>
      <c r="V26">
        <v>0.1101</v>
      </c>
      <c r="W26">
        <v>4.3099999999999999E-2</v>
      </c>
      <c r="X26">
        <v>8.8200000000000001E-2</v>
      </c>
      <c r="Y26">
        <f>0.0046</f>
        <v>4.5999999999999999E-3</v>
      </c>
      <c r="Z26">
        <v>2.3099999999999999E-2</v>
      </c>
      <c r="AA26">
        <v>1.26E-2</v>
      </c>
      <c r="AC26">
        <v>3</v>
      </c>
    </row>
    <row r="27" spans="1:29" x14ac:dyDescent="0.3">
      <c r="A27" s="1">
        <v>0.75</v>
      </c>
      <c r="B27">
        <v>26</v>
      </c>
      <c r="C27">
        <v>99</v>
      </c>
      <c r="D27">
        <v>52</v>
      </c>
      <c r="E27">
        <v>23</v>
      </c>
      <c r="F27">
        <v>94</v>
      </c>
      <c r="G27">
        <v>62</v>
      </c>
      <c r="H27">
        <v>1</v>
      </c>
      <c r="I27">
        <v>1</v>
      </c>
      <c r="J27">
        <v>1</v>
      </c>
      <c r="K27">
        <v>3</v>
      </c>
      <c r="L27">
        <v>20</v>
      </c>
      <c r="M27">
        <v>7</v>
      </c>
      <c r="O27" s="1">
        <v>0.75</v>
      </c>
      <c r="P27">
        <f>0.0108</f>
        <v>1.0800000000000001E-2</v>
      </c>
      <c r="Q27">
        <v>3.7100000000000001E-2</v>
      </c>
      <c r="R27">
        <v>1.0699999999999999E-2</v>
      </c>
      <c r="S27">
        <f>0.0011</f>
        <v>1.1000000000000001E-3</v>
      </c>
      <c r="T27">
        <v>5.0999999999999997E-2</v>
      </c>
      <c r="U27">
        <v>1.4200000000000001E-2</v>
      </c>
      <c r="V27">
        <v>0.11</v>
      </c>
      <c r="W27">
        <v>5.4199999999999998E-2</v>
      </c>
      <c r="X27">
        <v>8.8200000000000001E-2</v>
      </c>
      <c r="Y27">
        <v>6.6E-3</v>
      </c>
      <c r="Z27">
        <v>1.9E-2</v>
      </c>
      <c r="AA27">
        <v>4.8999999999999998E-3</v>
      </c>
      <c r="AC27">
        <v>3</v>
      </c>
    </row>
    <row r="28" spans="1:29" x14ac:dyDescent="0.3">
      <c r="A28" s="1">
        <v>0.8</v>
      </c>
      <c r="B28">
        <v>6</v>
      </c>
      <c r="C28">
        <v>96</v>
      </c>
      <c r="D28">
        <v>30</v>
      </c>
      <c r="E28">
        <v>5</v>
      </c>
      <c r="F28">
        <v>85</v>
      </c>
      <c r="G28">
        <v>28</v>
      </c>
      <c r="H28">
        <v>1</v>
      </c>
      <c r="I28">
        <v>1</v>
      </c>
      <c r="J28">
        <v>1</v>
      </c>
      <c r="K28">
        <v>1</v>
      </c>
      <c r="L28">
        <v>17</v>
      </c>
      <c r="M28">
        <v>3</v>
      </c>
      <c r="O28" s="1">
        <v>0.8</v>
      </c>
      <c r="P28">
        <v>5.5999999999999999E-3</v>
      </c>
      <c r="Q28">
        <v>3.0300000000000001E-2</v>
      </c>
      <c r="R28">
        <v>6.0000000000000001E-3</v>
      </c>
      <c r="S28">
        <v>7.7999999999999996E-3</v>
      </c>
      <c r="T28">
        <v>3.6900000000000002E-2</v>
      </c>
      <c r="U28">
        <v>5.7000000000000002E-3</v>
      </c>
      <c r="V28">
        <v>0.11</v>
      </c>
      <c r="W28">
        <v>5.45E-2</v>
      </c>
      <c r="X28">
        <v>8.8200000000000001E-2</v>
      </c>
      <c r="Y28">
        <v>6.8999999999999999E-3</v>
      </c>
      <c r="Z28">
        <v>9.4000000000000004E-3</v>
      </c>
      <c r="AA28">
        <v>7.1999999999999998E-3</v>
      </c>
      <c r="AC28">
        <v>3</v>
      </c>
    </row>
    <row r="29" spans="1:29" x14ac:dyDescent="0.3">
      <c r="A29" s="1">
        <v>0.85</v>
      </c>
      <c r="B29">
        <v>1</v>
      </c>
      <c r="C29">
        <v>80</v>
      </c>
      <c r="D29">
        <v>6</v>
      </c>
      <c r="E29">
        <v>1</v>
      </c>
      <c r="F29">
        <v>73</v>
      </c>
      <c r="G29">
        <v>5</v>
      </c>
      <c r="H29">
        <v>1</v>
      </c>
      <c r="I29">
        <v>1</v>
      </c>
      <c r="J29">
        <v>1</v>
      </c>
      <c r="K29">
        <v>1</v>
      </c>
      <c r="L29">
        <v>9</v>
      </c>
      <c r="M29">
        <v>3</v>
      </c>
      <c r="O29" s="1">
        <v>0.85</v>
      </c>
      <c r="P29">
        <v>5.4000000000000003E-3</v>
      </c>
      <c r="Q29">
        <v>2.5600000000000001E-2</v>
      </c>
      <c r="R29">
        <v>6.4000000000000003E-3</v>
      </c>
      <c r="S29">
        <v>6.7999999999999996E-3</v>
      </c>
      <c r="T29">
        <v>2.6200000000000001E-2</v>
      </c>
      <c r="U29">
        <v>7.4999999999999997E-3</v>
      </c>
      <c r="V29">
        <v>0.1099</v>
      </c>
      <c r="W29">
        <v>5.45E-2</v>
      </c>
      <c r="X29">
        <v>8.8200000000000001E-2</v>
      </c>
      <c r="Y29">
        <v>7.3000000000000001E-3</v>
      </c>
      <c r="Z29">
        <v>7.7000000000000002E-3</v>
      </c>
      <c r="AA29">
        <v>3.8999999999999998E-3</v>
      </c>
      <c r="AC29">
        <v>3</v>
      </c>
    </row>
    <row r="30" spans="1:29" x14ac:dyDescent="0.3">
      <c r="A30" s="1">
        <v>0.9</v>
      </c>
      <c r="B30">
        <v>1</v>
      </c>
      <c r="C30">
        <v>14</v>
      </c>
      <c r="D30">
        <v>2</v>
      </c>
      <c r="E30">
        <v>1</v>
      </c>
      <c r="F30">
        <v>13</v>
      </c>
      <c r="G30">
        <v>2</v>
      </c>
      <c r="H30">
        <v>1</v>
      </c>
      <c r="I30">
        <v>1</v>
      </c>
      <c r="J30">
        <v>1</v>
      </c>
      <c r="K30">
        <v>1</v>
      </c>
      <c r="L30">
        <v>2</v>
      </c>
      <c r="M30">
        <v>1</v>
      </c>
      <c r="O30" s="1">
        <v>0.9</v>
      </c>
      <c r="P30">
        <v>5.4999999999999997E-3</v>
      </c>
      <c r="Q30">
        <v>8.3000000000000001E-3</v>
      </c>
      <c r="R30">
        <v>5.4000000000000003E-3</v>
      </c>
      <c r="S30">
        <v>6.7999999999999996E-3</v>
      </c>
      <c r="T30">
        <v>4.5999999999999999E-3</v>
      </c>
      <c r="U30">
        <v>7.0000000000000001E-3</v>
      </c>
      <c r="V30">
        <v>0.1099</v>
      </c>
      <c r="W30">
        <v>5.45E-2</v>
      </c>
      <c r="X30">
        <v>8.8099999999999998E-2</v>
      </c>
      <c r="Y30">
        <v>7.1999999999999998E-3</v>
      </c>
      <c r="Z30">
        <v>4.7999999999999996E-3</v>
      </c>
      <c r="AA30">
        <v>5.5999999999999999E-3</v>
      </c>
      <c r="AC30">
        <v>3</v>
      </c>
    </row>
    <row r="31" spans="1:29" x14ac:dyDescent="0.3">
      <c r="A31" s="1">
        <v>0.95</v>
      </c>
      <c r="B31">
        <v>1</v>
      </c>
      <c r="C31">
        <v>2</v>
      </c>
      <c r="D31">
        <v>1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O31" s="1">
        <v>0.95</v>
      </c>
      <c r="P31">
        <v>5.4999999999999997E-3</v>
      </c>
      <c r="Q31">
        <v>3.3E-3</v>
      </c>
      <c r="R31">
        <v>4.1999999999999997E-3</v>
      </c>
      <c r="S31">
        <v>6.7000000000000002E-3</v>
      </c>
      <c r="T31">
        <v>4.7000000000000002E-3</v>
      </c>
      <c r="U31">
        <v>5.3E-3</v>
      </c>
      <c r="V31">
        <v>0.1099</v>
      </c>
      <c r="W31">
        <v>5.4399999999999997E-2</v>
      </c>
      <c r="X31">
        <v>8.8099999999999998E-2</v>
      </c>
      <c r="Y31">
        <v>7.1999999999999998E-3</v>
      </c>
      <c r="Z31">
        <v>3.3999999999999998E-3</v>
      </c>
      <c r="AA31">
        <v>5.4999999999999997E-3</v>
      </c>
      <c r="AC31">
        <v>3</v>
      </c>
    </row>
    <row r="32" spans="1:29" x14ac:dyDescent="0.3">
      <c r="A32" s="1">
        <v>0.99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O32" s="1">
        <v>0.99</v>
      </c>
      <c r="P32">
        <v>5.4000000000000003E-3</v>
      </c>
      <c r="Q32">
        <v>2.2000000000000001E-3</v>
      </c>
      <c r="R32">
        <v>4.0000000000000001E-3</v>
      </c>
      <c r="S32">
        <v>6.7000000000000002E-3</v>
      </c>
      <c r="T32">
        <v>3.0000000000000001E-3</v>
      </c>
      <c r="U32">
        <v>5.1999999999999998E-3</v>
      </c>
      <c r="V32">
        <v>0.1099</v>
      </c>
      <c r="W32">
        <v>5.4399999999999997E-2</v>
      </c>
      <c r="X32">
        <v>8.8099999999999998E-2</v>
      </c>
      <c r="Y32">
        <v>7.1999999999999998E-3</v>
      </c>
      <c r="Z32">
        <v>3.3E-3</v>
      </c>
      <c r="AA32">
        <v>5.4000000000000003E-3</v>
      </c>
      <c r="AC32">
        <v>3</v>
      </c>
    </row>
    <row r="35" spans="1:29" x14ac:dyDescent="0.3">
      <c r="A35" t="s">
        <v>15</v>
      </c>
    </row>
    <row r="36" spans="1:29" x14ac:dyDescent="0.3">
      <c r="A36" t="s">
        <v>32</v>
      </c>
      <c r="O36" t="s">
        <v>13</v>
      </c>
    </row>
    <row r="37" spans="1:29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31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31</v>
      </c>
      <c r="U37" t="s">
        <v>5</v>
      </c>
      <c r="V37" t="s">
        <v>6</v>
      </c>
      <c r="W37" t="s">
        <v>7</v>
      </c>
      <c r="X37" t="s">
        <v>8</v>
      </c>
      <c r="Y37" t="s">
        <v>9</v>
      </c>
      <c r="Z37" t="s">
        <v>10</v>
      </c>
      <c r="AA37" t="s">
        <v>11</v>
      </c>
    </row>
    <row r="38" spans="1:29" x14ac:dyDescent="0.3">
      <c r="A38" s="1">
        <v>0.3</v>
      </c>
      <c r="B38">
        <v>5</v>
      </c>
      <c r="C38">
        <v>0</v>
      </c>
      <c r="D38">
        <v>0</v>
      </c>
      <c r="E38">
        <v>8</v>
      </c>
      <c r="F38">
        <v>2</v>
      </c>
      <c r="G38">
        <v>3</v>
      </c>
      <c r="H38">
        <v>26</v>
      </c>
      <c r="I38">
        <v>20</v>
      </c>
      <c r="J38">
        <v>28</v>
      </c>
      <c r="K38">
        <v>23</v>
      </c>
      <c r="L38">
        <v>8</v>
      </c>
      <c r="M38">
        <v>9</v>
      </c>
      <c r="O38" s="1">
        <v>0.3</v>
      </c>
      <c r="P38" s="2">
        <f>0.0106</f>
        <v>1.06E-2</v>
      </c>
      <c r="Q38" s="2">
        <v>-1</v>
      </c>
      <c r="R38" s="2">
        <v>-1</v>
      </c>
      <c r="S38" s="2">
        <f>0.0135</f>
        <v>1.35E-2</v>
      </c>
      <c r="T38" s="2">
        <f>0.0143</f>
        <v>1.43E-2</v>
      </c>
      <c r="U38" s="2">
        <f>0.0076</f>
        <v>7.6E-3</v>
      </c>
      <c r="V38">
        <f>0.025</f>
        <v>2.5000000000000001E-2</v>
      </c>
      <c r="W38">
        <f>0.0496</f>
        <v>4.9599999999999998E-2</v>
      </c>
      <c r="X38">
        <f>0.0106</f>
        <v>1.06E-2</v>
      </c>
      <c r="Y38">
        <v>1.5699999999999999E-2</v>
      </c>
      <c r="Z38" s="2">
        <v>3.7000000000000002E-3</v>
      </c>
      <c r="AA38" s="2">
        <f>0.0021</f>
        <v>2.0999999999999999E-3</v>
      </c>
      <c r="AC38">
        <v>5</v>
      </c>
    </row>
    <row r="39" spans="1:29" x14ac:dyDescent="0.3">
      <c r="A39" s="1">
        <v>0.4</v>
      </c>
      <c r="B39">
        <v>8</v>
      </c>
      <c r="C39">
        <v>0</v>
      </c>
      <c r="D39">
        <v>6</v>
      </c>
      <c r="E39">
        <v>11</v>
      </c>
      <c r="F39">
        <v>3</v>
      </c>
      <c r="G39">
        <v>9</v>
      </c>
      <c r="H39">
        <v>19</v>
      </c>
      <c r="I39">
        <v>26</v>
      </c>
      <c r="J39">
        <v>25</v>
      </c>
      <c r="K39">
        <v>24</v>
      </c>
      <c r="L39">
        <v>10</v>
      </c>
      <c r="M39">
        <v>24</v>
      </c>
      <c r="O39" s="1">
        <v>0.4</v>
      </c>
      <c r="P39" s="2">
        <f>0.0136</f>
        <v>1.3599999999999999E-2</v>
      </c>
      <c r="Q39" s="2">
        <v>-1</v>
      </c>
      <c r="R39" s="2">
        <f>0.0027</f>
        <v>2.7000000000000001E-3</v>
      </c>
      <c r="S39" s="2">
        <f>0.0059</f>
        <v>5.8999999999999999E-3</v>
      </c>
      <c r="T39" s="2">
        <f>0.0051</f>
        <v>5.1000000000000004E-3</v>
      </c>
      <c r="U39" s="2">
        <v>2.5999999999999999E-3</v>
      </c>
      <c r="V39">
        <f>0.0704</f>
        <v>7.0400000000000004E-2</v>
      </c>
      <c r="W39">
        <f>0.0016</f>
        <v>1.6000000000000001E-3</v>
      </c>
      <c r="X39">
        <f>0.0315</f>
        <v>3.15E-2</v>
      </c>
      <c r="Y39">
        <v>1.8800000000000001E-2</v>
      </c>
      <c r="Z39" s="2">
        <v>6.1999999999999998E-3</v>
      </c>
      <c r="AA39">
        <v>2.9100000000000001E-2</v>
      </c>
      <c r="AC39">
        <v>5</v>
      </c>
    </row>
    <row r="40" spans="1:29" x14ac:dyDescent="0.3">
      <c r="A40" s="1">
        <v>0.5</v>
      </c>
      <c r="B40">
        <v>16</v>
      </c>
      <c r="C40">
        <v>5</v>
      </c>
      <c r="D40">
        <v>16</v>
      </c>
      <c r="E40">
        <v>19</v>
      </c>
      <c r="F40">
        <v>8</v>
      </c>
      <c r="G40">
        <v>16</v>
      </c>
      <c r="H40">
        <v>2</v>
      </c>
      <c r="I40">
        <v>25</v>
      </c>
      <c r="J40">
        <v>3</v>
      </c>
      <c r="K40">
        <v>11</v>
      </c>
      <c r="L40">
        <v>23</v>
      </c>
      <c r="M40">
        <v>13</v>
      </c>
      <c r="O40" s="1">
        <v>0.5</v>
      </c>
      <c r="P40">
        <f>0.0083</f>
        <v>8.3000000000000001E-3</v>
      </c>
      <c r="Q40" s="2">
        <v>1.5E-3</v>
      </c>
      <c r="R40">
        <f>0.0025</f>
        <v>2.5000000000000001E-3</v>
      </c>
      <c r="S40">
        <v>1.6500000000000001E-2</v>
      </c>
      <c r="T40" s="2">
        <v>3.3999999999999998E-3</v>
      </c>
      <c r="U40">
        <v>1.5900000000000001E-2</v>
      </c>
      <c r="V40">
        <v>5.6800000000000003E-2</v>
      </c>
      <c r="W40">
        <v>1.03E-2</v>
      </c>
      <c r="X40">
        <v>1.38E-2</v>
      </c>
      <c r="Y40">
        <v>6.6E-3</v>
      </c>
      <c r="Z40">
        <v>3.27E-2</v>
      </c>
      <c r="AA40">
        <v>1.6899999999999998E-2</v>
      </c>
      <c r="AC40">
        <v>5</v>
      </c>
    </row>
    <row r="41" spans="1:29" x14ac:dyDescent="0.3">
      <c r="A41" s="1">
        <v>0.6</v>
      </c>
      <c r="B41">
        <v>36</v>
      </c>
      <c r="C41">
        <v>8</v>
      </c>
      <c r="D41">
        <v>25</v>
      </c>
      <c r="E41">
        <v>37</v>
      </c>
      <c r="F41">
        <v>12</v>
      </c>
      <c r="G41">
        <v>30</v>
      </c>
      <c r="H41">
        <v>1</v>
      </c>
      <c r="I41">
        <v>15</v>
      </c>
      <c r="J41">
        <v>1</v>
      </c>
      <c r="K41">
        <v>6</v>
      </c>
      <c r="L41">
        <v>25</v>
      </c>
      <c r="M41">
        <v>7</v>
      </c>
      <c r="O41" s="1">
        <v>0.6</v>
      </c>
      <c r="P41">
        <v>0.01</v>
      </c>
      <c r="Q41" s="2">
        <v>1.6999999999999999E-3</v>
      </c>
      <c r="R41">
        <v>5.7999999999999996E-3</v>
      </c>
      <c r="S41">
        <v>2.5999999999999999E-2</v>
      </c>
      <c r="T41" s="2">
        <v>9.4000000000000004E-3</v>
      </c>
      <c r="U41">
        <v>2.6599999999999999E-2</v>
      </c>
      <c r="V41">
        <v>0.11</v>
      </c>
      <c r="W41">
        <f>0.0085</f>
        <v>8.5000000000000006E-3</v>
      </c>
      <c r="X41">
        <v>8.7499999999999994E-2</v>
      </c>
      <c r="Y41">
        <v>8.6999999999999994E-3</v>
      </c>
      <c r="Z41">
        <v>3.5000000000000003E-2</v>
      </c>
      <c r="AA41">
        <v>1.46E-2</v>
      </c>
      <c r="AC41">
        <v>5</v>
      </c>
    </row>
    <row r="42" spans="1:29" x14ac:dyDescent="0.3">
      <c r="A42" s="1">
        <v>0.65</v>
      </c>
      <c r="B42">
        <v>42</v>
      </c>
      <c r="C42">
        <v>8</v>
      </c>
      <c r="D42">
        <v>32</v>
      </c>
      <c r="E42">
        <v>40</v>
      </c>
      <c r="F42">
        <v>11</v>
      </c>
      <c r="G42">
        <v>34</v>
      </c>
      <c r="H42">
        <v>1</v>
      </c>
      <c r="I42">
        <v>10</v>
      </c>
      <c r="J42">
        <v>1</v>
      </c>
      <c r="K42">
        <v>4</v>
      </c>
      <c r="L42">
        <v>25</v>
      </c>
      <c r="M42">
        <v>6</v>
      </c>
      <c r="O42" s="1">
        <v>0.65</v>
      </c>
      <c r="P42">
        <v>7.3000000000000001E-3</v>
      </c>
      <c r="Q42" s="2">
        <v>1.6999999999999999E-3</v>
      </c>
      <c r="R42">
        <v>9.7000000000000003E-3</v>
      </c>
      <c r="S42">
        <v>2.1600000000000001E-2</v>
      </c>
      <c r="T42" s="2">
        <v>9.1000000000000004E-3</v>
      </c>
      <c r="U42">
        <v>2.9499999999999998E-2</v>
      </c>
      <c r="V42">
        <v>0.1101</v>
      </c>
      <c r="W42">
        <v>1.6299999999999999E-2</v>
      </c>
      <c r="X42">
        <v>8.8200000000000001E-2</v>
      </c>
      <c r="Y42">
        <v>6.7000000000000002E-3</v>
      </c>
      <c r="Z42">
        <v>3.56E-2</v>
      </c>
      <c r="AA42">
        <v>7.7999999999999996E-3</v>
      </c>
      <c r="AC42">
        <v>5</v>
      </c>
    </row>
    <row r="43" spans="1:29" x14ac:dyDescent="0.3">
      <c r="A43" s="1">
        <v>0.7</v>
      </c>
      <c r="B43">
        <v>35</v>
      </c>
      <c r="C43">
        <v>17</v>
      </c>
      <c r="D43">
        <v>46</v>
      </c>
      <c r="E43">
        <v>32</v>
      </c>
      <c r="F43">
        <v>17</v>
      </c>
      <c r="G43">
        <v>35</v>
      </c>
      <c r="H43">
        <v>1</v>
      </c>
      <c r="I43">
        <v>3</v>
      </c>
      <c r="J43">
        <v>1</v>
      </c>
      <c r="K43">
        <v>3</v>
      </c>
      <c r="L43">
        <v>13</v>
      </c>
      <c r="M43">
        <v>6</v>
      </c>
      <c r="O43" s="1">
        <v>0.7</v>
      </c>
      <c r="P43">
        <f>0.0005</f>
        <v>5.0000000000000001E-4</v>
      </c>
      <c r="Q43">
        <v>3.5999999999999999E-3</v>
      </c>
      <c r="R43">
        <v>8.3000000000000001E-3</v>
      </c>
      <c r="S43">
        <v>1.3100000000000001E-2</v>
      </c>
      <c r="T43">
        <v>1.6500000000000001E-2</v>
      </c>
      <c r="U43">
        <v>2.86E-2</v>
      </c>
      <c r="V43">
        <v>0.1101</v>
      </c>
      <c r="W43">
        <v>2.93E-2</v>
      </c>
      <c r="X43">
        <v>8.8200000000000001E-2</v>
      </c>
      <c r="Y43">
        <v>3.3E-3</v>
      </c>
      <c r="Z43">
        <v>1.6400000000000001E-2</v>
      </c>
      <c r="AA43">
        <v>1.0800000000000001E-2</v>
      </c>
      <c r="AC43">
        <v>5</v>
      </c>
    </row>
    <row r="44" spans="1:29" x14ac:dyDescent="0.3">
      <c r="A44" s="1">
        <v>0.75</v>
      </c>
      <c r="B44">
        <v>17</v>
      </c>
      <c r="C44">
        <v>25</v>
      </c>
      <c r="D44">
        <v>24</v>
      </c>
      <c r="E44">
        <v>17</v>
      </c>
      <c r="F44">
        <v>30</v>
      </c>
      <c r="G44">
        <v>25</v>
      </c>
      <c r="H44">
        <v>1</v>
      </c>
      <c r="I44">
        <v>1</v>
      </c>
      <c r="J44">
        <v>1</v>
      </c>
      <c r="K44">
        <v>1</v>
      </c>
      <c r="L44">
        <v>7</v>
      </c>
      <c r="M44">
        <v>2</v>
      </c>
      <c r="O44" s="1">
        <v>0.75</v>
      </c>
      <c r="P44">
        <f>0.0054</f>
        <v>5.4000000000000003E-3</v>
      </c>
      <c r="Q44">
        <v>7.7000000000000002E-3</v>
      </c>
      <c r="R44">
        <v>9.1000000000000004E-3</v>
      </c>
      <c r="S44">
        <v>6.8999999999999999E-3</v>
      </c>
      <c r="T44">
        <v>2.1600000000000001E-2</v>
      </c>
      <c r="U44">
        <v>1.6E-2</v>
      </c>
      <c r="V44">
        <v>0.11</v>
      </c>
      <c r="W44">
        <v>5.4100000000000002E-2</v>
      </c>
      <c r="X44">
        <v>8.8200000000000001E-2</v>
      </c>
      <c r="Y44">
        <v>6.3E-3</v>
      </c>
      <c r="Z44">
        <v>1.26E-2</v>
      </c>
      <c r="AA44">
        <v>4.5999999999999999E-3</v>
      </c>
      <c r="AC44">
        <v>5</v>
      </c>
    </row>
    <row r="45" spans="1:29" x14ac:dyDescent="0.3">
      <c r="A45" s="1">
        <v>0.8</v>
      </c>
      <c r="B45">
        <v>6</v>
      </c>
      <c r="C45">
        <v>37</v>
      </c>
      <c r="D45">
        <v>17</v>
      </c>
      <c r="E45">
        <v>6</v>
      </c>
      <c r="F45">
        <v>38</v>
      </c>
      <c r="G45">
        <v>22</v>
      </c>
      <c r="H45">
        <v>1</v>
      </c>
      <c r="I45">
        <v>1</v>
      </c>
      <c r="J45">
        <v>1</v>
      </c>
      <c r="K45">
        <v>1</v>
      </c>
      <c r="L45">
        <v>7</v>
      </c>
      <c r="M45">
        <v>1</v>
      </c>
      <c r="O45" s="1">
        <v>0.8</v>
      </c>
      <c r="P45">
        <v>4.3E-3</v>
      </c>
      <c r="Q45">
        <v>1.2200000000000001E-2</v>
      </c>
      <c r="R45">
        <v>6.1000000000000004E-3</v>
      </c>
      <c r="S45">
        <v>6.0000000000000001E-3</v>
      </c>
      <c r="T45">
        <v>2.3800000000000002E-2</v>
      </c>
      <c r="U45">
        <v>9.2999999999999992E-3</v>
      </c>
      <c r="V45">
        <v>0.11</v>
      </c>
      <c r="W45">
        <v>5.45E-2</v>
      </c>
      <c r="X45">
        <v>8.8200000000000001E-2</v>
      </c>
      <c r="Y45">
        <v>6.8999999999999999E-3</v>
      </c>
      <c r="Z45">
        <v>6.7000000000000002E-3</v>
      </c>
      <c r="AA45">
        <v>5.0000000000000001E-3</v>
      </c>
      <c r="AC45">
        <v>5</v>
      </c>
    </row>
    <row r="46" spans="1:29" x14ac:dyDescent="0.3">
      <c r="A46" s="1">
        <v>0.85</v>
      </c>
      <c r="B46">
        <v>1</v>
      </c>
      <c r="C46">
        <v>39</v>
      </c>
      <c r="D46">
        <v>4</v>
      </c>
      <c r="E46">
        <v>1</v>
      </c>
      <c r="F46">
        <v>31</v>
      </c>
      <c r="G46">
        <v>3</v>
      </c>
      <c r="H46">
        <v>1</v>
      </c>
      <c r="I46">
        <v>1</v>
      </c>
      <c r="J46">
        <v>1</v>
      </c>
      <c r="K46">
        <v>1</v>
      </c>
      <c r="L46">
        <v>4</v>
      </c>
      <c r="M46">
        <v>1</v>
      </c>
      <c r="O46" s="1">
        <v>0.85</v>
      </c>
      <c r="P46">
        <v>5.4000000000000003E-3</v>
      </c>
      <c r="Q46">
        <v>1.2999999999999999E-2</v>
      </c>
      <c r="R46">
        <v>2.7000000000000001E-3</v>
      </c>
      <c r="S46">
        <v>6.7999999999999996E-3</v>
      </c>
      <c r="T46">
        <v>1.61E-2</v>
      </c>
      <c r="U46">
        <v>4.7999999999999996E-3</v>
      </c>
      <c r="V46">
        <v>0.1099</v>
      </c>
      <c r="W46">
        <v>5.45E-2</v>
      </c>
      <c r="X46">
        <v>8.8200000000000001E-2</v>
      </c>
      <c r="Y46">
        <v>7.4000000000000003E-3</v>
      </c>
      <c r="Z46">
        <v>6.0000000000000001E-3</v>
      </c>
      <c r="AA46">
        <v>5.4999999999999997E-3</v>
      </c>
      <c r="AC46">
        <v>5</v>
      </c>
    </row>
    <row r="47" spans="1:29" x14ac:dyDescent="0.3">
      <c r="A47" s="1">
        <v>0.9</v>
      </c>
      <c r="B47">
        <v>1</v>
      </c>
      <c r="C47">
        <v>10</v>
      </c>
      <c r="D47">
        <v>1</v>
      </c>
      <c r="E47">
        <v>1</v>
      </c>
      <c r="F47">
        <v>7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O47" s="1">
        <v>0.9</v>
      </c>
      <c r="P47">
        <v>5.4999999999999997E-3</v>
      </c>
      <c r="Q47">
        <v>4.0000000000000001E-3</v>
      </c>
      <c r="R47">
        <v>4.3E-3</v>
      </c>
      <c r="S47">
        <v>6.7999999999999996E-3</v>
      </c>
      <c r="T47">
        <v>5.5999999999999999E-3</v>
      </c>
      <c r="U47">
        <v>5.4999999999999997E-3</v>
      </c>
      <c r="V47">
        <v>0.1099</v>
      </c>
      <c r="W47">
        <v>5.45E-2</v>
      </c>
      <c r="X47">
        <v>8.8099999999999998E-2</v>
      </c>
      <c r="Y47">
        <v>7.3000000000000001E-3</v>
      </c>
      <c r="Z47">
        <v>3.3E-3</v>
      </c>
      <c r="AA47">
        <v>5.5999999999999999E-3</v>
      </c>
      <c r="AC47">
        <v>5</v>
      </c>
    </row>
    <row r="48" spans="1:29" x14ac:dyDescent="0.3">
      <c r="A48" s="1">
        <v>0.95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O48" s="1">
        <v>0.95</v>
      </c>
      <c r="P48">
        <v>5.4999999999999997E-3</v>
      </c>
      <c r="Q48">
        <v>2.3E-3</v>
      </c>
      <c r="R48">
        <v>4.1999999999999997E-3</v>
      </c>
      <c r="S48">
        <v>6.7000000000000002E-3</v>
      </c>
      <c r="T48">
        <v>3.2000000000000002E-3</v>
      </c>
      <c r="U48">
        <v>5.3E-3</v>
      </c>
      <c r="V48">
        <v>0.1099</v>
      </c>
      <c r="W48">
        <v>5.4399999999999997E-2</v>
      </c>
      <c r="X48">
        <v>8.8099999999999998E-2</v>
      </c>
      <c r="Y48">
        <v>7.1999999999999998E-3</v>
      </c>
      <c r="Z48">
        <v>3.3999999999999998E-3</v>
      </c>
      <c r="AA48">
        <v>5.4999999999999997E-3</v>
      </c>
      <c r="AC48">
        <v>5</v>
      </c>
    </row>
    <row r="49" spans="1:29" x14ac:dyDescent="0.3">
      <c r="A49" s="1">
        <v>0.99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O49" s="1">
        <v>0.99</v>
      </c>
      <c r="P49">
        <v>5.4000000000000003E-3</v>
      </c>
      <c r="Q49">
        <v>2.2000000000000001E-3</v>
      </c>
      <c r="R49">
        <v>4.0000000000000001E-3</v>
      </c>
      <c r="S49">
        <v>6.7000000000000002E-3</v>
      </c>
      <c r="T49">
        <v>3.0000000000000001E-3</v>
      </c>
      <c r="U49">
        <v>5.1999999999999998E-3</v>
      </c>
      <c r="V49">
        <v>0.1099</v>
      </c>
      <c r="W49">
        <v>5.4399999999999997E-2</v>
      </c>
      <c r="X49">
        <v>8.8099999999999998E-2</v>
      </c>
      <c r="Y49">
        <v>7.1999999999999998E-3</v>
      </c>
      <c r="Z49">
        <v>3.3E-3</v>
      </c>
      <c r="AA49">
        <v>5.4000000000000003E-3</v>
      </c>
      <c r="AC49">
        <v>5</v>
      </c>
    </row>
    <row r="52" spans="1:29" x14ac:dyDescent="0.3">
      <c r="A52" t="s">
        <v>16</v>
      </c>
    </row>
    <row r="53" spans="1:29" x14ac:dyDescent="0.3">
      <c r="A53" t="s">
        <v>32</v>
      </c>
      <c r="O53" t="s">
        <v>13</v>
      </c>
    </row>
    <row r="54" spans="1:29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31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O54" t="s">
        <v>0</v>
      </c>
      <c r="P54" t="s">
        <v>1</v>
      </c>
      <c r="Q54" t="s">
        <v>2</v>
      </c>
      <c r="R54" t="s">
        <v>3</v>
      </c>
      <c r="S54" t="s">
        <v>4</v>
      </c>
      <c r="T54" t="s">
        <v>31</v>
      </c>
      <c r="U54" t="s">
        <v>5</v>
      </c>
      <c r="V54" t="s">
        <v>6</v>
      </c>
      <c r="W54" t="s">
        <v>7</v>
      </c>
      <c r="X54" t="s">
        <v>8</v>
      </c>
      <c r="Y54" t="s">
        <v>9</v>
      </c>
      <c r="Z54" t="s">
        <v>10</v>
      </c>
      <c r="AA54" t="s">
        <v>11</v>
      </c>
    </row>
    <row r="55" spans="1:29" x14ac:dyDescent="0.3">
      <c r="A55" s="1">
        <v>0.3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O55" s="1">
        <v>0.3</v>
      </c>
      <c r="P55" s="2">
        <v>-1</v>
      </c>
      <c r="Q55" s="2">
        <v>-1</v>
      </c>
      <c r="R55" s="2">
        <v>-1</v>
      </c>
      <c r="S55" s="2">
        <v>-1</v>
      </c>
      <c r="T55" s="2">
        <v>-1</v>
      </c>
      <c r="U55" s="2">
        <v>-1</v>
      </c>
      <c r="V55" s="2">
        <v>8.0000000000000002E-3</v>
      </c>
      <c r="W55" s="2">
        <v>-1</v>
      </c>
      <c r="X55" s="2">
        <v>2.7E-2</v>
      </c>
      <c r="Y55" s="2">
        <v>-1</v>
      </c>
      <c r="Z55" s="2">
        <v>-1</v>
      </c>
      <c r="AA55" s="2">
        <v>-1</v>
      </c>
      <c r="AC55">
        <v>30</v>
      </c>
    </row>
    <row r="56" spans="1:29" x14ac:dyDescent="0.3">
      <c r="A56" s="1">
        <v>0.4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2</v>
      </c>
      <c r="I56">
        <v>2</v>
      </c>
      <c r="J56">
        <v>1</v>
      </c>
      <c r="K56">
        <v>0</v>
      </c>
      <c r="L56">
        <v>0</v>
      </c>
      <c r="M56">
        <v>0</v>
      </c>
      <c r="O56" s="1">
        <v>0.4</v>
      </c>
      <c r="P56" s="2">
        <v>-1</v>
      </c>
      <c r="Q56" s="2">
        <v>-1</v>
      </c>
      <c r="R56" s="2">
        <v>-1</v>
      </c>
      <c r="S56" s="2">
        <f>0.0016</f>
        <v>1.6000000000000001E-3</v>
      </c>
      <c r="T56" s="2">
        <v>-1</v>
      </c>
      <c r="U56" s="2">
        <f>0.004</f>
        <v>4.0000000000000001E-3</v>
      </c>
      <c r="V56">
        <v>4.2999999999999997E-2</v>
      </c>
      <c r="W56" s="2">
        <f>0.0199</f>
        <v>1.9900000000000001E-2</v>
      </c>
      <c r="X56">
        <v>6.7599999999999993E-2</v>
      </c>
      <c r="Y56" s="2">
        <v>-1</v>
      </c>
      <c r="Z56" s="2">
        <v>-1</v>
      </c>
      <c r="AA56" s="2">
        <v>-1</v>
      </c>
      <c r="AC56">
        <v>30</v>
      </c>
    </row>
    <row r="57" spans="1:29" x14ac:dyDescent="0.3">
      <c r="A57" s="1">
        <v>0.5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4</v>
      </c>
      <c r="I57">
        <v>1</v>
      </c>
      <c r="J57">
        <v>3</v>
      </c>
      <c r="K57">
        <v>0</v>
      </c>
      <c r="L57">
        <v>0</v>
      </c>
      <c r="M57">
        <v>0</v>
      </c>
      <c r="O57" s="1">
        <v>0.5</v>
      </c>
      <c r="P57" s="2">
        <v>-1</v>
      </c>
      <c r="Q57" s="2">
        <v>-1</v>
      </c>
      <c r="R57" s="2">
        <v>-1</v>
      </c>
      <c r="S57" s="2">
        <v>1.32E-2</v>
      </c>
      <c r="T57" s="2">
        <v>-1</v>
      </c>
      <c r="U57" s="2">
        <v>5.8999999999999999E-3</v>
      </c>
      <c r="V57">
        <v>8.2600000000000007E-2</v>
      </c>
      <c r="W57">
        <v>3.6799999999999999E-2</v>
      </c>
      <c r="X57">
        <v>8.4099999999999994E-2</v>
      </c>
      <c r="Y57" s="2">
        <v>-1</v>
      </c>
      <c r="Z57" s="2">
        <v>-1</v>
      </c>
      <c r="AA57" s="2">
        <v>-1</v>
      </c>
      <c r="AC57">
        <v>30</v>
      </c>
    </row>
    <row r="58" spans="1:29" x14ac:dyDescent="0.3">
      <c r="A58" s="1">
        <v>0.6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2</v>
      </c>
      <c r="L58">
        <v>0</v>
      </c>
      <c r="M58">
        <v>2</v>
      </c>
      <c r="O58" s="1">
        <v>0.6</v>
      </c>
      <c r="P58" s="2">
        <v>-1</v>
      </c>
      <c r="Q58" s="2">
        <v>-1</v>
      </c>
      <c r="R58" s="2">
        <v>-1</v>
      </c>
      <c r="S58" s="2">
        <v>1.7500000000000002E-2</v>
      </c>
      <c r="T58" s="2">
        <v>3.0000000000000001E-3</v>
      </c>
      <c r="U58" s="2">
        <v>1.49E-2</v>
      </c>
      <c r="V58">
        <v>0.1096</v>
      </c>
      <c r="W58">
        <v>5.62E-2</v>
      </c>
      <c r="X58">
        <v>8.8999999999999996E-2</v>
      </c>
      <c r="Y58" s="2">
        <v>6.7999999999999996E-3</v>
      </c>
      <c r="Z58" s="2">
        <v>-1</v>
      </c>
      <c r="AA58" s="2">
        <v>6.3E-3</v>
      </c>
      <c r="AC58">
        <v>30</v>
      </c>
    </row>
    <row r="59" spans="1:29" x14ac:dyDescent="0.3">
      <c r="A59" s="1">
        <v>0.65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2</v>
      </c>
      <c r="J59">
        <v>1</v>
      </c>
      <c r="K59">
        <v>2</v>
      </c>
      <c r="L59">
        <v>0</v>
      </c>
      <c r="M59">
        <v>1</v>
      </c>
      <c r="O59" s="1">
        <v>0.65</v>
      </c>
      <c r="P59" s="2">
        <v>-1</v>
      </c>
      <c r="Q59" s="2">
        <v>-1</v>
      </c>
      <c r="R59" s="2">
        <v>-1</v>
      </c>
      <c r="S59" s="2">
        <v>1.78E-2</v>
      </c>
      <c r="T59" s="2">
        <v>4.1999999999999997E-3</v>
      </c>
      <c r="U59" s="2">
        <v>1.5900000000000001E-2</v>
      </c>
      <c r="V59">
        <v>0.1113</v>
      </c>
      <c r="W59">
        <v>5.8400000000000001E-2</v>
      </c>
      <c r="X59">
        <v>9.4700000000000006E-2</v>
      </c>
      <c r="Y59" s="2">
        <v>7.9000000000000008E-3</v>
      </c>
      <c r="Z59" s="2">
        <v>-1</v>
      </c>
      <c r="AA59" s="2">
        <v>4.4000000000000003E-3</v>
      </c>
      <c r="AC59">
        <v>30</v>
      </c>
    </row>
    <row r="60" spans="1:29" x14ac:dyDescent="0.3">
      <c r="A60" s="1">
        <v>0.7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3</v>
      </c>
      <c r="J60">
        <v>1</v>
      </c>
      <c r="K60">
        <v>1</v>
      </c>
      <c r="L60">
        <v>0</v>
      </c>
      <c r="M60">
        <v>1</v>
      </c>
      <c r="O60" s="1">
        <v>0.7</v>
      </c>
      <c r="P60" s="2">
        <v>-1</v>
      </c>
      <c r="Q60" s="2">
        <v>-1</v>
      </c>
      <c r="R60" s="2">
        <v>-1</v>
      </c>
      <c r="S60" s="2">
        <v>1.6899999999999998E-2</v>
      </c>
      <c r="T60" s="2">
        <v>8.5000000000000006E-3</v>
      </c>
      <c r="U60" s="2">
        <v>1.6400000000000001E-2</v>
      </c>
      <c r="V60">
        <v>0.11020000000000001</v>
      </c>
      <c r="W60">
        <v>6.3799999999999996E-2</v>
      </c>
      <c r="X60">
        <v>9.0399999999999994E-2</v>
      </c>
      <c r="Y60" s="2">
        <v>6.4000000000000003E-3</v>
      </c>
      <c r="Z60" s="2">
        <v>-1</v>
      </c>
      <c r="AA60" s="2">
        <v>4.4999999999999997E-3</v>
      </c>
      <c r="AC60">
        <v>30</v>
      </c>
    </row>
    <row r="61" spans="1:29" x14ac:dyDescent="0.3">
      <c r="A61" s="1">
        <v>0.75</v>
      </c>
      <c r="B61">
        <v>1</v>
      </c>
      <c r="C61">
        <v>0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2</v>
      </c>
      <c r="M61">
        <v>1</v>
      </c>
      <c r="O61" s="1">
        <v>0.75</v>
      </c>
      <c r="P61" s="2">
        <f>0.0008</f>
        <v>8.0000000000000004E-4</v>
      </c>
      <c r="Q61" s="2">
        <v>-1</v>
      </c>
      <c r="R61" s="2">
        <v>-1</v>
      </c>
      <c r="S61" s="2">
        <v>1.6E-2</v>
      </c>
      <c r="T61" s="2">
        <v>0.01</v>
      </c>
      <c r="U61" s="2">
        <v>1.61E-2</v>
      </c>
      <c r="V61">
        <v>0.11</v>
      </c>
      <c r="W61">
        <v>5.6800000000000003E-2</v>
      </c>
      <c r="X61">
        <v>8.8400000000000006E-2</v>
      </c>
      <c r="Y61" s="2">
        <v>6.4999999999999997E-3</v>
      </c>
      <c r="Z61" s="2">
        <v>6.0000000000000001E-3</v>
      </c>
      <c r="AA61" s="2">
        <v>4.7999999999999996E-3</v>
      </c>
      <c r="AC61">
        <v>30</v>
      </c>
    </row>
    <row r="62" spans="1:29" x14ac:dyDescent="0.3">
      <c r="A62" s="1">
        <v>0.8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O62" s="1">
        <v>0.8</v>
      </c>
      <c r="P62" s="2">
        <v>4.8999999999999998E-3</v>
      </c>
      <c r="Q62" s="2">
        <v>-1</v>
      </c>
      <c r="R62" s="2">
        <v>8.0000000000000004E-4</v>
      </c>
      <c r="S62" s="2">
        <v>1.3100000000000001E-2</v>
      </c>
      <c r="T62" s="2">
        <v>1.0699999999999999E-2</v>
      </c>
      <c r="U62" s="2">
        <v>1.46E-2</v>
      </c>
      <c r="V62">
        <v>0.11</v>
      </c>
      <c r="W62">
        <v>5.6300000000000003E-2</v>
      </c>
      <c r="X62">
        <v>8.8200000000000001E-2</v>
      </c>
      <c r="Y62" s="2">
        <v>7.1999999999999998E-3</v>
      </c>
      <c r="Z62" s="2">
        <v>3.2000000000000002E-3</v>
      </c>
      <c r="AA62" s="2">
        <v>5.1000000000000004E-3</v>
      </c>
      <c r="AC62">
        <v>30</v>
      </c>
    </row>
    <row r="63" spans="1:29" x14ac:dyDescent="0.3">
      <c r="A63" s="1">
        <v>0.85</v>
      </c>
      <c r="B63">
        <v>2</v>
      </c>
      <c r="C63">
        <v>0</v>
      </c>
      <c r="D63">
        <v>1</v>
      </c>
      <c r="E63">
        <v>2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O63" s="1">
        <v>0.85</v>
      </c>
      <c r="P63" s="2">
        <v>4.1999999999999997E-3</v>
      </c>
      <c r="Q63" s="2">
        <v>-1</v>
      </c>
      <c r="R63" s="2">
        <v>4.4999999999999997E-3</v>
      </c>
      <c r="S63" s="2">
        <v>8.0000000000000002E-3</v>
      </c>
      <c r="T63" s="2">
        <v>1.04E-2</v>
      </c>
      <c r="U63" s="2">
        <v>1.1299999999999999E-2</v>
      </c>
      <c r="V63">
        <v>0.1099</v>
      </c>
      <c r="W63">
        <v>5.4800000000000001E-2</v>
      </c>
      <c r="X63">
        <v>8.8200000000000001E-2</v>
      </c>
      <c r="Y63" s="2">
        <v>7.6E-3</v>
      </c>
      <c r="Z63" s="2">
        <v>3.3E-3</v>
      </c>
      <c r="AA63" s="2">
        <v>5.5999999999999999E-3</v>
      </c>
      <c r="AC63">
        <v>30</v>
      </c>
    </row>
    <row r="64" spans="1:29" x14ac:dyDescent="0.3">
      <c r="A64" s="1">
        <v>0.9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O64" s="1">
        <v>0.9</v>
      </c>
      <c r="P64" s="2">
        <v>5.7999999999999996E-3</v>
      </c>
      <c r="Q64" s="2">
        <v>1.9E-3</v>
      </c>
      <c r="R64" s="2">
        <v>4.3E-3</v>
      </c>
      <c r="S64" s="2">
        <v>7.1999999999999998E-3</v>
      </c>
      <c r="T64" s="2">
        <v>8.0999999999999996E-3</v>
      </c>
      <c r="U64" s="2">
        <v>6.4000000000000003E-3</v>
      </c>
      <c r="V64">
        <v>0.1099</v>
      </c>
      <c r="W64">
        <v>5.45E-2</v>
      </c>
      <c r="X64">
        <v>8.8099999999999998E-2</v>
      </c>
      <c r="Y64">
        <v>7.4000000000000003E-3</v>
      </c>
      <c r="Z64" s="2">
        <v>3.3E-3</v>
      </c>
      <c r="AA64" s="2">
        <v>5.7999999999999996E-3</v>
      </c>
      <c r="AC64">
        <v>30</v>
      </c>
    </row>
    <row r="65" spans="1:29" x14ac:dyDescent="0.3">
      <c r="A65" s="1">
        <v>0.95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O65" s="1">
        <v>0.95</v>
      </c>
      <c r="P65">
        <v>5.4999999999999997E-3</v>
      </c>
      <c r="Q65" s="2">
        <v>2.5000000000000001E-3</v>
      </c>
      <c r="R65">
        <v>4.3E-3</v>
      </c>
      <c r="S65">
        <v>6.7999999999999996E-3</v>
      </c>
      <c r="T65" s="2">
        <v>3.7000000000000002E-3</v>
      </c>
      <c r="U65">
        <v>5.4999999999999997E-3</v>
      </c>
      <c r="V65">
        <v>0.1099</v>
      </c>
      <c r="W65">
        <v>5.4399999999999997E-2</v>
      </c>
      <c r="X65">
        <v>8.8099999999999998E-2</v>
      </c>
      <c r="Y65">
        <v>7.3000000000000001E-3</v>
      </c>
      <c r="Z65" s="2">
        <v>3.5000000000000001E-3</v>
      </c>
      <c r="AA65">
        <v>5.5999999999999999E-3</v>
      </c>
      <c r="AC65">
        <v>30</v>
      </c>
    </row>
    <row r="66" spans="1:29" x14ac:dyDescent="0.3">
      <c r="A66" s="1">
        <v>0.99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O66" s="1">
        <v>0.99</v>
      </c>
      <c r="P66">
        <v>5.4999999999999997E-3</v>
      </c>
      <c r="Q66">
        <v>2.2000000000000001E-3</v>
      </c>
      <c r="R66">
        <v>4.1000000000000003E-3</v>
      </c>
      <c r="S66">
        <v>6.7000000000000002E-3</v>
      </c>
      <c r="T66">
        <v>3.0999999999999999E-3</v>
      </c>
      <c r="U66">
        <v>5.3E-3</v>
      </c>
      <c r="V66">
        <v>0.1099</v>
      </c>
      <c r="W66">
        <v>5.4399999999999997E-2</v>
      </c>
      <c r="X66">
        <v>8.8099999999999998E-2</v>
      </c>
      <c r="Y66">
        <v>7.1999999999999998E-3</v>
      </c>
      <c r="Z66">
        <v>3.3999999999999998E-3</v>
      </c>
      <c r="AA66">
        <v>5.4999999999999997E-3</v>
      </c>
      <c r="AC66">
        <v>30</v>
      </c>
    </row>
    <row r="70" spans="1:29" ht="15" thickBot="1" x14ac:dyDescent="0.35">
      <c r="B70" s="5" t="s">
        <v>17</v>
      </c>
      <c r="C70" s="5" t="s">
        <v>18</v>
      </c>
      <c r="D70" s="5" t="s">
        <v>19</v>
      </c>
      <c r="E70" s="5" t="s">
        <v>20</v>
      </c>
      <c r="F70" s="5" t="s">
        <v>21</v>
      </c>
      <c r="G70" s="5" t="s">
        <v>22</v>
      </c>
      <c r="H70" s="5" t="s">
        <v>23</v>
      </c>
      <c r="I70" s="5" t="s">
        <v>24</v>
      </c>
      <c r="J70" s="5" t="s">
        <v>25</v>
      </c>
      <c r="K70" s="5" t="s">
        <v>26</v>
      </c>
      <c r="L70" s="5" t="s">
        <v>27</v>
      </c>
      <c r="M70" s="5" t="s">
        <v>28</v>
      </c>
    </row>
    <row r="71" spans="1:29" x14ac:dyDescent="0.3">
      <c r="A71" s="6" t="s">
        <v>29</v>
      </c>
      <c r="B71">
        <f xml:space="preserve"> INDEX($AC4:$AC66,MATCH(MAX(P4:P66),P4:P66,0),0)</f>
        <v>2</v>
      </c>
      <c r="C71">
        <f t="shared" ref="C71:M71" si="0" xml:space="preserve"> INDEX($AC4:$AC66,MATCH(MAX(Q4:Q66),Q4:Q66,0),0)</f>
        <v>2</v>
      </c>
      <c r="D71">
        <f t="shared" si="0"/>
        <v>2</v>
      </c>
      <c r="E71">
        <f t="shared" si="0"/>
        <v>2</v>
      </c>
      <c r="F71">
        <f t="shared" si="0"/>
        <v>2</v>
      </c>
      <c r="G71">
        <f t="shared" si="0"/>
        <v>2</v>
      </c>
      <c r="H71">
        <f t="shared" si="0"/>
        <v>30</v>
      </c>
      <c r="I71">
        <f t="shared" si="0"/>
        <v>2</v>
      </c>
      <c r="J71">
        <f t="shared" si="0"/>
        <v>30</v>
      </c>
      <c r="K71">
        <f t="shared" si="0"/>
        <v>2</v>
      </c>
      <c r="L71">
        <f t="shared" si="0"/>
        <v>2</v>
      </c>
      <c r="M71">
        <f t="shared" si="0"/>
        <v>2</v>
      </c>
    </row>
    <row r="72" spans="1:29" x14ac:dyDescent="0.3">
      <c r="A72" s="6" t="s">
        <v>0</v>
      </c>
      <c r="B72">
        <f xml:space="preserve"> INDEX($A4:$A66,MATCH(MAX(P4:P66),P4:P66,0),0)</f>
        <v>0.6</v>
      </c>
      <c r="C72">
        <f t="shared" ref="C72:M72" si="1" xml:space="preserve"> INDEX($A4:$A66,MATCH(MAX(Q4:Q66),Q4:Q66,0),0)</f>
        <v>0.7</v>
      </c>
      <c r="D72">
        <f t="shared" si="1"/>
        <v>0.65</v>
      </c>
      <c r="E72">
        <f t="shared" si="1"/>
        <v>0.5</v>
      </c>
      <c r="F72">
        <f t="shared" si="1"/>
        <v>0.75</v>
      </c>
      <c r="G72">
        <f t="shared" si="1"/>
        <v>0.6</v>
      </c>
      <c r="H72">
        <f t="shared" si="1"/>
        <v>0.65</v>
      </c>
      <c r="I72">
        <f t="shared" si="1"/>
        <v>0.4</v>
      </c>
      <c r="J72">
        <f t="shared" si="1"/>
        <v>0.65</v>
      </c>
      <c r="K72">
        <f t="shared" si="1"/>
        <v>0.4</v>
      </c>
      <c r="L72">
        <f t="shared" si="1"/>
        <v>0.4</v>
      </c>
      <c r="M72">
        <f t="shared" si="1"/>
        <v>0.4</v>
      </c>
    </row>
    <row r="73" spans="1:29" x14ac:dyDescent="0.3">
      <c r="A73" s="6" t="s">
        <v>30</v>
      </c>
      <c r="B73">
        <f xml:space="preserve"> MAX(P4:P66)</f>
        <v>7.4700000000000003E-2</v>
      </c>
      <c r="C73">
        <f t="shared" ref="C73:M73" si="2" xml:space="preserve"> MAX(Q4:Q66)</f>
        <v>7.7799999999999994E-2</v>
      </c>
      <c r="D73">
        <f t="shared" si="2"/>
        <v>9.0800000000000006E-2</v>
      </c>
      <c r="E73">
        <f t="shared" si="2"/>
        <v>8.3699999999999997E-2</v>
      </c>
      <c r="F73">
        <f t="shared" si="2"/>
        <v>8.8200000000000001E-2</v>
      </c>
      <c r="G73">
        <f t="shared" si="2"/>
        <v>0.10290000000000001</v>
      </c>
      <c r="H73">
        <f t="shared" si="2"/>
        <v>0.1113</v>
      </c>
      <c r="I73">
        <f t="shared" si="2"/>
        <v>9.9500000000000005E-2</v>
      </c>
      <c r="J73">
        <f t="shared" si="2"/>
        <v>9.4700000000000006E-2</v>
      </c>
      <c r="K73">
        <f t="shared" si="2"/>
        <v>4.2799999999999998E-2</v>
      </c>
      <c r="L73">
        <f t="shared" si="2"/>
        <v>7.2999999999999995E-2</v>
      </c>
      <c r="M73">
        <f t="shared" si="2"/>
        <v>5.6800000000000003E-2</v>
      </c>
    </row>
    <row r="74" spans="1:29" x14ac:dyDescent="0.3">
      <c r="A74" s="6" t="s">
        <v>32</v>
      </c>
      <c r="B74">
        <f xml:space="preserve"> INDEX(B4:B66,MATCH(MAX(P4:P66),P4:P66,0),0)</f>
        <v>210</v>
      </c>
      <c r="C74">
        <f t="shared" ref="C74:M74" si="3" xml:space="preserve"> INDEX(C4:C66,MATCH(MAX(Q4:Q66),Q4:Q66,0),0)</f>
        <v>196</v>
      </c>
      <c r="D74">
        <f t="shared" si="3"/>
        <v>222</v>
      </c>
      <c r="E74">
        <f t="shared" si="3"/>
        <v>186</v>
      </c>
      <c r="F74">
        <f t="shared" si="3"/>
        <v>191</v>
      </c>
      <c r="G74">
        <f t="shared" si="3"/>
        <v>191</v>
      </c>
      <c r="H74">
        <f t="shared" si="3"/>
        <v>1</v>
      </c>
      <c r="I74">
        <f t="shared" si="3"/>
        <v>153</v>
      </c>
      <c r="J74">
        <f t="shared" si="3"/>
        <v>1</v>
      </c>
      <c r="K74">
        <f t="shared" si="3"/>
        <v>94</v>
      </c>
      <c r="L74">
        <f t="shared" si="3"/>
        <v>93</v>
      </c>
      <c r="M74">
        <f t="shared" si="3"/>
        <v>93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F A A B Q S w M E F A A C A A g A R m d m T v 6 u n M m n A A A A + A A A A B I A H A B D b 2 5 m a W c v U G F j a 2 F n Z S 5 4 b W w g o h g A K K A U A A A A A A A A A A A A A A A A A A A A A A A A A A A A h Y + 9 D o I w G E V f h X S n P x A M I R 9 l M G 6 S m J A Y 1 6 Z W a I R i a L G 8 m 4 O P 5 C t I o q i b 4 z 0 5 w 7 m P 2 x 2 K q W u D q x q s 7 k 2 O G K Y o U E b 2 R 2 3 q H I 3 u F K a o 4 L A T 8 i x q F c y y s d l k j z l q n L t k h H j v s Y 9 x P 9 Q k o p S R Q 7 m t Z K M 6 g T 6 y / i + H 2 l g n j F S I w / 4 V w y O 8 S n A S s x i z l A F Z M J T a f J V o L s Y U y A + E 9 d i 6 c V B c 2 X B T A V k m k P c L / g R Q S w M E F A A C A A g A R m d m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n Z k 5 h 6 i s W 6 w I A A A u 0 A A A T A B w A R m 9 y b X V s Y X M v U 2 V j d G l v b j E u b S C i G A A o o B Q A A A A A A A A A A A A A A A A A A A A A A A A A A A D t 2 c t q 2 0 A Y h u G 9 w f c w K B s b V F M 7 h 5 7 w o j g t L Z S 0 x e 4 q L k G W p 4 m K p D G a U S A J u a R e R W + s 4 7 g 0 g S r d 9 + P N x r F + 6 / c I P 7 v X 2 z w U r j b z 3 e v 4 V b / X 7 / m L r L F r s 5 e c t N V Z X r Y + 2 M a b w c E w M V N T 2 t D v m f j 3 s S n O b R 2 v z P z l 6 N j l b W X r M H h b l H Y 0 c 3 W I b / w g m b 1 c f v H x 7 u W H N v / 5 I 1 v O X L X J m l C s 3 f L h 8 l H u L 5 N h e n p s y 6 I q 4 p V p k i a p m b m y r W o / H e + n 5 k 2 d u 3 V R n 0 / H k 8 N J a j 6 3 L t h 5 u C r t 9 P 7 f 0 Y m r 7 d d h u j v g X h L v y V b 2 O l s 7 b z a N q 9 x l / G K / f Y p F t o o f / 7 S 9 F u w 7 m 6 3 j I Q a 7 J 0 r N 6 e / r r 8 t y n m d l 1 v h p a N q H i x f F x p k 8 q 1 Z F 3 H 2 / b 9 F k t f / m m m p 3 8 M X V x v r B o 8 d I b 2 6 S + J A h f s r U b b W y z W 1 q b p J 4 h L N 8 O z b v 6 3 B 0 M N p u + T P 4 n u X d g 3 X R M Y h f F r p 3 x S c M T z q X 3 d 3 T v S 0 L F 9 3 b 7 i b d 2 7 a T u M 1 2 j D b F I 9 v i o H t Z H P y 9 6 3 b Y 7 x V 1 9 y / z L 8 6 H c I a z D u c j O M N Z h / M z O M N Z h / N z O M N Z h / M L O M N Z h / P 4 K Z 7 x L O R 5 j G c 8 C 3 m e 4 B n P Q p 7 3 8 Y x n I c + k Q T w r e a Y N 4 l n J M 3 E Q z 0 q e q Y N 4 V v J M H s S z k m f 6 I J 6 F P E / o g 3 h W 8 k w f x L O S Z / o g n p U 8 0 w f x r O S Z P o h n J c / 0 Q T w r e a Y P 4 l n J M 3 0 Q z 0 q e 6 Y N 4 V v J M H 8 S z k O d 9 + i C e l T z T B / G s 5 J k + i G c l z / R B P C t 5 p g / i W c k z f R D P S p 7 p g 3 h W 8 k w f x L O S Z / o g n p U 8 0 w f x L O T 5 g D 6 I Z y X P 9 E E 8 K 3 m m D + J Z y T N 9 E M 9 K n u m D e F b y T B / E s 5 J n + i C e l T z T B / G s 5 J k + i G c l z / R B P A t 5 P q Q P 4 l n J M 3 0 Q z 0 q e 6 Y N 4 V v J M H 8 S z k m f 6 I J 6 V P N M H 8 a z k m T 6 I Z y X P 9 E E 8 K 3 m m D + J Z y T N 9 E M 9 C n o / o g 3 h W 8 k w f x L O S Z / o g n p U 8 0 w f x r O S Z P o h n J c / 0 Q T w r e a Y P 4 l n J M 3 0 Q z / + b 5 1 9 Q S w E C L Q A U A A I A C A B G Z 2 Z O / q 6 c y a c A A A D 4 A A A A E g A A A A A A A A A A A A A A A A A A A A A A Q 2 9 u Z m l n L 1 B h Y 2 t h Z 2 U u e G 1 s U E s B A i 0 A F A A C A A g A R m d m T g / K 6 a u k A A A A 6 Q A A A B M A A A A A A A A A A A A A A A A A 8 w A A A F t D b 2 5 0 Z W 5 0 X 1 R 5 c G V z X S 5 4 b W x Q S w E C L Q A U A A I A C A B G Z 2 Z O Y e o r F u s C A A A L t A A A E w A A A A A A A A A A A A A A A A D k A Q A A R m 9 y b X V s Y X M v U 2 V j d G l v b j E u b V B L B Q Y A A A A A A w A D A M I A A A A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e A M A A A A A A P p 3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l F N R E F 3 T U R B d 0 1 E Q X d N R E F 3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l F N R E F 3 T U R B d 0 1 E Q X d N R E F 3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l F N R E F 3 T U R B d 0 1 E Q X d N R E F 3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2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3 O T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Y 4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t X 2 N s d X N 0 Z X J z N j k 0 N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1 b V 9 j b H V z d G V y c z Y 5 N D Y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U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M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R T U R B d 0 1 E Q X d N R E F 3 T U R B d z 0 9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M b 2 F k Z W R U b 0 F u Y W x 5 c 2 l z U 2 V y d m l j Z X M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E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c 5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j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j g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y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3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j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t X 2 N s d X N 0 Z X J z N j k 0 N j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T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M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1 b V 9 j b H V z d G V y c z Y 5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l F N R E F 3 T U R B d 0 1 E Q X d N R E F 3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j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0 N z k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y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O d W 1 f Y 2 x 1 c 3 R l c n M 2 O T Q 2 O D M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V G F y Z 2 V 0 I i B W Y W x 1 Z T 0 i c 0 5 1 b V 9 j b H V z d G V y c z Y 5 N D c z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F R h c m d l d C I g V m F s d W U 9 I n N O d W 1 f Y 2 x 1 c 3 R l c n M 2 O T Q 2 M z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z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1 M j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z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0 M j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z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z M j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z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t X 2 N s d X N 0 Z X J z N j k y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U U 1 E Q X d N R E F 3 T U R B d 0 1 E Q X c 9 P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U U 1 E Q X d N R E F 3 T U R B d 0 1 E Q X c 9 P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I 2 N D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z M j c 0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y O D Q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Q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T I 5 N D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n V t X 2 N s d X N 0 Z X J z N j k 0 N j M w N D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n V t X 2 N s d X N 0 Z X J z N j k 0 N z M x N D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j g z M j Q 4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M b 2 F k Z W R U b 0 F u Y W x 5 c 2 l z U 2 V y d m l j Z X M i I F Z h b H V l P S J s M C I g L z 4 8 R W 5 0 c n k g V H l w Z T 0 i R m l s b E N v b H V t b l R 5 c G V z I i B W Y W x 1 Z T 0 i c 0 J R T U R B d 0 1 E Q X d N R E F 3 T U R B d z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U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c 5 M z M 0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1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I 2 N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z M j c 1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1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y O D U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U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T I 5 N T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n V t X 2 N s d X N 0 Z X J z N j k 0 N j M w N T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T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n V t X 2 N s d X N 0 Z X J z N j k 0 N z M x N T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j g z M j U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M b 2 F k Z W R U b 0 F u Y W x 5 c 2 l z U 2 V y d m l j Z X M i I F Z h b H V l P S J s M C I g L z 4 8 R W 5 0 c n k g V H l w Z T 0 i R m l s b E N v b H V t b l R 5 c G V z I i B W Y W x 1 Z T 0 i c 0 J R T U R B d 0 1 E Q X d N R E F 3 T U R B d z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U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c 5 M z M 1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1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F R h c m d l d C I g V m F s d W U 9 I n N O d W 1 f Y 2 x 1 c 3 R l c n M 2 O T Q 3 O T I 1 N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j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U Y X J n Z X Q i I F Z h b H V l P S J z T n V t X 2 N s d X N 0 Z X J z N j k 0 N j g y N D Q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S Z X N 1 b H R U e X B l I i B W Y W x 1 Z T 0 i c 1 R h Y m x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Y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5 1 b V 9 j b H V z d G V y c z Y 5 N D c y M z M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Y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5 1 b V 9 j b H V z d G V y c z Y 5 N D Y y M j M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Y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V G F y Z 2 V 0 I i B W Y W x 1 Z T 0 i c 0 5 1 b V 9 j b H V z d G V y c z Y 5 N T I x M z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j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U Y X J n Z X Q i I F Z h b H V l P S J z T n V t X 2 N s d X N 0 Z X J z N j k 0 M j A z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2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F R h c m d l d C I g V m F s d W U 9 I n N O d W 1 f Y 2 x 1 c 3 R l c n M 2 O T M x O T M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S Z X N 1 b H R U e X B l I i B W Y W x 1 Z T 0 i c 1 R h Y m x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Y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5 1 b V 9 j b H V z d G V y c z Y 5 M T g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2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c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3 p S Z F d p 2 S Z 6 + R 4 w N 3 / P k A A A A A A I A A A A A A B B m A A A A A Q A A I A A A A P t l Z C 9 9 D 5 K V K E d L u c e q J E X K 1 V s a 6 w O F 5 1 b n r H x k 9 L U p A A A A A A 6 A A A A A A g A A I A A A A F W e c S y o / g p k c E j B B C j o W D m 9 Y t 0 2 b T e i l X W r g Z n Q 8 c 3 s U A A A A B F Z N 6 r i u T 9 r W h Y l k K N 7 D d a k Y z X Y k L x N 9 d a j 9 3 + J b M k k 5 P 4 B t s N E r g k 2 P p 1 Y M e o 6 z N R R 4 C q w O p X z w s X a k R Q k C c J 9 X f 3 F U Y F a 5 6 A 6 Y Y K u 8 e e k Q A A A A O i z / 2 U n j r n t q M M c E Z Z Y j d Y L f y l M W F Q u c v t k X t 4 l o J Q j n R 8 R B W / l l u s X g F V U Q Y l V k r V K l 7 c 1 s O T M 9 s 8 Q e i q m k Q 8 = < / D a t a M a s h u p > 
</file>

<file path=customXml/itemProps1.xml><?xml version="1.0" encoding="utf-8"?>
<ds:datastoreItem xmlns:ds="http://schemas.openxmlformats.org/officeDocument/2006/customXml" ds:itemID="{D5092658-04B8-43B4-9E46-894D7F65E1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anatomical entity</vt:lpstr>
      <vt:lpstr>cellular proliferation</vt:lpstr>
      <vt:lpstr>genetic</vt:lpstr>
      <vt:lpstr>infectious</vt:lpstr>
      <vt:lpstr>bacterial</vt:lpstr>
      <vt:lpstr>metabolism</vt:lpstr>
      <vt:lpstr>rare</vt:lpstr>
      <vt:lpstr>'anatomical entity'!_Toc10242998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</dc:creator>
  <cp:lastModifiedBy>Lucía</cp:lastModifiedBy>
  <dcterms:created xsi:type="dcterms:W3CDTF">2018-12-20T19:06:35Z</dcterms:created>
  <dcterms:modified xsi:type="dcterms:W3CDTF">2019-06-10T22:44:05Z</dcterms:modified>
</cp:coreProperties>
</file>