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ía\Documents\MUBC\Prácticas y TFM\TFM-Github\Results\DBSCAN ParameterCombination\"/>
    </mc:Choice>
  </mc:AlternateContent>
  <xr:revisionPtr revIDLastSave="0" documentId="13_ncr:1_{0F8240BC-CA35-42C0-9278-7A13CED7526F}" xr6:coauthVersionLast="43" xr6:coauthVersionMax="43" xr10:uidLastSave="{00000000-0000-0000-0000-000000000000}"/>
  <bookViews>
    <workbookView xWindow="-108" yWindow="-108" windowWidth="23256" windowHeight="13176" xr2:uid="{A0EB6091-9F01-477C-9E12-50310B6AD826}"/>
  </bookViews>
  <sheets>
    <sheet name="DSI_group_biological_similarity" sheetId="1" r:id="rId1"/>
  </sheets>
  <definedNames>
    <definedName name="DatosExternos_1" localSheetId="0" hidden="1">DSI_group_biological_similarity!$A$3:$M$15</definedName>
    <definedName name="DatosExternos_2" localSheetId="0" hidden="1">DSI_group_biological_similarity!$R$3:$AD$15</definedName>
    <definedName name="DatosExternos_3" localSheetId="0" hidden="1">DSI_group_biological_similarity!$A$20:$M$32</definedName>
    <definedName name="DatosExternos_4" localSheetId="0" hidden="1">DSI_group_biological_similarity!$R$20:$AD$32</definedName>
    <definedName name="DatosExternos_5" localSheetId="0" hidden="1">DSI_group_biological_similarity!$A$37:$M$49</definedName>
    <definedName name="DatosExternos_6" localSheetId="0" hidden="1">DSI_group_biological_similarity!$R$37:$AD$49</definedName>
    <definedName name="DatosExternos_7" localSheetId="0" hidden="1">DSI_group_biological_similarity!$A$54:$M$66</definedName>
    <definedName name="DatosExternos_8" localSheetId="0" hidden="1">DSI_group_biological_similarity!$R$54:$AD$66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74" i="1" l="1"/>
  <c r="L74" i="1"/>
  <c r="K74" i="1"/>
  <c r="J74" i="1"/>
  <c r="I74" i="1"/>
  <c r="H74" i="1"/>
  <c r="G74" i="1"/>
  <c r="F74" i="1"/>
  <c r="E74" i="1"/>
  <c r="D74" i="1"/>
  <c r="C74" i="1"/>
  <c r="B74" i="1"/>
  <c r="M71" i="1"/>
  <c r="L71" i="1"/>
  <c r="K71" i="1"/>
  <c r="J71" i="1"/>
  <c r="I71" i="1"/>
  <c r="H71" i="1"/>
  <c r="G71" i="1"/>
  <c r="F71" i="1"/>
  <c r="E71" i="1"/>
  <c r="D71" i="1"/>
  <c r="C71" i="1"/>
  <c r="B71" i="1"/>
  <c r="M72" i="1"/>
  <c r="L72" i="1"/>
  <c r="K72" i="1"/>
  <c r="J72" i="1"/>
  <c r="I72" i="1"/>
  <c r="H72" i="1"/>
  <c r="G72" i="1"/>
  <c r="F72" i="1"/>
  <c r="E72" i="1"/>
  <c r="D72" i="1"/>
  <c r="C72" i="1"/>
  <c r="B72" i="1"/>
  <c r="M73" i="1"/>
  <c r="L73" i="1"/>
  <c r="K73" i="1"/>
  <c r="J73" i="1"/>
  <c r="I73" i="1"/>
  <c r="H73" i="1"/>
  <c r="G73" i="1"/>
  <c r="F73" i="1"/>
  <c r="E73" i="1"/>
  <c r="D73" i="1"/>
  <c r="C73" i="1"/>
  <c r="B73" i="1"/>
  <c r="AG62" i="1" l="1"/>
  <c r="S61" i="1"/>
  <c r="AF46" i="1"/>
  <c r="AF45" i="1"/>
  <c r="T45" i="1"/>
  <c r="AG44" i="1"/>
  <c r="AF44" i="1"/>
  <c r="T44" i="1"/>
  <c r="AG43" i="1"/>
  <c r="AE43" i="1"/>
  <c r="W43" i="1"/>
  <c r="S43" i="1"/>
  <c r="AG42" i="1"/>
  <c r="AE42" i="1"/>
  <c r="AC42" i="1"/>
  <c r="AB42" i="1"/>
  <c r="W42" i="1"/>
  <c r="U42" i="1"/>
  <c r="S42" i="1"/>
  <c r="AG41" i="1"/>
  <c r="AE41" i="1"/>
  <c r="AD41" i="1"/>
  <c r="AC41" i="1"/>
  <c r="AB41" i="1"/>
  <c r="W41" i="1"/>
  <c r="V41" i="1"/>
  <c r="U41" i="1"/>
  <c r="S41" i="1"/>
  <c r="AD40" i="1"/>
  <c r="AB40" i="1"/>
  <c r="X40" i="1"/>
  <c r="V40" i="1"/>
  <c r="AD39" i="1"/>
  <c r="AB39" i="1"/>
  <c r="X39" i="1"/>
  <c r="V39" i="1"/>
  <c r="AF28" i="1"/>
  <c r="T28" i="1"/>
  <c r="AF27" i="1"/>
  <c r="W27" i="1"/>
  <c r="T27" i="1"/>
  <c r="AG26" i="1"/>
  <c r="AF26" i="1"/>
  <c r="AE26" i="1"/>
  <c r="AD26" i="1"/>
  <c r="W26" i="1"/>
  <c r="S26" i="1"/>
  <c r="AG25" i="1"/>
  <c r="AE25" i="1"/>
  <c r="AC25" i="1"/>
  <c r="AB25" i="1"/>
  <c r="W25" i="1"/>
  <c r="U25" i="1"/>
  <c r="S25" i="1"/>
  <c r="AG24" i="1"/>
  <c r="AE24" i="1"/>
  <c r="AD24" i="1"/>
  <c r="AC24" i="1"/>
  <c r="AB24" i="1"/>
  <c r="X24" i="1"/>
  <c r="W24" i="1"/>
  <c r="V24" i="1"/>
  <c r="U24" i="1"/>
  <c r="S24" i="1"/>
  <c r="AE23" i="1"/>
  <c r="AD23" i="1"/>
  <c r="AB23" i="1"/>
  <c r="X23" i="1"/>
  <c r="V23" i="1"/>
  <c r="AD22" i="1"/>
  <c r="AB22" i="1"/>
  <c r="X22" i="1"/>
  <c r="V22" i="1"/>
  <c r="AB21" i="1"/>
  <c r="AG15" i="1"/>
  <c r="AE15" i="1"/>
  <c r="AG14" i="1"/>
  <c r="AE14" i="1"/>
  <c r="AG13" i="1"/>
  <c r="AE13" i="1"/>
  <c r="AG12" i="1"/>
  <c r="AE12" i="1"/>
  <c r="AG11" i="1"/>
  <c r="AE11" i="1"/>
  <c r="T11" i="1"/>
  <c r="AG10" i="1"/>
  <c r="AE10" i="1"/>
  <c r="W10" i="1"/>
  <c r="T10" i="1"/>
  <c r="AG9" i="1"/>
  <c r="AE9" i="1"/>
  <c r="AD9" i="1"/>
  <c r="AC9" i="1"/>
  <c r="W9" i="1"/>
  <c r="U9" i="1"/>
  <c r="T9" i="1"/>
  <c r="S9" i="1"/>
  <c r="AG8" i="1"/>
  <c r="AE8" i="1"/>
  <c r="AD8" i="1"/>
  <c r="AC8" i="1"/>
  <c r="AB8" i="1"/>
  <c r="W8" i="1"/>
  <c r="U8" i="1"/>
  <c r="T8" i="1"/>
  <c r="S8" i="1"/>
  <c r="AG7" i="1"/>
  <c r="AE7" i="1"/>
  <c r="AD7" i="1"/>
  <c r="AC7" i="1"/>
  <c r="AB7" i="1"/>
  <c r="X7" i="1"/>
  <c r="W7" i="1"/>
  <c r="V7" i="1"/>
  <c r="U7" i="1"/>
  <c r="T7" i="1"/>
  <c r="S7" i="1"/>
  <c r="AG6" i="1"/>
  <c r="AE6" i="1"/>
  <c r="AD6" i="1"/>
  <c r="AC6" i="1"/>
  <c r="AB6" i="1"/>
  <c r="X6" i="1"/>
  <c r="W6" i="1"/>
  <c r="V6" i="1"/>
  <c r="U6" i="1"/>
  <c r="S6" i="1"/>
  <c r="AG5" i="1"/>
  <c r="AE5" i="1"/>
  <c r="AD5" i="1"/>
  <c r="AB5" i="1"/>
  <c r="X5" i="1"/>
  <c r="W5" i="1"/>
  <c r="V5" i="1"/>
  <c r="AG4" i="1"/>
  <c r="AE4" i="1"/>
  <c r="AB4" i="1"/>
  <c r="X4" i="1"/>
  <c r="W4" i="1"/>
  <c r="V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00B4102-BB8E-4AF7-8B56-032D527B955E}" keepAlive="1" name="Consulta - Num_clusters (12)" description="Conexión a la consulta 'Num_clusters (12)' en el libro." type="5" refreshedVersion="6" background="1" saveData="1">
    <dbPr connection="Provider=Microsoft.Mashup.OleDb.1;Data Source=$Workbook$;Location=&quot;Num_clusters (12)&quot;;Extended Properties=&quot;&quot;" command="SELECT * FROM [Num_clusters (12)]"/>
  </connection>
  <connection id="2" xr16:uid="{98C86C11-E7DC-466A-B992-099597E3EC84}" keepAlive="1" name="Consulta - Num_clusters (13)" description="Conexión a la consulta 'Num_clusters (13)' en el libro." type="5" refreshedVersion="6" background="1" saveData="1">
    <dbPr connection="Provider=Microsoft.Mashup.OleDb.1;Data Source=$Workbook$;Location=&quot;Num_clusters (13)&quot;;Extended Properties=&quot;&quot;" command="SELECT * FROM [Num_clusters (13)]"/>
  </connection>
  <connection id="3" xr16:uid="{AACAECD2-EEA0-4832-87F4-A6A393400596}" keepAlive="1" name="Consulta - Num_clusters (14)" description="Conexión a la consulta 'Num_clusters (14)' en el libro." type="5" refreshedVersion="6" background="1" saveData="1">
    <dbPr connection="Provider=Microsoft.Mashup.OleDb.1;Data Source=$Workbook$;Location=&quot;Num_clusters (14)&quot;;Extended Properties=&quot;&quot;" command="SELECT * FROM [Num_clusters (14)]"/>
  </connection>
  <connection id="4" xr16:uid="{97EB90C9-05E7-407A-BD13-53EE655010C1}" keepAlive="1" name="Consulta - Num_clusters (15)" description="Conexión a la consulta 'Num_clusters (15)' en el libro." type="5" refreshedVersion="6" background="1" saveData="1">
    <dbPr connection="Provider=Microsoft.Mashup.OleDb.1;Data Source=$Workbook$;Location=&quot;Num_clusters (15)&quot;;Extended Properties=&quot;&quot;" command="SELECT * FROM [Num_clusters (15)]"/>
  </connection>
  <connection id="5" xr16:uid="{B80E525D-F8FA-49F2-8C7C-2843CE0FD784}" keepAlive="1" name="Consulta - Num_clusters (16)" description="Conexión a la consulta 'Num_clusters (16)' en el libro." type="5" refreshedVersion="6" background="1" saveData="1">
    <dbPr connection="Provider=Microsoft.Mashup.OleDb.1;Data Source=$Workbook$;Location=&quot;Num_clusters (16)&quot;;Extended Properties=&quot;&quot;" command="SELECT * FROM [Num_clusters (16)]"/>
  </connection>
  <connection id="6" xr16:uid="{1A43110C-05D2-4374-8ABB-782C93341905}" keepAlive="1" name="Consulta - Num_clusters (17)" description="Conexión a la consulta 'Num_clusters (17)' en el libro." type="5" refreshedVersion="6" background="1" saveData="1">
    <dbPr connection="Provider=Microsoft.Mashup.OleDb.1;Data Source=$Workbook$;Location=&quot;Num_clusters (17)&quot;;Extended Properties=&quot;&quot;" command="SELECT * FROM [Num_clusters (17)]"/>
  </connection>
  <connection id="7" xr16:uid="{70F32C75-604B-456D-9E15-CC37EC5EEE4D}" keepAlive="1" name="Consulta - Num_clusters (18)" description="Conexión a la consulta 'Num_clusters (18)' en el libro." type="5" refreshedVersion="6" background="1" saveData="1">
    <dbPr connection="Provider=Microsoft.Mashup.OleDb.1;Data Source=$Workbook$;Location=&quot;Num_clusters (18)&quot;;Extended Properties=&quot;&quot;" command="SELECT * FROM [Num_clusters (18)]"/>
  </connection>
  <connection id="8" xr16:uid="{97493ABA-3371-4C23-B7F8-78D9A766BB08}" keepAlive="1" name="Consulta - Num_clusters (19)" description="Conexión a la consulta 'Num_clusters (19)' en el libro." type="5" refreshedVersion="6" background="1" saveData="1">
    <dbPr connection="Provider=Microsoft.Mashup.OleDb.1;Data Source=$Workbook$;Location=&quot;Num_clusters (19)&quot;;Extended Properties=&quot;&quot;" command="SELECT * FROM [Num_clusters (19)]"/>
  </connection>
</connections>
</file>

<file path=xl/sharedStrings.xml><?xml version="1.0" encoding="utf-8"?>
<sst xmlns="http://schemas.openxmlformats.org/spreadsheetml/2006/main" count="156" uniqueCount="36">
  <si>
    <t>MS = 2</t>
  </si>
  <si>
    <t>Silhouette_coefficient</t>
  </si>
  <si>
    <t>Epsilon</t>
  </si>
  <si>
    <t>term_cos</t>
  </si>
  <si>
    <t>term_jac</t>
  </si>
  <si>
    <t>term_dice</t>
  </si>
  <si>
    <t>MS = 3</t>
  </si>
  <si>
    <t>MS = 5</t>
  </si>
  <si>
    <t>MS = 30</t>
  </si>
  <si>
    <t>gen_cos</t>
  </si>
  <si>
    <t>gen_jac</t>
  </si>
  <si>
    <t>gen_dic</t>
  </si>
  <si>
    <t>prot_cos</t>
  </si>
  <si>
    <t>prot-jac</t>
  </si>
  <si>
    <t>prot_dic</t>
  </si>
  <si>
    <t>path_cos</t>
  </si>
  <si>
    <t>path_jac</t>
  </si>
  <si>
    <t>path_dice</t>
  </si>
  <si>
    <t>ppi_cos</t>
  </si>
  <si>
    <t>ppi_jac</t>
  </si>
  <si>
    <t>ppi_dice</t>
  </si>
  <si>
    <t>Gene Cosine</t>
  </si>
  <si>
    <t>Gene Jaccard</t>
  </si>
  <si>
    <t>Gene Dice</t>
  </si>
  <si>
    <t>Protein Cosine</t>
  </si>
  <si>
    <t>Protein Jaccard</t>
  </si>
  <si>
    <t>Protein Dice</t>
  </si>
  <si>
    <t>Pathway Cosine</t>
  </si>
  <si>
    <t>Pathway Jaccard</t>
  </si>
  <si>
    <t>Pathway Dice</t>
  </si>
  <si>
    <t>PPI Cosine</t>
  </si>
  <si>
    <t>PPI Jaccard</t>
  </si>
  <si>
    <t>PPI Dice</t>
  </si>
  <si>
    <t>Minimum cluster size</t>
  </si>
  <si>
    <t>Silhouette</t>
  </si>
  <si>
    <t>Number of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</si>
</sst>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7">
    <xf numFmtId="0" fontId="0" fillId="0" borderId="0" xfId="0"/>
    <xf numFmtId="0" fontId="3" fillId="0" borderId="1" xfId="2"/>
    <xf numFmtId="0" fontId="1" fillId="3" borderId="0" xfId="3"/>
    <xf numFmtId="0" fontId="0" fillId="0" borderId="0" xfId="0" applyNumberFormat="1"/>
    <xf numFmtId="0" fontId="1" fillId="2" borderId="0" xfId="1" applyNumberFormat="1"/>
    <xf numFmtId="0" fontId="2" fillId="5" borderId="0" xfId="5" applyNumberFormat="1"/>
    <xf numFmtId="0" fontId="2" fillId="4" borderId="0" xfId="4" applyNumberFormat="1"/>
  </cellXfs>
  <cellStyles count="6">
    <cellStyle name="20% - Énfasis6" xfId="4" builtinId="50"/>
    <cellStyle name="40% - Énfasis6" xfId="5" builtinId="51"/>
    <cellStyle name="Énfasis5" xfId="3" builtinId="45"/>
    <cellStyle name="Énfasis6" xfId="1" builtinId="49"/>
    <cellStyle name="Normal" xfId="0" builtinId="0"/>
    <cellStyle name="Título 3" xfId="2" builtinId="18"/>
  </cellStyles>
  <dxfs count="14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2222BE50-EC57-4CD4-99ED-A93D05BBD2D9}" autoFormatId="16" applyNumberFormats="0" applyBorderFormats="0" applyFontFormats="0" applyPatternFormats="0" applyAlignmentFormats="0" applyWidthHeightFormats="0">
  <queryTableRefresh nextId="20" unboundColumnsRight="3">
    <queryTableFields count="16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  <queryTableField id="17" dataBound="0" tableColumnId="14"/>
      <queryTableField id="18" dataBound="0" tableColumnId="15"/>
      <queryTableField id="19" dataBound="0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7" xr16:uid="{B9B109E0-5D62-4F11-82E5-5C9DD78438E8}" autoFormatId="16" applyNumberFormats="0" applyBorderFormats="0" applyFontFormats="0" applyPatternFormats="0" applyAlignmentFormats="0" applyWidthHeightFormats="0">
  <queryTableRefresh nextId="20" unboundColumnsRight="3">
    <queryTableFields count="16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  <queryTableField id="17" dataBound="0" tableColumnId="14"/>
      <queryTableField id="18" dataBound="0" tableColumnId="15"/>
      <queryTableField id="19" dataBound="0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3" connectionId="6" xr16:uid="{0119F745-3F48-41FC-A35D-A0EAB4913E5B}" autoFormatId="16" applyNumberFormats="0" applyBorderFormats="0" applyFontFormats="0" applyPatternFormats="0" applyAlignmentFormats="0" applyWidthHeightFormats="0">
  <queryTableRefresh nextId="20" unboundColumnsRight="3">
    <queryTableFields count="16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  <queryTableField id="17" dataBound="0" tableColumnId="14"/>
      <queryTableField id="18" dataBound="0" tableColumnId="15"/>
      <queryTableField id="19" dataBound="0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4" connectionId="5" xr16:uid="{C98E8C53-6519-4104-9F67-5D0982BDAEB2}" autoFormatId="16" applyNumberFormats="0" applyBorderFormats="0" applyFontFormats="0" applyPatternFormats="0" applyAlignmentFormats="0" applyWidthHeightFormats="0">
  <queryTableRefresh nextId="20" unboundColumnsRight="3">
    <queryTableFields count="16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  <queryTableField id="17" dataBound="0" tableColumnId="14"/>
      <queryTableField id="18" dataBound="0" tableColumnId="15"/>
      <queryTableField id="19" dataBound="0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5" connectionId="4" xr16:uid="{920BAB1E-6142-474A-84BA-E2CE28530E10}" autoFormatId="16" applyNumberFormats="0" applyBorderFormats="0" applyFontFormats="0" applyPatternFormats="0" applyAlignmentFormats="0" applyWidthHeightFormats="0">
  <queryTableRefresh nextId="20" unboundColumnsRight="3">
    <queryTableFields count="16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  <queryTableField id="17" dataBound="0" tableColumnId="14"/>
      <queryTableField id="18" dataBound="0" tableColumnId="15"/>
      <queryTableField id="19" dataBound="0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6" connectionId="3" xr16:uid="{B2718A0E-9552-43D2-BD6F-630715520023}" autoFormatId="16" applyNumberFormats="0" applyBorderFormats="0" applyFontFormats="0" applyPatternFormats="0" applyAlignmentFormats="0" applyWidthHeightFormats="0">
  <queryTableRefresh nextId="20" unboundColumnsRight="3">
    <queryTableFields count="16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  <queryTableField id="17" dataBound="0" tableColumnId="14"/>
      <queryTableField id="18" dataBound="0" tableColumnId="15"/>
      <queryTableField id="19" dataBound="0" tableColumnId="1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7" connectionId="2" xr16:uid="{1833C90C-9D13-4E9A-8E58-41CD05B08262}" autoFormatId="16" applyNumberFormats="0" applyBorderFormats="0" applyFontFormats="0" applyPatternFormats="0" applyAlignmentFormats="0" applyWidthHeightFormats="0">
  <queryTableRefresh nextId="20" unboundColumnsRight="3">
    <queryTableFields count="16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  <queryTableField id="17" dataBound="0" tableColumnId="14"/>
      <queryTableField id="18" dataBound="0" tableColumnId="15"/>
      <queryTableField id="19" dataBound="0" tableColumnId="1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8" connectionId="1" xr16:uid="{7A950C21-A223-4B4F-AD61-893DCF1F023E}" autoFormatId="16" applyNumberFormats="0" applyBorderFormats="0" applyFontFormats="0" applyPatternFormats="0" applyAlignmentFormats="0" applyWidthHeightFormats="0">
  <queryTableRefresh nextId="20" unboundColumnsRight="3">
    <queryTableFields count="16">
      <queryTableField id="1" name="Column1" tableColumnId="1"/>
      <queryTableField id="2" name="gen_cos" tableColumnId="2"/>
      <queryTableField id="3" name="gen_jac" tableColumnId="3"/>
      <queryTableField id="4" name="gen_dic" tableColumnId="4"/>
      <queryTableField id="5" name="prot_cos" tableColumnId="5"/>
      <queryTableField id="6" name="Prot-jac" tableColumnId="6"/>
      <queryTableField id="7" name="prot_dic" tableColumnId="7"/>
      <queryTableField id="8" name="path_cos" tableColumnId="8"/>
      <queryTableField id="9" name="path_jac" tableColumnId="9"/>
      <queryTableField id="10" name="path_dice" tableColumnId="10"/>
      <queryTableField id="11" name="ppi_cos" tableColumnId="11"/>
      <queryTableField id="12" name="ppi_jac" tableColumnId="12"/>
      <queryTableField id="13" name="ppi_dice" tableColumnId="13"/>
      <queryTableField id="17" dataBound="0" tableColumnId="14"/>
      <queryTableField id="18" dataBound="0" tableColumnId="15"/>
      <queryTableField id="19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161EDB-DD14-413B-9269-2819ECABCB8A}" name="Num_clusters6910" displayName="Num_clusters6910" ref="A3:P15" tableType="queryTable" totalsRowShown="0" headerRowDxfId="143" dataDxfId="142">
  <autoFilter ref="A3:P15" xr:uid="{B86808C6-E023-4E16-858E-0235600374BD}"/>
  <tableColumns count="16">
    <tableColumn id="1" xr3:uid="{91DD746F-74BB-4F04-8E42-DDB3ED279404}" uniqueName="1" name="Epsilon" queryTableFieldId="1" dataDxfId="141" dataCellStyle="Énfasis6"/>
    <tableColumn id="2" xr3:uid="{A02B10FF-A0DE-4D53-9F98-3D87A2281A09}" uniqueName="2" name="gen_cos" queryTableFieldId="2" dataDxfId="140" dataCellStyle="Normal"/>
    <tableColumn id="3" xr3:uid="{1D703BC6-C22A-4B37-A27F-4C30601ABB92}" uniqueName="3" name="gen_jac" queryTableFieldId="3" dataDxfId="139" dataCellStyle="Normal"/>
    <tableColumn id="4" xr3:uid="{26AE7BD6-C569-44C0-98A4-A6A850385183}" uniqueName="4" name="gen_dic" queryTableFieldId="4" dataDxfId="138" dataCellStyle="Normal"/>
    <tableColumn id="5" xr3:uid="{EB64E316-6D44-496B-B4B4-35A27ED5AC81}" uniqueName="5" name="prot_cos" queryTableFieldId="5" dataDxfId="137" dataCellStyle="Normal"/>
    <tableColumn id="6" xr3:uid="{F0499C9C-E635-4CA5-9E58-31D15A703B02}" uniqueName="6" name="prot-jac" queryTableFieldId="6" dataDxfId="136" dataCellStyle="Normal"/>
    <tableColumn id="7" xr3:uid="{67E86A58-C8A5-43C1-A808-E7F667ACD026}" uniqueName="7" name="prot_dic" queryTableFieldId="7" dataDxfId="135" dataCellStyle="Normal"/>
    <tableColumn id="8" xr3:uid="{DA397210-7C0D-4065-8941-D0469211706B}" uniqueName="8" name="path_cos" queryTableFieldId="8" dataDxfId="134" dataCellStyle="Normal"/>
    <tableColumn id="9" xr3:uid="{9E6BF25E-74FA-4F7D-AE35-4C4EA68D8B78}" uniqueName="9" name="path_jac" queryTableFieldId="9" dataDxfId="133" dataCellStyle="Normal"/>
    <tableColumn id="10" xr3:uid="{92A48E23-877A-4BF3-AA4E-58A2CCD77197}" uniqueName="10" name="path_dice" queryTableFieldId="10" dataDxfId="132" dataCellStyle="Normal"/>
    <tableColumn id="11" xr3:uid="{7EE4D226-A47B-4B65-A795-5460227F54D9}" uniqueName="11" name="ppi_cos" queryTableFieldId="11" dataDxfId="131" dataCellStyle="Normal"/>
    <tableColumn id="12" xr3:uid="{4065C7CE-958B-4947-A49C-EF3D228C3306}" uniqueName="12" name="ppi_jac" queryTableFieldId="12" dataDxfId="130" dataCellStyle="Normal"/>
    <tableColumn id="13" xr3:uid="{8E9EA125-1218-4DF9-A5B2-EB210D372504}" uniqueName="13" name="ppi_dice" queryTableFieldId="13" dataDxfId="129" dataCellStyle="Normal"/>
    <tableColumn id="14" xr3:uid="{1D31D71B-EAE2-4CE8-9B47-B5B5D845FB1F}" uniqueName="14" name="term_cos" queryTableFieldId="17" dataDxfId="128" dataCellStyle="Normal"/>
    <tableColumn id="15" xr3:uid="{FAAACA5F-9FCB-4901-8B36-26CF4BCDA295}" uniqueName="15" name="term_jac" queryTableFieldId="18" dataDxfId="127" dataCellStyle="Normal"/>
    <tableColumn id="16" xr3:uid="{5A451E18-0A45-4EB4-875F-07A8305AB698}" uniqueName="16" name="term_dice" queryTableFieldId="19" dataDxfId="126" dataCellStyle="Normal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B3E2F3-3C70-4D8C-BD7B-5C3BEFD9A0FB}" name="Num_clusters69311" displayName="Num_clusters69311" ref="R3:AG15" tableType="queryTable" totalsRowShown="0" headerRowDxfId="125" dataDxfId="124">
  <autoFilter ref="R3:AG15" xr:uid="{C04EAC61-6B0A-4BA5-A085-8419C69F648E}"/>
  <tableColumns count="16">
    <tableColumn id="1" xr3:uid="{04DDE6FA-1876-4AE5-BB51-3F75F1ED1D21}" uniqueName="1" name="Epsilon" queryTableFieldId="1" dataDxfId="123" dataCellStyle="Énfasis6"/>
    <tableColumn id="2" xr3:uid="{7CA37EC4-ACCA-4749-ACE1-0F488460F267}" uniqueName="2" name="gen_cos" queryTableFieldId="2" dataDxfId="122" dataCellStyle="Normal"/>
    <tableColumn id="3" xr3:uid="{DE95DFB7-0F55-424F-B549-1141C8761DD7}" uniqueName="3" name="gen_jac" queryTableFieldId="3" dataDxfId="121" dataCellStyle="Normal"/>
    <tableColumn id="4" xr3:uid="{B633E3DF-1C0B-416D-80E3-1A4E13E9D140}" uniqueName="4" name="gen_dic" queryTableFieldId="4" dataDxfId="120" dataCellStyle="Normal"/>
    <tableColumn id="5" xr3:uid="{0DE033A0-AD51-4594-836E-D504735A3F54}" uniqueName="5" name="prot_cos" queryTableFieldId="5" dataDxfId="119" dataCellStyle="Normal"/>
    <tableColumn id="6" xr3:uid="{5DE64A81-0E9F-4141-874D-C4245B09AF11}" uniqueName="6" name="prot-jac" queryTableFieldId="6" dataDxfId="118" dataCellStyle="Normal"/>
    <tableColumn id="7" xr3:uid="{0D7DDA1E-025F-4998-9F08-F3C782390F07}" uniqueName="7" name="prot_dic" queryTableFieldId="7" dataDxfId="117" dataCellStyle="Normal"/>
    <tableColumn id="8" xr3:uid="{05FC8CA1-A68E-492A-8B00-CC2B4A3B3559}" uniqueName="8" name="path_cos" queryTableFieldId="8" dataDxfId="116" dataCellStyle="Normal"/>
    <tableColumn id="9" xr3:uid="{E7E32682-2BB1-4104-AADF-17DC66F3D93A}" uniqueName="9" name="path_jac" queryTableFieldId="9" dataDxfId="115" dataCellStyle="Normal"/>
    <tableColumn id="10" xr3:uid="{B4801C56-AB28-4B93-85F6-3617C607310D}" uniqueName="10" name="path_dice" queryTableFieldId="10" dataDxfId="114" dataCellStyle="Normal"/>
    <tableColumn id="11" xr3:uid="{0813B437-B814-4C33-8BC9-C733EBA97A4A}" uniqueName="11" name="ppi_cos" queryTableFieldId="11" dataDxfId="113" dataCellStyle="Normal"/>
    <tableColumn id="12" xr3:uid="{95633F8C-8F29-45DB-B57C-23BCDA8B8CE1}" uniqueName="12" name="ppi_jac" queryTableFieldId="12" dataDxfId="112" dataCellStyle="Normal"/>
    <tableColumn id="13" xr3:uid="{235CFA30-84AF-492A-ABF5-752EE00A21C8}" uniqueName="13" name="ppi_dice" queryTableFieldId="13" dataDxfId="111" dataCellStyle="Normal"/>
    <tableColumn id="14" xr3:uid="{040F2318-8D7B-4282-B8B5-7374A1677C1C}" uniqueName="14" name="term_cos" queryTableFieldId="17" dataDxfId="110" dataCellStyle="Normal">
      <calculatedColumnFormula>_FV(0,"0322")</calculatedColumnFormula>
    </tableColumn>
    <tableColumn id="15" xr3:uid="{0F308EC9-DFAA-48EC-8A20-39FCB73407BD}" uniqueName="15" name="term_jac" queryTableFieldId="18" dataDxfId="109" dataCellStyle="Normal"/>
    <tableColumn id="16" xr3:uid="{669223B4-C497-45F6-B26A-E820BF7A8F2F}" uniqueName="16" name="term_dice" queryTableFieldId="19" dataDxfId="108" dataCellStyle="Normal">
      <calculatedColumnFormula>_FV(0,"0183")</calculatedColumnFormula>
    </tableColumn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39D9ED7-D570-41FC-AECC-5CA4CAC60643}" name="Num_clusters69412" displayName="Num_clusters69412" ref="A20:P32" tableType="queryTable" totalsRowShown="0" headerRowDxfId="107" dataDxfId="106">
  <autoFilter ref="A20:P32" xr:uid="{69CCE86A-B549-46A2-9DE7-03B4AC813D86}"/>
  <tableColumns count="16">
    <tableColumn id="1" xr3:uid="{4CFB7EE3-2043-4EF5-8FA9-5C4EE460D1F2}" uniqueName="1" name="Epsilon" queryTableFieldId="1" dataDxfId="105" dataCellStyle="Énfasis6"/>
    <tableColumn id="2" xr3:uid="{39AA75B1-E08E-4671-8393-78E32A39D47E}" uniqueName="2" name="gen_cos" queryTableFieldId="2" dataDxfId="104" dataCellStyle="Normal"/>
    <tableColumn id="3" xr3:uid="{25F0BB35-30FD-435A-B42A-2874878A4C09}" uniqueName="3" name="gen_jac" queryTableFieldId="3" dataDxfId="103" dataCellStyle="Normal"/>
    <tableColumn id="4" xr3:uid="{AD96727C-EA22-4FE9-A7DB-5C25D97AC488}" uniqueName="4" name="gen_dic" queryTableFieldId="4" dataDxfId="102" dataCellStyle="Normal"/>
    <tableColumn id="5" xr3:uid="{642E272C-AB57-4B08-AE6E-C178B5FABA0C}" uniqueName="5" name="prot_cos" queryTableFieldId="5" dataDxfId="101" dataCellStyle="Normal"/>
    <tableColumn id="6" xr3:uid="{2887AB5B-7114-4261-8E32-01350FBDD342}" uniqueName="6" name="prot-jac" queryTableFieldId="6" dataDxfId="100" dataCellStyle="Normal"/>
    <tableColumn id="7" xr3:uid="{506C69D2-F4BA-4DFC-9157-32BD1CF77140}" uniqueName="7" name="prot_dic" queryTableFieldId="7" dataDxfId="99" dataCellStyle="Normal"/>
    <tableColumn id="8" xr3:uid="{70D34828-32EB-437C-B833-C24EA69C5E2F}" uniqueName="8" name="path_cos" queryTableFieldId="8" dataDxfId="98" dataCellStyle="Normal"/>
    <tableColumn id="9" xr3:uid="{659809BF-11A9-47A7-BD52-6A101CF6B3DA}" uniqueName="9" name="path_jac" queryTableFieldId="9" dataDxfId="97" dataCellStyle="Normal"/>
    <tableColumn id="10" xr3:uid="{24C2E510-1384-4558-BD95-0852BB0B08C7}" uniqueName="10" name="path_dice" queryTableFieldId="10" dataDxfId="96" dataCellStyle="Normal"/>
    <tableColumn id="11" xr3:uid="{401467B8-6760-48EE-8D35-4393D3E1A1FD}" uniqueName="11" name="ppi_cos" queryTableFieldId="11" dataDxfId="95" dataCellStyle="Normal"/>
    <tableColumn id="12" xr3:uid="{E3A7C643-7F10-421D-8567-C6F22516BAF3}" uniqueName="12" name="ppi_jac" queryTableFieldId="12" dataDxfId="94" dataCellStyle="Normal"/>
    <tableColumn id="13" xr3:uid="{AEC7856A-CA4A-46F7-9CDA-E3EADE67FBF5}" uniqueName="13" name="ppi_dice" queryTableFieldId="13" dataDxfId="93" dataCellStyle="Normal"/>
    <tableColumn id="14" xr3:uid="{D29D6FC5-F3D7-4317-9826-324F94C94F58}" uniqueName="14" name="term_cos" queryTableFieldId="17" dataDxfId="92" dataCellStyle="Normal"/>
    <tableColumn id="15" xr3:uid="{FF5EA196-0235-48E4-BFFF-8AC3EF144550}" uniqueName="15" name="term_jac" queryTableFieldId="18" dataDxfId="91" dataCellStyle="Normal"/>
    <tableColumn id="16" xr3:uid="{FCC1C239-210A-48B0-9772-8E7A556FF1BE}" uniqueName="16" name="term_dice" queryTableFieldId="19" dataDxfId="90" dataCellStyle="Normal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4F4DEC-134B-471A-B36C-E5D5635DE290}" name="Num_clusters69513" displayName="Num_clusters69513" ref="R20:AG32" tableType="queryTable" totalsRowShown="0" headerRowDxfId="89" dataDxfId="88">
  <autoFilter ref="R20:AG32" xr:uid="{5458F335-B78F-4D0C-A3CA-D4702FE85DC7}"/>
  <tableColumns count="16">
    <tableColumn id="1" xr3:uid="{37A56835-5356-45A3-BE07-92F4261F1E20}" uniqueName="1" name="Epsilon" queryTableFieldId="1" dataDxfId="87" dataCellStyle="Énfasis6"/>
    <tableColumn id="2" xr3:uid="{7F81832A-31FE-42D8-898B-980C428BFAAF}" uniqueName="2" name="gen_cos" queryTableFieldId="2" dataDxfId="86" dataCellStyle="Normal"/>
    <tableColumn id="3" xr3:uid="{8B4BB7E3-90E5-42FD-BC69-98536A2E0EF3}" uniqueName="3" name="gen_jac" queryTableFieldId="3" dataDxfId="85" dataCellStyle="Normal"/>
    <tableColumn id="4" xr3:uid="{2D38C11F-70C3-45C0-931E-C740A2B51860}" uniqueName="4" name="gen_dic" queryTableFieldId="4" dataDxfId="84" dataCellStyle="Normal"/>
    <tableColumn id="5" xr3:uid="{4BE17279-1BFE-46C5-906E-C0815DEA5608}" uniqueName="5" name="prot_cos" queryTableFieldId="5" dataDxfId="83" dataCellStyle="Normal"/>
    <tableColumn id="6" xr3:uid="{EFA9F794-CD73-40CC-8D39-71B2947D7F6D}" uniqueName="6" name="prot-jac" queryTableFieldId="6" dataDxfId="82" dataCellStyle="Normal"/>
    <tableColumn id="7" xr3:uid="{472C774B-2144-4D97-8016-5C536C722A42}" uniqueName="7" name="prot_dic" queryTableFieldId="7" dataDxfId="81" dataCellStyle="Normal"/>
    <tableColumn id="8" xr3:uid="{51B30169-A71B-4537-8852-612574AEAA93}" uniqueName="8" name="path_cos" queryTableFieldId="8" dataDxfId="80" dataCellStyle="Normal"/>
    <tableColumn id="9" xr3:uid="{5061A043-0825-4A8B-BB13-085E59FBFED2}" uniqueName="9" name="path_jac" queryTableFieldId="9" dataDxfId="79" dataCellStyle="Normal"/>
    <tableColumn id="10" xr3:uid="{6B33E9A8-3B1D-41ED-BEAE-89E937FB9322}" uniqueName="10" name="path_dice" queryTableFieldId="10" dataDxfId="78" dataCellStyle="Normal"/>
    <tableColumn id="11" xr3:uid="{1D9A6D41-8904-4C32-9907-05A8E1B898BD}" uniqueName="11" name="ppi_cos" queryTableFieldId="11" dataDxfId="77" dataCellStyle="Normal"/>
    <tableColumn id="12" xr3:uid="{D979AFA4-8278-4E76-86C0-5F6E14E7691C}" uniqueName="12" name="ppi_jac" queryTableFieldId="12" dataDxfId="76" dataCellStyle="Normal"/>
    <tableColumn id="13" xr3:uid="{EBB25ACC-66B1-4E5B-94E8-8A187E739ABC}" uniqueName="13" name="ppi_dice" queryTableFieldId="13" dataDxfId="75" dataCellStyle="Normal"/>
    <tableColumn id="14" xr3:uid="{2F7DCBC4-05A6-40C9-8D8F-7BDF449E9CCB}" uniqueName="14" name="term_cos" queryTableFieldId="17" dataDxfId="74" dataCellStyle="Normal"/>
    <tableColumn id="15" xr3:uid="{A5B669E9-4DF7-468E-8C56-5F04499FB548}" uniqueName="15" name="term_jac" queryTableFieldId="18" dataDxfId="73" dataCellStyle="Normal"/>
    <tableColumn id="16" xr3:uid="{8FDBCB9D-FDCF-4984-8920-CF2B8B23F01C}" uniqueName="16" name="term_dice" queryTableFieldId="19" dataDxfId="72" dataCellStyle="Normal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8E6327-D191-446C-B21E-9C13E4CBCCB4}" name="Num_clusters694614" displayName="Num_clusters694614" ref="A37:P49" tableType="queryTable" totalsRowShown="0" headerRowDxfId="71" dataDxfId="70">
  <autoFilter ref="A37:P49" xr:uid="{BF5F1A31-C172-4853-B441-BBF65483D2FE}"/>
  <tableColumns count="16">
    <tableColumn id="1" xr3:uid="{F00E2915-9080-4515-B9D0-41D7C8AD6E94}" uniqueName="1" name="Epsilon" queryTableFieldId="1" dataDxfId="69" dataCellStyle="Énfasis6"/>
    <tableColumn id="2" xr3:uid="{CDC74587-4A43-45BA-BE04-C0CA7F8A40CE}" uniqueName="2" name="gen_cos" queryTableFieldId="2" dataDxfId="68" dataCellStyle="Normal"/>
    <tableColumn id="3" xr3:uid="{DFB6F37E-C90D-4459-8D77-B5F80B430F94}" uniqueName="3" name="gen_jac" queryTableFieldId="3" dataDxfId="67" dataCellStyle="Normal"/>
    <tableColumn id="4" xr3:uid="{8DE9429C-C46D-499B-8D3B-17B9E75960D5}" uniqueName="4" name="gen_dic" queryTableFieldId="4" dataDxfId="66" dataCellStyle="Normal"/>
    <tableColumn id="5" xr3:uid="{D2E1BACA-6F21-4FE2-BA47-C71162A0F0B8}" uniqueName="5" name="prot_cos" queryTableFieldId="5" dataDxfId="65" dataCellStyle="Normal"/>
    <tableColumn id="6" xr3:uid="{FD3F8106-AA87-4DEB-B9A6-C18A7818419A}" uniqueName="6" name="prot-jac" queryTableFieldId="6" dataDxfId="64" dataCellStyle="Normal"/>
    <tableColumn id="7" xr3:uid="{93C78A64-69A6-4A37-90A2-C8F33CD4967B}" uniqueName="7" name="prot_dic" queryTableFieldId="7" dataDxfId="63" dataCellStyle="Normal"/>
    <tableColumn id="8" xr3:uid="{EB35AB5F-B93D-49C4-A8BD-A9BA8993A9BE}" uniqueName="8" name="path_cos" queryTableFieldId="8" dataDxfId="62" dataCellStyle="Normal"/>
    <tableColumn id="9" xr3:uid="{79D79ED2-22A5-4C2E-B5C4-5412ECAB9A43}" uniqueName="9" name="path_jac" queryTableFieldId="9" dataDxfId="61" dataCellStyle="Normal"/>
    <tableColumn id="10" xr3:uid="{67962EEE-D4E2-4BF8-A7C2-6A33022D9D3D}" uniqueName="10" name="path_dice" queryTableFieldId="10" dataDxfId="60" dataCellStyle="Normal"/>
    <tableColumn id="11" xr3:uid="{5E41C988-F58F-4700-9DF7-093B87635619}" uniqueName="11" name="ppi_cos" queryTableFieldId="11" dataDxfId="59" dataCellStyle="Normal"/>
    <tableColumn id="12" xr3:uid="{9604D6CF-74D2-424A-A4D3-C9BDD490B121}" uniqueName="12" name="ppi_jac" queryTableFieldId="12" dataDxfId="58" dataCellStyle="Normal"/>
    <tableColumn id="13" xr3:uid="{2551E148-5442-4C53-96A0-BA7CD4EC9482}" uniqueName="13" name="ppi_dice" queryTableFieldId="13" dataDxfId="57" dataCellStyle="Normal"/>
    <tableColumn id="14" xr3:uid="{E9799366-E9F6-4C3F-BFA6-DDB790349BA9}" uniqueName="14" name="term_cos" queryTableFieldId="17" dataDxfId="56" dataCellStyle="Normal"/>
    <tableColumn id="15" xr3:uid="{2F5E90D5-68A6-4C3A-8606-F209F75B5A1D}" uniqueName="15" name="term_jac" queryTableFieldId="18" dataDxfId="55" dataCellStyle="Normal"/>
    <tableColumn id="16" xr3:uid="{D03CB6C4-3F87-4E76-9127-6B528C1551B1}" uniqueName="16" name="term_dice" queryTableFieldId="19" dataDxfId="54" dataCellStyle="Normal"/>
  </tableColumns>
  <tableStyleInfo name="TableStyleLight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043003C-BF07-42B5-8C3F-AD733D8E2F79}" name="Num_clusters694715" displayName="Num_clusters694715" ref="R37:AG49" tableType="queryTable" totalsRowShown="0" headerRowDxfId="53" dataDxfId="52">
  <autoFilter ref="R37:AG49" xr:uid="{6F3DCB41-8C88-4380-9084-49E35513310B}"/>
  <tableColumns count="16">
    <tableColumn id="1" xr3:uid="{102EFC39-FBA0-433C-BD28-00E50E730285}" uniqueName="1" name="Epsilon" queryTableFieldId="1" dataDxfId="51" dataCellStyle="Énfasis6"/>
    <tableColumn id="2" xr3:uid="{F9A46C3F-510B-4AD2-B970-822A2DF1D885}" uniqueName="2" name="gen_cos" queryTableFieldId="2" dataDxfId="50" dataCellStyle="Normal"/>
    <tableColumn id="3" xr3:uid="{129B18EF-27FE-43A3-9CED-ABD388AC8D42}" uniqueName="3" name="gen_jac" queryTableFieldId="3" dataDxfId="49" dataCellStyle="Normal"/>
    <tableColumn id="4" xr3:uid="{EE19C901-FDED-4BA4-B020-6AEACFEDA21A}" uniqueName="4" name="gen_dic" queryTableFieldId="4" dataDxfId="48" dataCellStyle="Normal"/>
    <tableColumn id="5" xr3:uid="{1A6E3F1D-748C-4CA9-8186-C64A205DA0D9}" uniqueName="5" name="prot_cos" queryTableFieldId="5" dataDxfId="47" dataCellStyle="Normal"/>
    <tableColumn id="6" xr3:uid="{4AF9E42C-C803-428D-A112-A1F1A7B8BB04}" uniqueName="6" name="prot-jac" queryTableFieldId="6" dataDxfId="46" dataCellStyle="Normal"/>
    <tableColumn id="7" xr3:uid="{22590F41-47D1-496E-BE3E-6689BD9AD2C9}" uniqueName="7" name="prot_dic" queryTableFieldId="7" dataDxfId="45" dataCellStyle="Normal"/>
    <tableColumn id="8" xr3:uid="{F4D38950-1B15-4666-989C-29576A4001D9}" uniqueName="8" name="path_cos" queryTableFieldId="8" dataDxfId="44" dataCellStyle="Normal"/>
    <tableColumn id="9" xr3:uid="{ADF46A90-750C-45C0-9E96-14FB4CCEF4F7}" uniqueName="9" name="path_jac" queryTableFieldId="9" dataDxfId="43" dataCellStyle="Normal"/>
    <tableColumn id="10" xr3:uid="{A4F45C61-FF3D-4AB3-969A-F0154CD2D3B9}" uniqueName="10" name="path_dice" queryTableFieldId="10" dataDxfId="42" dataCellStyle="Normal"/>
    <tableColumn id="11" xr3:uid="{B32B7AEF-1051-43AA-BFB8-84B58D91C380}" uniqueName="11" name="ppi_cos" queryTableFieldId="11" dataDxfId="41" dataCellStyle="Normal"/>
    <tableColumn id="12" xr3:uid="{17842339-1124-4723-AF12-DD633658FECB}" uniqueName="12" name="ppi_jac" queryTableFieldId="12" dataDxfId="40" dataCellStyle="Normal"/>
    <tableColumn id="13" xr3:uid="{6B97E83C-E985-4977-B1E7-9EB2C9B64470}" uniqueName="13" name="ppi_dice" queryTableFieldId="13" dataDxfId="39" dataCellStyle="Normal"/>
    <tableColumn id="14" xr3:uid="{56FD87E3-AC5A-4FB5-93CF-538947E510D5}" uniqueName="14" name="term_cos" queryTableFieldId="17" dataDxfId="38" dataCellStyle="Normal"/>
    <tableColumn id="15" xr3:uid="{D66B558C-CFA1-46F5-8F27-0A74BCCE801F}" uniqueName="15" name="term_jac" queryTableFieldId="18" dataDxfId="37" dataCellStyle="Normal"/>
    <tableColumn id="16" xr3:uid="{3FE72A85-F819-4F12-B976-F98FA5E406D1}" uniqueName="16" name="term_dice" queryTableFieldId="19" dataDxfId="36" dataCellStyle="Normal"/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199143D-F8B1-498A-83AC-066539E2709E}" name="Num_clusters6946816" displayName="Num_clusters6946816" ref="A54:P66" tableType="queryTable" totalsRowShown="0" headerRowDxfId="35" dataDxfId="34">
  <autoFilter ref="A54:P66" xr:uid="{7DDFA435-5D3C-4028-A181-E241F1ACAEE2}"/>
  <tableColumns count="16">
    <tableColumn id="1" xr3:uid="{8CC0AE3C-81F0-4304-A915-1BAAEDFB855A}" uniqueName="1" name="Epsilon" queryTableFieldId="1" dataDxfId="33" dataCellStyle="Énfasis6"/>
    <tableColumn id="2" xr3:uid="{D5D69B73-F87D-47C4-AC0A-C6A6ED5DECEB}" uniqueName="2" name="gen_cos" queryTableFieldId="2" dataDxfId="32" dataCellStyle="Normal"/>
    <tableColumn id="3" xr3:uid="{03E17EF5-75A4-4E37-A435-E9E68E824CB7}" uniqueName="3" name="gen_jac" queryTableFieldId="3" dataDxfId="31" dataCellStyle="Normal"/>
    <tableColumn id="4" xr3:uid="{AAEAC3CD-35B3-4148-8D0F-1AE0EFCC6B1C}" uniqueName="4" name="gen_dic" queryTableFieldId="4" dataDxfId="30" dataCellStyle="Normal"/>
    <tableColumn id="5" xr3:uid="{42F8249D-1B2B-489F-91E9-516CFE4C0D6B}" uniqueName="5" name="prot_cos" queryTableFieldId="5" dataDxfId="29" dataCellStyle="Normal"/>
    <tableColumn id="6" xr3:uid="{B8F3FAA7-ADC5-4818-A6AC-6E09851A9AA3}" uniqueName="6" name="prot-jac" queryTableFieldId="6" dataDxfId="28" dataCellStyle="Normal"/>
    <tableColumn id="7" xr3:uid="{262757B2-0F52-4295-A84E-A2A49AB052C5}" uniqueName="7" name="prot_dic" queryTableFieldId="7" dataDxfId="27" dataCellStyle="Normal"/>
    <tableColumn id="8" xr3:uid="{6E39DA4B-E5B1-4590-895C-C7B80F346F9D}" uniqueName="8" name="path_cos" queryTableFieldId="8" dataDxfId="26" dataCellStyle="Normal"/>
    <tableColumn id="9" xr3:uid="{368F9CDD-307E-42C7-8DE8-427D062802FA}" uniqueName="9" name="path_jac" queryTableFieldId="9" dataDxfId="25" dataCellStyle="Normal"/>
    <tableColumn id="10" xr3:uid="{180A886B-2A6A-43FD-9177-F09FBB6D59CB}" uniqueName="10" name="path_dice" queryTableFieldId="10" dataDxfId="24" dataCellStyle="Normal"/>
    <tableColumn id="11" xr3:uid="{AC8C2AA9-8F90-49B7-AAD9-A832B01EE819}" uniqueName="11" name="ppi_cos" queryTableFieldId="11" dataDxfId="23" dataCellStyle="Normal"/>
    <tableColumn id="12" xr3:uid="{DDA16E28-3C64-4CA5-B72B-BE5BD7023FA2}" uniqueName="12" name="ppi_jac" queryTableFieldId="12" dataDxfId="22" dataCellStyle="Normal"/>
    <tableColumn id="13" xr3:uid="{3C24E73E-7A30-466B-A680-73DFC158A8BB}" uniqueName="13" name="ppi_dice" queryTableFieldId="13" dataDxfId="21" dataCellStyle="Normal"/>
    <tableColumn id="14" xr3:uid="{124ED84D-F69A-4F4F-812D-DA9B8D551B78}" uniqueName="14" name="term_cos" queryTableFieldId="17" dataDxfId="20" dataCellStyle="Normal"/>
    <tableColumn id="15" xr3:uid="{72806EB0-09B3-40D1-961A-2314F49AEFE9}" uniqueName="15" name="term_jac" queryTableFieldId="18" dataDxfId="19" dataCellStyle="Normal"/>
    <tableColumn id="16" xr3:uid="{43955EF4-F784-4076-BC44-E9C60B7E3EEA}" uniqueName="16" name="term_dice" queryTableFieldId="19" dataDxfId="18" dataCellStyle="Normal"/>
  </tableColumns>
  <tableStyleInfo name="TableStyleLight14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6674E53-2745-4D91-B196-F0D5A0F0701C}" name="Num_clusters6947917" displayName="Num_clusters6947917" ref="R54:AG66" tableType="queryTable" totalsRowShown="0" headerRowDxfId="17" dataDxfId="16">
  <autoFilter ref="R54:AG66" xr:uid="{E3BB0206-3C23-4CF4-AEDE-5636CDCFB27F}"/>
  <tableColumns count="16">
    <tableColumn id="1" xr3:uid="{AE65B99C-510A-4D34-95E9-7CD99614DA4D}" uniqueName="1" name="Epsilon" queryTableFieldId="1" dataDxfId="15" dataCellStyle="Énfasis6"/>
    <tableColumn id="2" xr3:uid="{3958EB08-C287-41F5-88D9-1E8EADBA034C}" uniqueName="2" name="gen_cos" queryTableFieldId="2" dataDxfId="14" dataCellStyle="Normal"/>
    <tableColumn id="3" xr3:uid="{A63CFCAF-4A57-42C9-A1F7-67218E2997D6}" uniqueName="3" name="gen_jac" queryTableFieldId="3" dataDxfId="13" dataCellStyle="Normal"/>
    <tableColumn id="4" xr3:uid="{545D0BC7-0AB8-4BA9-A53E-F360CC7DFD3D}" uniqueName="4" name="gen_dic" queryTableFieldId="4" dataDxfId="12" dataCellStyle="Normal"/>
    <tableColumn id="5" xr3:uid="{BEED2AC9-DE72-41E8-9C66-289FC69E1AFA}" uniqueName="5" name="prot_cos" queryTableFieldId="5" dataDxfId="11" dataCellStyle="Normal"/>
    <tableColumn id="6" xr3:uid="{CDFFD543-FDE1-4FC6-B721-9E46FC18AB2B}" uniqueName="6" name="prot-jac" queryTableFieldId="6" dataDxfId="10" dataCellStyle="Normal"/>
    <tableColumn id="7" xr3:uid="{6C0DB279-3D37-43C8-A217-A18B0BADBE3A}" uniqueName="7" name="prot_dic" queryTableFieldId="7" dataDxfId="9" dataCellStyle="Normal"/>
    <tableColumn id="8" xr3:uid="{FBF1D5F2-4FBF-49EC-833D-723E353FACB3}" uniqueName="8" name="path_cos" queryTableFieldId="8" dataDxfId="8" dataCellStyle="Normal"/>
    <tableColumn id="9" xr3:uid="{3A20845F-F0F0-4EC6-8865-8DB88810F6CA}" uniqueName="9" name="path_jac" queryTableFieldId="9" dataDxfId="7" dataCellStyle="Normal"/>
    <tableColumn id="10" xr3:uid="{8606E2C8-6083-44B5-89A7-687EBA4BCA0D}" uniqueName="10" name="path_dice" queryTableFieldId="10" dataDxfId="6" dataCellStyle="Normal"/>
    <tableColumn id="11" xr3:uid="{6CCDB00C-AACE-4B80-B378-04C8AEEEB7B7}" uniqueName="11" name="ppi_cos" queryTableFieldId="11" dataDxfId="5" dataCellStyle="Normal"/>
    <tableColumn id="12" xr3:uid="{64711C84-BABE-4555-8B55-685B191F0765}" uniqueName="12" name="ppi_jac" queryTableFieldId="12" dataDxfId="4" dataCellStyle="Normal"/>
    <tableColumn id="13" xr3:uid="{704CD1C3-C8C5-49CC-996E-D30981D9A565}" uniqueName="13" name="ppi_dice" queryTableFieldId="13" dataDxfId="3" dataCellStyle="Normal"/>
    <tableColumn id="14" xr3:uid="{51B80354-03E0-4F92-A793-BB65AAE5F499}" uniqueName="14" name="term_cos" queryTableFieldId="17" dataDxfId="2" dataCellStyle="Normal"/>
    <tableColumn id="15" xr3:uid="{D4BE82A3-F121-4060-955F-5FFFEB0A5471}" uniqueName="15" name="term_jac" queryTableFieldId="18" dataDxfId="1" dataCellStyle="Normal"/>
    <tableColumn id="16" xr3:uid="{01EF79B8-818C-45DE-85D3-67963FE81984}" uniqueName="16" name="term_dice" queryTableFieldId="19" dataDxfId="0" dataCellStyle="Normal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72D41-5491-4881-BCB1-33EC2F015F36}">
  <dimension ref="A1:AI74"/>
  <sheetViews>
    <sheetView tabSelected="1" topLeftCell="A64" zoomScale="78" workbookViewId="0">
      <selection activeCell="B71" sqref="B71:M74"/>
    </sheetView>
  </sheetViews>
  <sheetFormatPr baseColWidth="10" defaultRowHeight="14.4" x14ac:dyDescent="0.3"/>
  <sheetData>
    <row r="1" spans="1:35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5" x14ac:dyDescent="0.3">
      <c r="A2" s="3" t="s">
        <v>35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 t="s">
        <v>1</v>
      </c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5" x14ac:dyDescent="0.3">
      <c r="A3" s="3" t="s">
        <v>2</v>
      </c>
      <c r="B3" s="3" t="s">
        <v>9</v>
      </c>
      <c r="C3" s="3" t="s">
        <v>10</v>
      </c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3" t="s">
        <v>20</v>
      </c>
      <c r="N3" s="3" t="s">
        <v>3</v>
      </c>
      <c r="O3" s="3" t="s">
        <v>4</v>
      </c>
      <c r="P3" s="3" t="s">
        <v>5</v>
      </c>
      <c r="Q3" s="3"/>
      <c r="R3" s="3" t="s">
        <v>2</v>
      </c>
      <c r="S3" s="3" t="s">
        <v>9</v>
      </c>
      <c r="T3" s="3" t="s">
        <v>10</v>
      </c>
      <c r="U3" s="3" t="s">
        <v>11</v>
      </c>
      <c r="V3" s="3" t="s">
        <v>12</v>
      </c>
      <c r="W3" s="3" t="s">
        <v>13</v>
      </c>
      <c r="X3" s="3" t="s">
        <v>14</v>
      </c>
      <c r="Y3" s="3" t="s">
        <v>15</v>
      </c>
      <c r="Z3" s="3" t="s">
        <v>16</v>
      </c>
      <c r="AA3" s="3" t="s">
        <v>17</v>
      </c>
      <c r="AB3" s="3" t="s">
        <v>18</v>
      </c>
      <c r="AC3" s="3" t="s">
        <v>19</v>
      </c>
      <c r="AD3" s="3" t="s">
        <v>20</v>
      </c>
      <c r="AE3" s="3" t="s">
        <v>3</v>
      </c>
      <c r="AF3" s="3" t="s">
        <v>4</v>
      </c>
      <c r="AG3" s="3" t="s">
        <v>5</v>
      </c>
    </row>
    <row r="4" spans="1:35" x14ac:dyDescent="0.3">
      <c r="A4" s="4">
        <v>0.3</v>
      </c>
      <c r="B4" s="3">
        <v>0</v>
      </c>
      <c r="C4" s="3">
        <v>0</v>
      </c>
      <c r="D4" s="3">
        <v>0</v>
      </c>
      <c r="E4" s="3">
        <v>2</v>
      </c>
      <c r="F4" s="3">
        <v>1</v>
      </c>
      <c r="G4" s="3">
        <v>2</v>
      </c>
      <c r="H4" s="3">
        <v>4</v>
      </c>
      <c r="I4" s="3">
        <v>4</v>
      </c>
      <c r="J4" s="3">
        <v>3</v>
      </c>
      <c r="K4" s="3">
        <v>2</v>
      </c>
      <c r="L4" s="3">
        <v>1</v>
      </c>
      <c r="M4" s="3">
        <v>1</v>
      </c>
      <c r="N4" s="3">
        <v>9</v>
      </c>
      <c r="O4" s="3">
        <v>8</v>
      </c>
      <c r="P4" s="3">
        <v>9</v>
      </c>
      <c r="Q4" s="3"/>
      <c r="R4" s="4">
        <v>0.3</v>
      </c>
      <c r="S4" s="3">
        <v>-1</v>
      </c>
      <c r="T4" s="3">
        <v>-1</v>
      </c>
      <c r="U4" s="3">
        <v>-1</v>
      </c>
      <c r="V4" s="3">
        <f>0.0768</f>
        <v>7.6799999999999993E-2</v>
      </c>
      <c r="W4" s="3">
        <f>0.0143</f>
        <v>1.43E-2</v>
      </c>
      <c r="X4" s="3">
        <f>0.0646</f>
        <v>6.4600000000000005E-2</v>
      </c>
      <c r="Y4" s="3">
        <v>0.18279999999999999</v>
      </c>
      <c r="Z4" s="3">
        <v>1.37E-2</v>
      </c>
      <c r="AA4" s="3">
        <v>0.24990000000000001</v>
      </c>
      <c r="AB4" s="3">
        <f>0.0307</f>
        <v>3.0700000000000002E-2</v>
      </c>
      <c r="AC4" s="3">
        <v>5.0000000000000001E-4</v>
      </c>
      <c r="AD4" s="3">
        <v>5.9999999999999995E-4</v>
      </c>
      <c r="AE4" s="3">
        <f t="shared" ref="AE4:AE15" si="0">0.0322</f>
        <v>3.2199999999999999E-2</v>
      </c>
      <c r="AF4" s="3">
        <v>1.7100000000000001E-2</v>
      </c>
      <c r="AG4" s="3">
        <f t="shared" ref="AG4:AG15" si="1">0.0183</f>
        <v>1.83E-2</v>
      </c>
      <c r="AI4">
        <v>2</v>
      </c>
    </row>
    <row r="5" spans="1:35" x14ac:dyDescent="0.3">
      <c r="A5" s="4">
        <v>0.4</v>
      </c>
      <c r="B5" s="3">
        <v>0</v>
      </c>
      <c r="C5" s="3">
        <v>0</v>
      </c>
      <c r="D5" s="3">
        <v>0</v>
      </c>
      <c r="E5" s="3">
        <v>2</v>
      </c>
      <c r="F5" s="3">
        <v>1</v>
      </c>
      <c r="G5" s="3">
        <v>2</v>
      </c>
      <c r="H5" s="3">
        <v>2</v>
      </c>
      <c r="I5" s="3">
        <v>7</v>
      </c>
      <c r="J5" s="3">
        <v>2</v>
      </c>
      <c r="K5" s="3">
        <v>2</v>
      </c>
      <c r="L5" s="3">
        <v>1</v>
      </c>
      <c r="M5" s="3">
        <v>2</v>
      </c>
      <c r="N5" s="3">
        <v>11</v>
      </c>
      <c r="O5" s="3">
        <v>9</v>
      </c>
      <c r="P5" s="3">
        <v>10</v>
      </c>
      <c r="Q5" s="3"/>
      <c r="R5" s="4">
        <v>0.4</v>
      </c>
      <c r="S5" s="3">
        <v>-1</v>
      </c>
      <c r="T5" s="3">
        <v>-1</v>
      </c>
      <c r="U5" s="3">
        <v>-1</v>
      </c>
      <c r="V5" s="3">
        <f>0.0776</f>
        <v>7.7600000000000002E-2</v>
      </c>
      <c r="W5" s="3">
        <f>0.0143</f>
        <v>1.43E-2</v>
      </c>
      <c r="X5" s="3">
        <f>0.064</f>
        <v>6.4000000000000001E-2</v>
      </c>
      <c r="Y5" s="3">
        <v>0.31619999999999998</v>
      </c>
      <c r="Z5" s="3">
        <v>3.3700000000000001E-2</v>
      </c>
      <c r="AA5" s="3">
        <v>0.32269999999999999</v>
      </c>
      <c r="AB5" s="3">
        <f>0.0289</f>
        <v>2.8899999999999999E-2</v>
      </c>
      <c r="AC5" s="3">
        <v>5.0000000000000001E-4</v>
      </c>
      <c r="AD5" s="3">
        <f>0.0167</f>
        <v>1.67E-2</v>
      </c>
      <c r="AE5" s="3">
        <f t="shared" si="0"/>
        <v>3.2199999999999999E-2</v>
      </c>
      <c r="AF5" s="3">
        <v>1.6799999999999999E-2</v>
      </c>
      <c r="AG5" s="3">
        <f t="shared" si="1"/>
        <v>1.83E-2</v>
      </c>
      <c r="AI5">
        <v>2</v>
      </c>
    </row>
    <row r="6" spans="1:35" x14ac:dyDescent="0.3">
      <c r="A6" s="4">
        <v>0.5</v>
      </c>
      <c r="B6" s="3">
        <v>3</v>
      </c>
      <c r="C6" s="3">
        <v>0</v>
      </c>
      <c r="D6" s="3">
        <v>3</v>
      </c>
      <c r="E6" s="3">
        <v>6</v>
      </c>
      <c r="F6" s="3">
        <v>2</v>
      </c>
      <c r="G6" s="3">
        <v>5</v>
      </c>
      <c r="H6" s="3">
        <v>3</v>
      </c>
      <c r="I6" s="3">
        <v>4</v>
      </c>
      <c r="J6" s="3">
        <v>2</v>
      </c>
      <c r="K6" s="3">
        <v>7</v>
      </c>
      <c r="L6" s="3">
        <v>2</v>
      </c>
      <c r="M6" s="3">
        <v>5</v>
      </c>
      <c r="N6" s="3">
        <v>15</v>
      </c>
      <c r="O6" s="3">
        <v>10</v>
      </c>
      <c r="P6" s="3">
        <v>13</v>
      </c>
      <c r="Q6" s="3"/>
      <c r="R6" s="4">
        <v>0.5</v>
      </c>
      <c r="S6" s="3">
        <f>0.0516</f>
        <v>5.16E-2</v>
      </c>
      <c r="T6" s="3">
        <v>-1</v>
      </c>
      <c r="U6" s="3">
        <f>0.0404</f>
        <v>4.0399999999999998E-2</v>
      </c>
      <c r="V6" s="3">
        <f>0.059</f>
        <v>5.8999999999999997E-2</v>
      </c>
      <c r="W6" s="3">
        <f>0.0373</f>
        <v>3.73E-2</v>
      </c>
      <c r="X6" s="3">
        <f>0.0513</f>
        <v>5.1299999999999998E-2</v>
      </c>
      <c r="Y6" s="3">
        <v>0.3155</v>
      </c>
      <c r="Z6" s="3">
        <v>0.17280000000000001</v>
      </c>
      <c r="AA6" s="3">
        <v>0.35649999999999998</v>
      </c>
      <c r="AB6" s="3">
        <f>0.0173</f>
        <v>1.7299999999999999E-2</v>
      </c>
      <c r="AC6" s="3">
        <f>0.0095</f>
        <v>9.4999999999999998E-3</v>
      </c>
      <c r="AD6" s="3">
        <f>0.0133</f>
        <v>1.3299999999999999E-2</v>
      </c>
      <c r="AE6" s="3">
        <f t="shared" si="0"/>
        <v>3.2199999999999999E-2</v>
      </c>
      <c r="AF6" s="3">
        <v>1.8700000000000001E-2</v>
      </c>
      <c r="AG6" s="3">
        <f t="shared" si="1"/>
        <v>1.83E-2</v>
      </c>
      <c r="AI6">
        <v>2</v>
      </c>
    </row>
    <row r="7" spans="1:35" x14ac:dyDescent="0.3">
      <c r="A7" s="4">
        <v>0.6</v>
      </c>
      <c r="B7" s="3">
        <v>8</v>
      </c>
      <c r="C7" s="3">
        <v>1</v>
      </c>
      <c r="D7" s="3">
        <v>7</v>
      </c>
      <c r="E7" s="3">
        <v>4</v>
      </c>
      <c r="F7" s="3">
        <v>3</v>
      </c>
      <c r="G7" s="3">
        <v>5</v>
      </c>
      <c r="H7" s="3">
        <v>3</v>
      </c>
      <c r="I7" s="3">
        <v>2</v>
      </c>
      <c r="J7" s="3">
        <v>4</v>
      </c>
      <c r="K7" s="3">
        <v>10</v>
      </c>
      <c r="L7" s="3">
        <v>2</v>
      </c>
      <c r="M7" s="3">
        <v>9</v>
      </c>
      <c r="N7" s="3">
        <v>23</v>
      </c>
      <c r="O7" s="3">
        <v>12</v>
      </c>
      <c r="P7" s="3">
        <v>19</v>
      </c>
      <c r="Q7" s="3"/>
      <c r="R7" s="4">
        <v>0.6</v>
      </c>
      <c r="S7" s="3">
        <f>0.0566</f>
        <v>5.6599999999999998E-2</v>
      </c>
      <c r="T7" s="3">
        <f>0.022</f>
        <v>2.1999999999999999E-2</v>
      </c>
      <c r="U7" s="3">
        <f>0.0384</f>
        <v>3.8399999999999997E-2</v>
      </c>
      <c r="V7" s="3">
        <f>0.0156</f>
        <v>1.5599999999999999E-2</v>
      </c>
      <c r="W7" s="3">
        <f>0.0369</f>
        <v>3.6900000000000002E-2</v>
      </c>
      <c r="X7" s="3">
        <f>0.0154</f>
        <v>1.54E-2</v>
      </c>
      <c r="Y7" s="3">
        <v>0.3286</v>
      </c>
      <c r="Z7" s="3">
        <v>0.25659999999999999</v>
      </c>
      <c r="AA7" s="3">
        <v>0.32350000000000001</v>
      </c>
      <c r="AB7" s="3">
        <f>0.0115</f>
        <v>1.15E-2</v>
      </c>
      <c r="AC7" s="3">
        <f>0.0048</f>
        <v>4.7999999999999996E-3</v>
      </c>
      <c r="AD7" s="3">
        <f>0.0051</f>
        <v>5.1000000000000004E-3</v>
      </c>
      <c r="AE7" s="3">
        <f t="shared" si="0"/>
        <v>3.2199999999999999E-2</v>
      </c>
      <c r="AF7" s="3">
        <v>0.02</v>
      </c>
      <c r="AG7" s="3">
        <f t="shared" si="1"/>
        <v>1.83E-2</v>
      </c>
      <c r="AI7">
        <v>2</v>
      </c>
    </row>
    <row r="8" spans="1:35" x14ac:dyDescent="0.3">
      <c r="A8" s="4">
        <v>0.65</v>
      </c>
      <c r="B8" s="3">
        <v>9</v>
      </c>
      <c r="C8" s="3">
        <v>2</v>
      </c>
      <c r="D8" s="3">
        <v>7</v>
      </c>
      <c r="E8" s="3">
        <v>7</v>
      </c>
      <c r="F8" s="3">
        <v>6</v>
      </c>
      <c r="G8" s="3">
        <v>5</v>
      </c>
      <c r="H8" s="3">
        <v>2</v>
      </c>
      <c r="I8" s="3">
        <v>2</v>
      </c>
      <c r="J8" s="3">
        <v>3</v>
      </c>
      <c r="K8" s="3">
        <v>19</v>
      </c>
      <c r="L8" s="3">
        <v>2</v>
      </c>
      <c r="M8" s="3">
        <v>13</v>
      </c>
      <c r="N8" s="3">
        <v>31</v>
      </c>
      <c r="O8" s="3">
        <v>13</v>
      </c>
      <c r="P8" s="3">
        <v>28</v>
      </c>
      <c r="Q8" s="3"/>
      <c r="R8" s="4">
        <v>0.65</v>
      </c>
      <c r="S8" s="3">
        <f>0.0407</f>
        <v>4.07E-2</v>
      </c>
      <c r="T8" s="3">
        <f>0.0204</f>
        <v>2.0400000000000001E-2</v>
      </c>
      <c r="U8" s="3">
        <f>0.0358</f>
        <v>3.5799999999999998E-2</v>
      </c>
      <c r="V8" s="3">
        <v>1.8800000000000001E-2</v>
      </c>
      <c r="W8" s="3">
        <f>0.0359</f>
        <v>3.5900000000000001E-2</v>
      </c>
      <c r="X8" s="3">
        <v>2.0500000000000001E-2</v>
      </c>
      <c r="Y8" s="3">
        <v>0.36609999999999998</v>
      </c>
      <c r="Z8" s="3">
        <v>0.26679999999999998</v>
      </c>
      <c r="AA8" s="3">
        <v>0.33629999999999999</v>
      </c>
      <c r="AB8" s="3">
        <f>0.0028</f>
        <v>2.8E-3</v>
      </c>
      <c r="AC8" s="3">
        <f>0.0018</f>
        <v>1.8E-3</v>
      </c>
      <c r="AD8" s="3">
        <f>0.0044</f>
        <v>4.4000000000000003E-3</v>
      </c>
      <c r="AE8" s="3">
        <f t="shared" si="0"/>
        <v>3.2199999999999999E-2</v>
      </c>
      <c r="AF8" s="3">
        <v>2.06E-2</v>
      </c>
      <c r="AG8" s="3">
        <f t="shared" si="1"/>
        <v>1.83E-2</v>
      </c>
      <c r="AI8">
        <v>2</v>
      </c>
    </row>
    <row r="9" spans="1:35" x14ac:dyDescent="0.3">
      <c r="A9" s="4">
        <v>0.7</v>
      </c>
      <c r="B9" s="3">
        <v>7</v>
      </c>
      <c r="C9" s="3">
        <v>5</v>
      </c>
      <c r="D9" s="3">
        <v>8</v>
      </c>
      <c r="E9" s="3">
        <v>6</v>
      </c>
      <c r="F9" s="3">
        <v>8</v>
      </c>
      <c r="G9" s="3">
        <v>7</v>
      </c>
      <c r="H9" s="3">
        <v>1</v>
      </c>
      <c r="I9" s="3">
        <v>2</v>
      </c>
      <c r="J9" s="3">
        <v>2</v>
      </c>
      <c r="K9" s="3">
        <v>18</v>
      </c>
      <c r="L9" s="3">
        <v>6</v>
      </c>
      <c r="M9" s="3">
        <v>16</v>
      </c>
      <c r="N9" s="3">
        <v>25</v>
      </c>
      <c r="O9" s="3">
        <v>15</v>
      </c>
      <c r="P9" s="3">
        <v>31</v>
      </c>
      <c r="Q9" s="3"/>
      <c r="R9" s="4">
        <v>0.7</v>
      </c>
      <c r="S9" s="3">
        <f>0.0068</f>
        <v>6.7999999999999996E-3</v>
      </c>
      <c r="T9" s="3">
        <f>0.0231</f>
        <v>2.3099999999999999E-2</v>
      </c>
      <c r="U9" s="3">
        <f>0.0071</f>
        <v>7.1000000000000004E-3</v>
      </c>
      <c r="V9" s="3">
        <v>1.3100000000000001E-2</v>
      </c>
      <c r="W9" s="3">
        <f>0.0155</f>
        <v>1.55E-2</v>
      </c>
      <c r="X9" s="3">
        <v>1.6199999999999999E-2</v>
      </c>
      <c r="Y9" s="3">
        <v>0.4</v>
      </c>
      <c r="Z9" s="3">
        <v>0.2702</v>
      </c>
      <c r="AA9" s="3">
        <v>0.3508</v>
      </c>
      <c r="AB9" s="3">
        <v>8.8000000000000005E-3</v>
      </c>
      <c r="AC9" s="3">
        <f>0.0006</f>
        <v>5.9999999999999995E-4</v>
      </c>
      <c r="AD9" s="3">
        <f>0.0025</f>
        <v>2.5000000000000001E-3</v>
      </c>
      <c r="AE9" s="3">
        <f t="shared" si="0"/>
        <v>3.2199999999999999E-2</v>
      </c>
      <c r="AF9" s="3">
        <v>2.29E-2</v>
      </c>
      <c r="AG9" s="3">
        <f t="shared" si="1"/>
        <v>1.83E-2</v>
      </c>
      <c r="AI9">
        <v>2</v>
      </c>
    </row>
    <row r="10" spans="1:35" x14ac:dyDescent="0.3">
      <c r="A10" s="4">
        <v>0.75</v>
      </c>
      <c r="B10" s="3">
        <v>12</v>
      </c>
      <c r="C10" s="3">
        <v>7</v>
      </c>
      <c r="D10" s="3">
        <v>9</v>
      </c>
      <c r="E10" s="3">
        <v>8</v>
      </c>
      <c r="F10" s="3">
        <v>5</v>
      </c>
      <c r="G10" s="3">
        <v>4</v>
      </c>
      <c r="H10" s="3">
        <v>1</v>
      </c>
      <c r="I10" s="3">
        <v>4</v>
      </c>
      <c r="J10" s="3">
        <v>1</v>
      </c>
      <c r="K10" s="3">
        <v>14</v>
      </c>
      <c r="L10" s="3">
        <v>9</v>
      </c>
      <c r="M10" s="3">
        <v>19</v>
      </c>
      <c r="N10" s="3">
        <v>5</v>
      </c>
      <c r="O10" s="3">
        <v>19</v>
      </c>
      <c r="P10" s="3">
        <v>15</v>
      </c>
      <c r="Q10" s="3"/>
      <c r="R10" s="4">
        <v>0.75</v>
      </c>
      <c r="S10" s="3">
        <v>1.61E-2</v>
      </c>
      <c r="T10" s="3">
        <f>0.0192</f>
        <v>1.9199999999999998E-2</v>
      </c>
      <c r="U10" s="3">
        <v>8.3000000000000001E-3</v>
      </c>
      <c r="V10" s="3">
        <v>4.2299999999999997E-2</v>
      </c>
      <c r="W10" s="3">
        <f>0.0058</f>
        <v>5.7999999999999996E-3</v>
      </c>
      <c r="X10" s="3">
        <v>3.5900000000000001E-2</v>
      </c>
      <c r="Y10" s="3">
        <v>0.39810000000000001</v>
      </c>
      <c r="Z10" s="3">
        <v>0.24510000000000001</v>
      </c>
      <c r="AA10" s="3">
        <v>0.37030000000000002</v>
      </c>
      <c r="AB10" s="3">
        <v>1.14E-2</v>
      </c>
      <c r="AC10" s="3">
        <v>2.3E-3</v>
      </c>
      <c r="AD10" s="3">
        <v>8.0999999999999996E-3</v>
      </c>
      <c r="AE10" s="3">
        <f t="shared" si="0"/>
        <v>3.2199999999999999E-2</v>
      </c>
      <c r="AF10" s="3">
        <v>2.6800000000000001E-2</v>
      </c>
      <c r="AG10" s="3">
        <f t="shared" si="1"/>
        <v>1.83E-2</v>
      </c>
      <c r="AI10">
        <v>2</v>
      </c>
    </row>
    <row r="11" spans="1:35" x14ac:dyDescent="0.3">
      <c r="A11" s="4">
        <v>0.8</v>
      </c>
      <c r="B11" s="3">
        <v>10</v>
      </c>
      <c r="C11" s="3">
        <v>11</v>
      </c>
      <c r="D11" s="3">
        <v>12</v>
      </c>
      <c r="E11" s="3">
        <v>6</v>
      </c>
      <c r="F11" s="3">
        <v>5</v>
      </c>
      <c r="G11" s="3">
        <v>7</v>
      </c>
      <c r="H11" s="3">
        <v>1</v>
      </c>
      <c r="I11" s="3">
        <v>2</v>
      </c>
      <c r="J11" s="3">
        <v>1</v>
      </c>
      <c r="K11" s="3">
        <v>5</v>
      </c>
      <c r="L11" s="3">
        <v>18</v>
      </c>
      <c r="M11" s="3">
        <v>14</v>
      </c>
      <c r="N11" s="3">
        <v>1</v>
      </c>
      <c r="O11" s="3">
        <v>34</v>
      </c>
      <c r="P11" s="3">
        <v>2</v>
      </c>
      <c r="Q11" s="3"/>
      <c r="R11" s="4">
        <v>0.8</v>
      </c>
      <c r="S11" s="5">
        <v>2.1899999999999999E-2</v>
      </c>
      <c r="T11" s="3">
        <f>0.0134</f>
        <v>1.34E-2</v>
      </c>
      <c r="U11" s="3">
        <v>2.3300000000000001E-2</v>
      </c>
      <c r="V11" s="3">
        <v>4.65E-2</v>
      </c>
      <c r="W11" s="3">
        <v>1.5800000000000002E-2</v>
      </c>
      <c r="X11" s="3">
        <v>3.56E-2</v>
      </c>
      <c r="Y11" s="3">
        <v>0.3962</v>
      </c>
      <c r="Z11" s="3">
        <v>0.26</v>
      </c>
      <c r="AA11" s="3">
        <v>0.36670000000000003</v>
      </c>
      <c r="AB11" s="3">
        <v>1.9099999999999999E-2</v>
      </c>
      <c r="AC11" s="3">
        <v>6.1000000000000004E-3</v>
      </c>
      <c r="AD11" s="3">
        <v>1.34E-2</v>
      </c>
      <c r="AE11" s="3">
        <f t="shared" si="0"/>
        <v>3.2199999999999999E-2</v>
      </c>
      <c r="AF11" s="3">
        <v>4.3200000000000002E-2</v>
      </c>
      <c r="AG11" s="3">
        <f t="shared" si="1"/>
        <v>1.83E-2</v>
      </c>
      <c r="AI11">
        <v>2</v>
      </c>
    </row>
    <row r="12" spans="1:35" x14ac:dyDescent="0.3">
      <c r="A12" s="4">
        <v>0.85</v>
      </c>
      <c r="B12" s="3">
        <v>10</v>
      </c>
      <c r="C12" s="3">
        <v>9</v>
      </c>
      <c r="D12" s="3">
        <v>12</v>
      </c>
      <c r="E12" s="3">
        <v>7</v>
      </c>
      <c r="F12" s="3">
        <v>4</v>
      </c>
      <c r="G12" s="3">
        <v>10</v>
      </c>
      <c r="H12" s="3">
        <v>1</v>
      </c>
      <c r="I12" s="3">
        <v>2</v>
      </c>
      <c r="J12" s="3">
        <v>1</v>
      </c>
      <c r="K12" s="3">
        <v>3</v>
      </c>
      <c r="L12" s="3">
        <v>17</v>
      </c>
      <c r="M12" s="3">
        <v>5</v>
      </c>
      <c r="N12" s="3">
        <v>1</v>
      </c>
      <c r="O12" s="3">
        <v>18</v>
      </c>
      <c r="P12" s="3">
        <v>1</v>
      </c>
      <c r="Q12" s="3"/>
      <c r="R12" s="4">
        <v>0.85</v>
      </c>
      <c r="S12" s="3">
        <v>1.9199999999999998E-2</v>
      </c>
      <c r="T12" s="3">
        <v>5.3E-3</v>
      </c>
      <c r="U12" s="3">
        <v>2.1700000000000001E-2</v>
      </c>
      <c r="V12" s="3">
        <v>4.48E-2</v>
      </c>
      <c r="W12" s="3">
        <v>2.2200000000000001E-2</v>
      </c>
      <c r="X12" s="3">
        <v>4.2700000000000002E-2</v>
      </c>
      <c r="Y12" s="3">
        <v>0.3962</v>
      </c>
      <c r="Z12" s="3">
        <v>0.25740000000000002</v>
      </c>
      <c r="AA12" s="3">
        <v>0.36020000000000002</v>
      </c>
      <c r="AB12" s="3">
        <v>1.8100000000000002E-2</v>
      </c>
      <c r="AC12" s="3">
        <v>9.4999999999999998E-3</v>
      </c>
      <c r="AD12" s="3">
        <v>1.52E-2</v>
      </c>
      <c r="AE12" s="3">
        <f t="shared" si="0"/>
        <v>3.2199999999999999E-2</v>
      </c>
      <c r="AF12" s="3">
        <v>2.8899999999999999E-2</v>
      </c>
      <c r="AG12" s="3">
        <f t="shared" si="1"/>
        <v>1.83E-2</v>
      </c>
      <c r="AI12">
        <v>2</v>
      </c>
    </row>
    <row r="13" spans="1:35" x14ac:dyDescent="0.3">
      <c r="A13" s="4">
        <v>0.9</v>
      </c>
      <c r="B13" s="3">
        <v>2</v>
      </c>
      <c r="C13" s="3">
        <v>10</v>
      </c>
      <c r="D13" s="3">
        <v>7</v>
      </c>
      <c r="E13" s="3">
        <v>1</v>
      </c>
      <c r="F13" s="3">
        <v>8</v>
      </c>
      <c r="G13" s="3">
        <v>6</v>
      </c>
      <c r="H13" s="3">
        <v>1</v>
      </c>
      <c r="I13" s="3">
        <v>1</v>
      </c>
      <c r="J13" s="3">
        <v>1</v>
      </c>
      <c r="K13" s="3">
        <v>1</v>
      </c>
      <c r="L13" s="3">
        <v>12</v>
      </c>
      <c r="M13" s="3">
        <v>1</v>
      </c>
      <c r="N13" s="3">
        <v>1</v>
      </c>
      <c r="O13" s="3">
        <v>2</v>
      </c>
      <c r="P13" s="3">
        <v>1</v>
      </c>
      <c r="Q13" s="3"/>
      <c r="R13" s="4">
        <v>0.9</v>
      </c>
      <c r="S13" s="3">
        <v>3.2300000000000002E-2</v>
      </c>
      <c r="T13" s="3">
        <v>1.3599999999999999E-2</v>
      </c>
      <c r="U13" s="3">
        <v>2.93E-2</v>
      </c>
      <c r="V13" s="3">
        <v>5.7599999999999998E-2</v>
      </c>
      <c r="W13" s="3">
        <v>2.1100000000000001E-2</v>
      </c>
      <c r="X13" s="3">
        <v>4.3499999999999997E-2</v>
      </c>
      <c r="Y13" s="3">
        <v>0.3962</v>
      </c>
      <c r="Z13" s="3">
        <v>0.2646</v>
      </c>
      <c r="AA13" s="3">
        <v>0.36020000000000002</v>
      </c>
      <c r="AB13" s="3">
        <v>3.3700000000000001E-2</v>
      </c>
      <c r="AC13" s="3">
        <v>2.8E-3</v>
      </c>
      <c r="AD13" s="3">
        <v>2.3300000000000001E-2</v>
      </c>
      <c r="AE13" s="3">
        <f t="shared" si="0"/>
        <v>3.2199999999999999E-2</v>
      </c>
      <c r="AF13" s="3">
        <v>1.5800000000000002E-2</v>
      </c>
      <c r="AG13" s="3">
        <f t="shared" si="1"/>
        <v>1.83E-2</v>
      </c>
      <c r="AI13">
        <v>2</v>
      </c>
    </row>
    <row r="14" spans="1:35" x14ac:dyDescent="0.3">
      <c r="A14" s="4">
        <v>0.95</v>
      </c>
      <c r="B14" s="3">
        <v>1</v>
      </c>
      <c r="C14" s="3">
        <v>7</v>
      </c>
      <c r="D14" s="3">
        <v>2</v>
      </c>
      <c r="E14" s="3">
        <v>1</v>
      </c>
      <c r="F14" s="3">
        <v>5</v>
      </c>
      <c r="G14" s="3">
        <v>2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/>
      <c r="R14" s="4">
        <v>0.95</v>
      </c>
      <c r="S14" s="3">
        <v>4.4299999999999999E-2</v>
      </c>
      <c r="T14" s="6">
        <v>1.6E-2</v>
      </c>
      <c r="U14" s="3">
        <v>3.6999999999999998E-2</v>
      </c>
      <c r="V14" s="3">
        <v>5.7200000000000001E-2</v>
      </c>
      <c r="W14" s="3">
        <v>2.5999999999999999E-2</v>
      </c>
      <c r="X14" s="3">
        <v>4.9399999999999999E-2</v>
      </c>
      <c r="Y14" s="3">
        <v>0.3962</v>
      </c>
      <c r="Z14" s="3">
        <v>0.26040000000000002</v>
      </c>
      <c r="AA14" s="3">
        <v>0.36020000000000002</v>
      </c>
      <c r="AB14" s="3">
        <v>3.3799999999999997E-2</v>
      </c>
      <c r="AC14" s="3">
        <v>1.2699999999999999E-2</v>
      </c>
      <c r="AD14" s="3">
        <v>2.3699999999999999E-2</v>
      </c>
      <c r="AE14" s="3">
        <f t="shared" si="0"/>
        <v>3.2199999999999999E-2</v>
      </c>
      <c r="AF14" s="3">
        <v>2.12E-2</v>
      </c>
      <c r="AG14" s="3">
        <f t="shared" si="1"/>
        <v>1.83E-2</v>
      </c>
      <c r="AI14">
        <v>2</v>
      </c>
    </row>
    <row r="15" spans="1:35" x14ac:dyDescent="0.3">
      <c r="A15" s="4">
        <v>0.99</v>
      </c>
      <c r="B15" s="3">
        <v>1</v>
      </c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/>
      <c r="R15" s="4">
        <v>0.99</v>
      </c>
      <c r="S15" s="6">
        <v>4.36E-2</v>
      </c>
      <c r="T15" s="3">
        <v>1.8599999999999998E-2</v>
      </c>
      <c r="U15" s="3">
        <v>3.4599999999999999E-2</v>
      </c>
      <c r="V15" s="3">
        <v>5.6599999999999998E-2</v>
      </c>
      <c r="W15" s="3">
        <v>2.5700000000000001E-2</v>
      </c>
      <c r="X15" s="3">
        <v>4.5900000000000003E-2</v>
      </c>
      <c r="Y15" s="3">
        <v>0.3962</v>
      </c>
      <c r="Z15" s="3">
        <v>0.26040000000000002</v>
      </c>
      <c r="AA15" s="3">
        <v>0.36020000000000002</v>
      </c>
      <c r="AB15" s="3">
        <v>3.3799999999999997E-2</v>
      </c>
      <c r="AC15" s="3">
        <v>1.2500000000000001E-2</v>
      </c>
      <c r="AD15" s="3">
        <v>2.3300000000000001E-2</v>
      </c>
      <c r="AE15" s="3">
        <f t="shared" si="0"/>
        <v>3.2199999999999999E-2</v>
      </c>
      <c r="AF15" s="3">
        <v>2.12E-2</v>
      </c>
      <c r="AG15" s="3">
        <f t="shared" si="1"/>
        <v>1.83E-2</v>
      </c>
      <c r="AI15">
        <v>2</v>
      </c>
    </row>
    <row r="16" spans="1:35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5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5" x14ac:dyDescent="0.3">
      <c r="A18" s="3" t="s">
        <v>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5" x14ac:dyDescent="0.3">
      <c r="A19" s="3" t="s">
        <v>35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 t="s">
        <v>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5" x14ac:dyDescent="0.3">
      <c r="A20" s="3" t="s">
        <v>2</v>
      </c>
      <c r="B20" s="3" t="s">
        <v>9</v>
      </c>
      <c r="C20" s="3" t="s">
        <v>10</v>
      </c>
      <c r="D20" s="3" t="s">
        <v>11</v>
      </c>
      <c r="E20" s="3" t="s">
        <v>12</v>
      </c>
      <c r="F20" s="3" t="s">
        <v>13</v>
      </c>
      <c r="G20" s="3" t="s">
        <v>14</v>
      </c>
      <c r="H20" s="3" t="s">
        <v>15</v>
      </c>
      <c r="I20" s="3" t="s">
        <v>16</v>
      </c>
      <c r="J20" s="3" t="s">
        <v>17</v>
      </c>
      <c r="K20" s="3" t="s">
        <v>18</v>
      </c>
      <c r="L20" s="3" t="s">
        <v>19</v>
      </c>
      <c r="M20" s="3" t="s">
        <v>20</v>
      </c>
      <c r="N20" s="3" t="s">
        <v>3</v>
      </c>
      <c r="O20" s="3" t="s">
        <v>4</v>
      </c>
      <c r="P20" s="3" t="s">
        <v>5</v>
      </c>
      <c r="Q20" s="3"/>
      <c r="R20" s="3" t="s">
        <v>2</v>
      </c>
      <c r="S20" s="3" t="s">
        <v>9</v>
      </c>
      <c r="T20" s="3" t="s">
        <v>10</v>
      </c>
      <c r="U20" s="3" t="s">
        <v>11</v>
      </c>
      <c r="V20" s="3" t="s">
        <v>12</v>
      </c>
      <c r="W20" s="3" t="s">
        <v>13</v>
      </c>
      <c r="X20" s="3" t="s">
        <v>14</v>
      </c>
      <c r="Y20" s="3" t="s">
        <v>15</v>
      </c>
      <c r="Z20" s="3" t="s">
        <v>16</v>
      </c>
      <c r="AA20" s="3" t="s">
        <v>17</v>
      </c>
      <c r="AB20" s="3" t="s">
        <v>18</v>
      </c>
      <c r="AC20" s="3" t="s">
        <v>19</v>
      </c>
      <c r="AD20" s="3" t="s">
        <v>20</v>
      </c>
      <c r="AE20" s="3" t="s">
        <v>3</v>
      </c>
      <c r="AF20" s="3" t="s">
        <v>4</v>
      </c>
      <c r="AG20" s="3" t="s">
        <v>5</v>
      </c>
    </row>
    <row r="21" spans="1:35" x14ac:dyDescent="0.3">
      <c r="A21" s="4">
        <v>0.3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2</v>
      </c>
      <c r="I21" s="3">
        <v>1</v>
      </c>
      <c r="J21" s="3">
        <v>1</v>
      </c>
      <c r="K21" s="3">
        <v>1</v>
      </c>
      <c r="L21" s="3">
        <v>0</v>
      </c>
      <c r="M21" s="3">
        <v>1</v>
      </c>
      <c r="N21" s="3">
        <v>0</v>
      </c>
      <c r="O21" s="3">
        <v>0</v>
      </c>
      <c r="P21" s="3">
        <v>0</v>
      </c>
      <c r="Q21" s="3"/>
      <c r="R21" s="4">
        <v>0.3</v>
      </c>
      <c r="S21" s="3">
        <v>-1</v>
      </c>
      <c r="T21" s="3">
        <v>-1</v>
      </c>
      <c r="U21" s="3">
        <v>-1</v>
      </c>
      <c r="V21" s="3">
        <v>-1</v>
      </c>
      <c r="W21" s="3">
        <v>-1</v>
      </c>
      <c r="X21" s="3">
        <v>-1</v>
      </c>
      <c r="Y21" s="3">
        <v>0.21410000000000001</v>
      </c>
      <c r="Z21" s="3">
        <v>6.5100000000000005E-2</v>
      </c>
      <c r="AA21" s="3">
        <v>0.2722</v>
      </c>
      <c r="AB21" s="3">
        <f>0.0123</f>
        <v>1.23E-2</v>
      </c>
      <c r="AC21" s="3">
        <v>-1</v>
      </c>
      <c r="AD21" s="3">
        <v>5.9999999999999995E-4</v>
      </c>
      <c r="AE21" s="3">
        <v>-1</v>
      </c>
      <c r="AF21" s="3">
        <v>-1</v>
      </c>
      <c r="AG21" s="3">
        <v>-1</v>
      </c>
      <c r="AI21">
        <v>3</v>
      </c>
    </row>
    <row r="22" spans="1:35" x14ac:dyDescent="0.3">
      <c r="A22" s="4">
        <v>0.4</v>
      </c>
      <c r="B22" s="3">
        <v>0</v>
      </c>
      <c r="C22" s="3">
        <v>0</v>
      </c>
      <c r="D22" s="3">
        <v>0</v>
      </c>
      <c r="E22" s="3">
        <v>1</v>
      </c>
      <c r="F22" s="3">
        <v>0</v>
      </c>
      <c r="G22" s="3">
        <v>1</v>
      </c>
      <c r="H22" s="3">
        <v>1</v>
      </c>
      <c r="I22" s="3">
        <v>3</v>
      </c>
      <c r="J22" s="3">
        <v>1</v>
      </c>
      <c r="K22" s="3">
        <v>2</v>
      </c>
      <c r="L22" s="3">
        <v>0</v>
      </c>
      <c r="M22" s="3">
        <v>2</v>
      </c>
      <c r="N22" s="3">
        <v>0</v>
      </c>
      <c r="O22" s="3">
        <v>0</v>
      </c>
      <c r="P22" s="3">
        <v>0</v>
      </c>
      <c r="Q22" s="3"/>
      <c r="R22" s="4">
        <v>0.4</v>
      </c>
      <c r="S22" s="3">
        <v>-1</v>
      </c>
      <c r="T22" s="3">
        <v>-1</v>
      </c>
      <c r="U22" s="3">
        <v>-1</v>
      </c>
      <c r="V22" s="3">
        <f>0.0453</f>
        <v>4.53E-2</v>
      </c>
      <c r="W22" s="3">
        <v>-1</v>
      </c>
      <c r="X22" s="3">
        <f>0.0296</f>
        <v>2.9600000000000001E-2</v>
      </c>
      <c r="Y22" s="3">
        <v>0.3226</v>
      </c>
      <c r="Z22" s="3">
        <v>5.7500000000000002E-2</v>
      </c>
      <c r="AA22" s="3">
        <v>0.31740000000000002</v>
      </c>
      <c r="AB22" s="3">
        <f>0.0289</f>
        <v>2.8899999999999999E-2</v>
      </c>
      <c r="AC22" s="3">
        <v>-1</v>
      </c>
      <c r="AD22" s="3">
        <f>0.0167</f>
        <v>1.67E-2</v>
      </c>
      <c r="AE22" s="3">
        <v>-1</v>
      </c>
      <c r="AF22" s="3">
        <v>-1</v>
      </c>
      <c r="AG22" s="3">
        <v>-1</v>
      </c>
      <c r="AI22">
        <v>3</v>
      </c>
    </row>
    <row r="23" spans="1:35" x14ac:dyDescent="0.3">
      <c r="A23" s="4">
        <v>0.5</v>
      </c>
      <c r="B23" s="3">
        <v>0</v>
      </c>
      <c r="C23" s="3">
        <v>0</v>
      </c>
      <c r="D23" s="3">
        <v>0</v>
      </c>
      <c r="E23" s="3">
        <v>2</v>
      </c>
      <c r="F23" s="3">
        <v>0</v>
      </c>
      <c r="G23" s="3">
        <v>1</v>
      </c>
      <c r="H23" s="3">
        <v>1</v>
      </c>
      <c r="I23" s="3">
        <v>2</v>
      </c>
      <c r="J23" s="3">
        <v>1</v>
      </c>
      <c r="K23" s="3">
        <v>3</v>
      </c>
      <c r="L23" s="3">
        <v>1</v>
      </c>
      <c r="M23" s="3">
        <v>2</v>
      </c>
      <c r="N23" s="3">
        <v>2</v>
      </c>
      <c r="O23" s="3">
        <v>0</v>
      </c>
      <c r="P23" s="3">
        <v>0</v>
      </c>
      <c r="Q23" s="3"/>
      <c r="R23" s="4">
        <v>0.5</v>
      </c>
      <c r="S23" s="3">
        <v>-1</v>
      </c>
      <c r="T23" s="3">
        <v>-1</v>
      </c>
      <c r="U23" s="3">
        <v>-1</v>
      </c>
      <c r="V23" s="3">
        <f>0.0566</f>
        <v>5.6599999999999998E-2</v>
      </c>
      <c r="W23" s="3">
        <v>-1</v>
      </c>
      <c r="X23" s="3">
        <f>0.0221</f>
        <v>2.2100000000000002E-2</v>
      </c>
      <c r="Y23" s="3">
        <v>0.36859999999999998</v>
      </c>
      <c r="Z23" s="3">
        <v>0.2034</v>
      </c>
      <c r="AA23" s="3">
        <v>0.35639999999999999</v>
      </c>
      <c r="AB23" s="3">
        <f>0.0198</f>
        <v>1.9800000000000002E-2</v>
      </c>
      <c r="AC23" s="3">
        <v>2E-3</v>
      </c>
      <c r="AD23" s="3">
        <f>0.0066</f>
        <v>6.6E-3</v>
      </c>
      <c r="AE23" s="3">
        <f>0.0141</f>
        <v>1.41E-2</v>
      </c>
      <c r="AF23" s="3">
        <v>-1</v>
      </c>
      <c r="AG23" s="3">
        <v>-1</v>
      </c>
      <c r="AI23">
        <v>3</v>
      </c>
    </row>
    <row r="24" spans="1:35" x14ac:dyDescent="0.3">
      <c r="A24" s="4">
        <v>0.6</v>
      </c>
      <c r="B24" s="3">
        <v>2</v>
      </c>
      <c r="C24" s="3">
        <v>0</v>
      </c>
      <c r="D24" s="3">
        <v>1</v>
      </c>
      <c r="E24" s="3">
        <v>2</v>
      </c>
      <c r="F24" s="3">
        <v>1</v>
      </c>
      <c r="G24" s="3">
        <v>2</v>
      </c>
      <c r="H24" s="3">
        <v>1</v>
      </c>
      <c r="I24" s="3">
        <v>1</v>
      </c>
      <c r="J24" s="3">
        <v>1</v>
      </c>
      <c r="K24" s="3">
        <v>4</v>
      </c>
      <c r="L24" s="3">
        <v>2</v>
      </c>
      <c r="M24" s="3">
        <v>4</v>
      </c>
      <c r="N24" s="3">
        <v>7</v>
      </c>
      <c r="O24" s="3">
        <v>0</v>
      </c>
      <c r="P24" s="3">
        <v>5</v>
      </c>
      <c r="Q24" s="3"/>
      <c r="R24" s="4">
        <v>0.6</v>
      </c>
      <c r="S24" s="3">
        <f>0.0642</f>
        <v>6.4199999999999993E-2</v>
      </c>
      <c r="T24" s="3">
        <v>-1</v>
      </c>
      <c r="U24" s="3">
        <f>0.0366</f>
        <v>3.6600000000000001E-2</v>
      </c>
      <c r="V24" s="3">
        <f>0.0197</f>
        <v>1.9699999999999999E-2</v>
      </c>
      <c r="W24" s="3">
        <f>0.0161</f>
        <v>1.61E-2</v>
      </c>
      <c r="X24" s="3">
        <f>0.0152</f>
        <v>1.52E-2</v>
      </c>
      <c r="Y24" s="3">
        <v>0.39279999999999998</v>
      </c>
      <c r="Z24" s="3">
        <v>0.25169999999999998</v>
      </c>
      <c r="AA24" s="3">
        <v>0.36759999999999998</v>
      </c>
      <c r="AB24" s="3">
        <f>0.007</f>
        <v>7.0000000000000001E-3</v>
      </c>
      <c r="AC24" s="3">
        <f>0.0048</f>
        <v>4.7999999999999996E-3</v>
      </c>
      <c r="AD24" s="3">
        <f>0.0023</f>
        <v>2.3E-3</v>
      </c>
      <c r="AE24" s="3">
        <f>0.0327</f>
        <v>3.27E-2</v>
      </c>
      <c r="AF24" s="3">
        <v>-1</v>
      </c>
      <c r="AG24" s="3">
        <f>0.0294</f>
        <v>2.9399999999999999E-2</v>
      </c>
      <c r="AI24">
        <v>3</v>
      </c>
    </row>
    <row r="25" spans="1:35" x14ac:dyDescent="0.3">
      <c r="A25" s="4">
        <v>0.65</v>
      </c>
      <c r="B25" s="3">
        <v>1</v>
      </c>
      <c r="C25" s="3">
        <v>0</v>
      </c>
      <c r="D25" s="3">
        <v>1</v>
      </c>
      <c r="E25" s="3">
        <v>2</v>
      </c>
      <c r="F25" s="3">
        <v>1</v>
      </c>
      <c r="G25" s="3">
        <v>2</v>
      </c>
      <c r="H25" s="3">
        <v>1</v>
      </c>
      <c r="I25" s="3">
        <v>1</v>
      </c>
      <c r="J25" s="3">
        <v>1</v>
      </c>
      <c r="K25" s="3">
        <v>5</v>
      </c>
      <c r="L25" s="3">
        <v>2</v>
      </c>
      <c r="M25" s="3">
        <v>4</v>
      </c>
      <c r="N25" s="3">
        <v>13</v>
      </c>
      <c r="O25" s="3">
        <v>0</v>
      </c>
      <c r="P25" s="3">
        <v>9</v>
      </c>
      <c r="Q25" s="3"/>
      <c r="R25" s="4">
        <v>0.65</v>
      </c>
      <c r="S25" s="3">
        <f>0.0276</f>
        <v>2.76E-2</v>
      </c>
      <c r="T25" s="3">
        <v>-1</v>
      </c>
      <c r="U25" s="3">
        <f>0.0101</f>
        <v>1.01E-2</v>
      </c>
      <c r="V25" s="3">
        <v>2.4199999999999999E-2</v>
      </c>
      <c r="W25" s="3">
        <f>0.0106</f>
        <v>1.06E-2</v>
      </c>
      <c r="X25" s="3">
        <v>2.9600000000000001E-2</v>
      </c>
      <c r="Y25" s="3">
        <v>0.39860000000000001</v>
      </c>
      <c r="Z25" s="3">
        <v>0.26300000000000001</v>
      </c>
      <c r="AA25" s="3">
        <v>0.37319999999999998</v>
      </c>
      <c r="AB25" s="3">
        <f>0.0131</f>
        <v>1.3100000000000001E-2</v>
      </c>
      <c r="AC25" s="3">
        <f>0.0018</f>
        <v>1.8E-3</v>
      </c>
      <c r="AD25" s="3">
        <v>2.0000000000000001E-4</v>
      </c>
      <c r="AE25" s="3">
        <f>0.0266</f>
        <v>2.6599999999999999E-2</v>
      </c>
      <c r="AF25" s="3">
        <v>-1</v>
      </c>
      <c r="AG25" s="3">
        <f>0.0311</f>
        <v>3.1099999999999999E-2</v>
      </c>
      <c r="AI25">
        <v>3</v>
      </c>
    </row>
    <row r="26" spans="1:35" x14ac:dyDescent="0.3">
      <c r="A26" s="4">
        <v>0.7</v>
      </c>
      <c r="B26" s="3">
        <v>2</v>
      </c>
      <c r="C26" s="3">
        <v>0</v>
      </c>
      <c r="D26" s="3">
        <v>1</v>
      </c>
      <c r="E26" s="3">
        <v>2</v>
      </c>
      <c r="F26" s="3">
        <v>2</v>
      </c>
      <c r="G26" s="3">
        <v>2</v>
      </c>
      <c r="H26" s="3">
        <v>1</v>
      </c>
      <c r="I26" s="3">
        <v>1</v>
      </c>
      <c r="J26" s="3">
        <v>1</v>
      </c>
      <c r="K26" s="3">
        <v>8</v>
      </c>
      <c r="L26" s="3">
        <v>2</v>
      </c>
      <c r="M26" s="3">
        <v>6</v>
      </c>
      <c r="N26" s="3">
        <v>11</v>
      </c>
      <c r="O26" s="3">
        <v>3</v>
      </c>
      <c r="P26" s="3">
        <v>15</v>
      </c>
      <c r="Q26" s="3"/>
      <c r="R26" s="4">
        <v>0.7</v>
      </c>
      <c r="S26" s="3">
        <f>0.0059</f>
        <v>5.8999999999999999E-3</v>
      </c>
      <c r="T26" s="3">
        <v>-1</v>
      </c>
      <c r="U26" s="3">
        <v>2.7000000000000001E-3</v>
      </c>
      <c r="V26" s="3">
        <v>3.9899999999999998E-2</v>
      </c>
      <c r="W26" s="3">
        <f>0.0156</f>
        <v>1.5599999999999999E-2</v>
      </c>
      <c r="X26" s="3">
        <v>3.8600000000000002E-2</v>
      </c>
      <c r="Y26" s="3">
        <v>0.4</v>
      </c>
      <c r="Z26" s="3">
        <v>0.27010000000000001</v>
      </c>
      <c r="AA26" s="3">
        <v>0.37309999999999999</v>
      </c>
      <c r="AB26" s="3">
        <v>2.0500000000000001E-2</v>
      </c>
      <c r="AC26" s="3">
        <v>1.1000000000000001E-3</v>
      </c>
      <c r="AD26" s="3">
        <f>0.0081</f>
        <v>8.0999999999999996E-3</v>
      </c>
      <c r="AE26" s="3">
        <f>0.0105</f>
        <v>1.0500000000000001E-2</v>
      </c>
      <c r="AF26" s="3">
        <f>0.0178</f>
        <v>1.78E-2</v>
      </c>
      <c r="AG26" s="3">
        <f>0.0106</f>
        <v>1.06E-2</v>
      </c>
      <c r="AI26">
        <v>3</v>
      </c>
    </row>
    <row r="27" spans="1:35" x14ac:dyDescent="0.3">
      <c r="A27" s="4">
        <v>0.75</v>
      </c>
      <c r="B27" s="3">
        <v>4</v>
      </c>
      <c r="C27" s="3">
        <v>1</v>
      </c>
      <c r="D27" s="3">
        <v>4</v>
      </c>
      <c r="E27" s="3">
        <v>3</v>
      </c>
      <c r="F27" s="3">
        <v>2</v>
      </c>
      <c r="G27" s="3">
        <v>3</v>
      </c>
      <c r="H27" s="3">
        <v>1</v>
      </c>
      <c r="I27" s="3">
        <v>1</v>
      </c>
      <c r="J27" s="3">
        <v>1</v>
      </c>
      <c r="K27" s="3">
        <v>10</v>
      </c>
      <c r="L27" s="3">
        <v>4</v>
      </c>
      <c r="M27" s="3">
        <v>8</v>
      </c>
      <c r="N27" s="3">
        <v>3</v>
      </c>
      <c r="O27" s="3">
        <v>5</v>
      </c>
      <c r="P27" s="3">
        <v>8</v>
      </c>
      <c r="Q27" s="3"/>
      <c r="R27" s="4">
        <v>0.75</v>
      </c>
      <c r="S27" s="3">
        <v>6.1999999999999998E-3</v>
      </c>
      <c r="T27" s="3">
        <f>0.0197</f>
        <v>1.9699999999999999E-2</v>
      </c>
      <c r="U27" s="3">
        <v>1.1299999999999999E-2</v>
      </c>
      <c r="V27" s="3">
        <v>4.1000000000000002E-2</v>
      </c>
      <c r="W27" s="3">
        <f>0.0068</f>
        <v>6.7999999999999996E-3</v>
      </c>
      <c r="X27" s="3">
        <v>3.3700000000000001E-2</v>
      </c>
      <c r="Y27" s="3">
        <v>0.39810000000000001</v>
      </c>
      <c r="Z27" s="3">
        <v>0.27250000000000002</v>
      </c>
      <c r="AA27" s="3">
        <v>0.37030000000000002</v>
      </c>
      <c r="AB27" s="3">
        <v>1.6799999999999999E-2</v>
      </c>
      <c r="AC27" s="3">
        <v>2.5000000000000001E-3</v>
      </c>
      <c r="AD27" s="3">
        <v>1.8700000000000001E-2</v>
      </c>
      <c r="AE27" s="3">
        <v>7.1999999999999998E-3</v>
      </c>
      <c r="AF27" s="3">
        <f>0.0119</f>
        <v>1.1900000000000001E-2</v>
      </c>
      <c r="AG27" s="3">
        <v>5.7000000000000002E-3</v>
      </c>
      <c r="AI27">
        <v>3</v>
      </c>
    </row>
    <row r="28" spans="1:35" x14ac:dyDescent="0.3">
      <c r="A28" s="4">
        <v>0.8</v>
      </c>
      <c r="B28" s="3">
        <v>4</v>
      </c>
      <c r="C28" s="3">
        <v>3</v>
      </c>
      <c r="D28" s="3">
        <v>4</v>
      </c>
      <c r="E28" s="3">
        <v>3</v>
      </c>
      <c r="F28" s="3">
        <v>2</v>
      </c>
      <c r="G28" s="3">
        <v>3</v>
      </c>
      <c r="H28" s="3">
        <v>1</v>
      </c>
      <c r="I28" s="3">
        <v>1</v>
      </c>
      <c r="J28" s="3">
        <v>1</v>
      </c>
      <c r="K28" s="3">
        <v>3</v>
      </c>
      <c r="L28" s="3">
        <v>5</v>
      </c>
      <c r="M28" s="3">
        <v>5</v>
      </c>
      <c r="N28" s="3">
        <v>1</v>
      </c>
      <c r="O28" s="3">
        <v>15</v>
      </c>
      <c r="P28" s="3">
        <v>1</v>
      </c>
      <c r="Q28" s="3"/>
      <c r="R28" s="4">
        <v>0.8</v>
      </c>
      <c r="S28" s="3">
        <v>2.3199999999999998E-2</v>
      </c>
      <c r="T28" s="3">
        <f>0.0184</f>
        <v>1.84E-2</v>
      </c>
      <c r="U28" s="3">
        <v>1.9699999999999999E-2</v>
      </c>
      <c r="V28" s="3">
        <v>5.6399999999999999E-2</v>
      </c>
      <c r="W28" s="3">
        <v>2.1700000000000001E-2</v>
      </c>
      <c r="X28" s="3">
        <v>3.4099999999999998E-2</v>
      </c>
      <c r="Y28" s="3">
        <v>0.3962</v>
      </c>
      <c r="Z28" s="3">
        <v>0.27200000000000002</v>
      </c>
      <c r="AA28" s="3">
        <v>0.36670000000000003</v>
      </c>
      <c r="AB28" s="3">
        <v>2.18E-2</v>
      </c>
      <c r="AC28" s="3">
        <v>5.0000000000000001E-4</v>
      </c>
      <c r="AD28" s="3">
        <v>1.52E-2</v>
      </c>
      <c r="AE28" s="3">
        <v>4.4200000000000003E-2</v>
      </c>
      <c r="AF28" s="3">
        <f>0.0044</f>
        <v>4.4000000000000003E-3</v>
      </c>
      <c r="AG28" s="3">
        <v>3.6200000000000003E-2</v>
      </c>
      <c r="AI28">
        <v>3</v>
      </c>
    </row>
    <row r="29" spans="1:35" x14ac:dyDescent="0.3">
      <c r="A29" s="4">
        <v>0.85</v>
      </c>
      <c r="B29" s="3">
        <v>2</v>
      </c>
      <c r="C29" s="3">
        <v>3</v>
      </c>
      <c r="D29" s="3">
        <v>3</v>
      </c>
      <c r="E29" s="3">
        <v>2</v>
      </c>
      <c r="F29" s="3">
        <v>3</v>
      </c>
      <c r="G29" s="3">
        <v>2</v>
      </c>
      <c r="H29" s="3">
        <v>1</v>
      </c>
      <c r="I29" s="3">
        <v>1</v>
      </c>
      <c r="J29" s="3">
        <v>1</v>
      </c>
      <c r="K29" s="3">
        <v>1</v>
      </c>
      <c r="L29" s="3">
        <v>7</v>
      </c>
      <c r="M29" s="3">
        <v>2</v>
      </c>
      <c r="N29" s="3">
        <v>1</v>
      </c>
      <c r="O29" s="3">
        <v>10</v>
      </c>
      <c r="P29" s="3">
        <v>1</v>
      </c>
      <c r="Q29" s="3"/>
      <c r="R29" s="4">
        <v>0.85</v>
      </c>
      <c r="S29" s="5">
        <v>3.7999999999999999E-2</v>
      </c>
      <c r="T29" s="3">
        <v>6.7000000000000002E-3</v>
      </c>
      <c r="U29" s="3">
        <v>2.3199999999999998E-2</v>
      </c>
      <c r="V29" s="3">
        <v>5.8000000000000003E-2</v>
      </c>
      <c r="W29" s="3">
        <v>2.0500000000000001E-2</v>
      </c>
      <c r="X29" s="3">
        <v>4.9700000000000001E-2</v>
      </c>
      <c r="Y29" s="3">
        <v>0.3962</v>
      </c>
      <c r="Z29" s="3">
        <v>0.27079999999999999</v>
      </c>
      <c r="AA29" s="3">
        <v>0.36020000000000002</v>
      </c>
      <c r="AB29" s="3">
        <v>3.2099999999999997E-2</v>
      </c>
      <c r="AC29" s="3">
        <v>1.03E-2</v>
      </c>
      <c r="AD29" s="3">
        <v>1.8599999999999998E-2</v>
      </c>
      <c r="AE29" s="3">
        <v>4.4499999999999998E-2</v>
      </c>
      <c r="AF29" s="3">
        <v>2.0999999999999999E-3</v>
      </c>
      <c r="AG29" s="3">
        <v>3.9699999999999999E-2</v>
      </c>
      <c r="AI29">
        <v>3</v>
      </c>
    </row>
    <row r="30" spans="1:35" x14ac:dyDescent="0.3">
      <c r="A30" s="4">
        <v>0.9</v>
      </c>
      <c r="B30" s="3">
        <v>1</v>
      </c>
      <c r="C30" s="3">
        <v>4</v>
      </c>
      <c r="D30" s="3">
        <v>2</v>
      </c>
      <c r="E30" s="3">
        <v>1</v>
      </c>
      <c r="F30" s="3">
        <v>3</v>
      </c>
      <c r="G30" s="3">
        <v>2</v>
      </c>
      <c r="H30" s="3">
        <v>1</v>
      </c>
      <c r="I30" s="3">
        <v>1</v>
      </c>
      <c r="J30" s="3">
        <v>1</v>
      </c>
      <c r="K30" s="3">
        <v>1</v>
      </c>
      <c r="L30" s="3">
        <v>5</v>
      </c>
      <c r="M30" s="3">
        <v>1</v>
      </c>
      <c r="N30" s="3">
        <v>1</v>
      </c>
      <c r="O30" s="3">
        <v>1</v>
      </c>
      <c r="P30" s="3">
        <v>1</v>
      </c>
      <c r="Q30" s="3"/>
      <c r="R30" s="4">
        <v>0.9</v>
      </c>
      <c r="S30" s="3">
        <v>4.3999999999999997E-2</v>
      </c>
      <c r="T30" s="3">
        <v>1.1599999999999999E-2</v>
      </c>
      <c r="U30" s="3">
        <v>3.6299999999999999E-2</v>
      </c>
      <c r="V30" s="3">
        <v>5.7599999999999998E-2</v>
      </c>
      <c r="W30" s="3">
        <v>1.9599999999999999E-2</v>
      </c>
      <c r="X30" s="3">
        <v>5.0999999999999997E-2</v>
      </c>
      <c r="Y30" s="3">
        <v>0.3962</v>
      </c>
      <c r="Z30" s="3">
        <v>0.2646</v>
      </c>
      <c r="AA30" s="3">
        <v>0.36020000000000002</v>
      </c>
      <c r="AB30" s="3">
        <v>3.3700000000000001E-2</v>
      </c>
      <c r="AC30" s="3">
        <v>9.7000000000000003E-3</v>
      </c>
      <c r="AD30" s="3">
        <v>2.3300000000000001E-2</v>
      </c>
      <c r="AE30" s="3">
        <v>4.4499999999999998E-2</v>
      </c>
      <c r="AF30" s="3">
        <v>2.0799999999999999E-2</v>
      </c>
      <c r="AG30" s="3">
        <v>3.9300000000000002E-2</v>
      </c>
      <c r="AI30">
        <v>3</v>
      </c>
    </row>
    <row r="31" spans="1:35" x14ac:dyDescent="0.3">
      <c r="A31" s="4">
        <v>0.95</v>
      </c>
      <c r="B31" s="3">
        <v>1</v>
      </c>
      <c r="C31" s="3">
        <v>2</v>
      </c>
      <c r="D31" s="3">
        <v>1</v>
      </c>
      <c r="E31" s="3">
        <v>1</v>
      </c>
      <c r="F31" s="3">
        <v>2</v>
      </c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3">
        <v>1</v>
      </c>
      <c r="N31" s="3">
        <v>1</v>
      </c>
      <c r="O31" s="3">
        <v>1</v>
      </c>
      <c r="P31" s="3">
        <v>1</v>
      </c>
      <c r="Q31" s="3"/>
      <c r="R31" s="4">
        <v>0.95</v>
      </c>
      <c r="S31" s="6">
        <v>4.4299999999999999E-2</v>
      </c>
      <c r="T31" s="3">
        <v>1.9699999999999999E-2</v>
      </c>
      <c r="U31" s="3">
        <v>3.6499999999999998E-2</v>
      </c>
      <c r="V31" s="3">
        <v>5.7200000000000001E-2</v>
      </c>
      <c r="W31" s="3">
        <v>2.8199999999999999E-2</v>
      </c>
      <c r="X31" s="3">
        <v>4.8599999999999997E-2</v>
      </c>
      <c r="Y31" s="3">
        <v>0.3962</v>
      </c>
      <c r="Z31" s="3">
        <v>0.26040000000000002</v>
      </c>
      <c r="AA31" s="3">
        <v>0.36020000000000002</v>
      </c>
      <c r="AB31" s="3">
        <v>3.3799999999999997E-2</v>
      </c>
      <c r="AC31" s="3">
        <v>1.2699999999999999E-2</v>
      </c>
      <c r="AD31" s="3">
        <v>2.3699999999999999E-2</v>
      </c>
      <c r="AE31" s="3">
        <v>4.4499999999999998E-2</v>
      </c>
      <c r="AF31" s="3">
        <v>2.12E-2</v>
      </c>
      <c r="AG31" s="3">
        <v>3.9300000000000002E-2</v>
      </c>
      <c r="AI31">
        <v>3</v>
      </c>
    </row>
    <row r="32" spans="1:35" x14ac:dyDescent="0.3">
      <c r="A32" s="4">
        <v>0.99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/>
      <c r="R32" s="4">
        <v>0.99</v>
      </c>
      <c r="S32" s="3">
        <v>4.36E-2</v>
      </c>
      <c r="T32" s="3">
        <v>1.8599999999999998E-2</v>
      </c>
      <c r="U32" s="3">
        <v>3.4599999999999999E-2</v>
      </c>
      <c r="V32" s="3">
        <v>5.6599999999999998E-2</v>
      </c>
      <c r="W32" s="3">
        <v>2.5700000000000001E-2</v>
      </c>
      <c r="X32" s="3">
        <v>4.5900000000000003E-2</v>
      </c>
      <c r="Y32" s="3">
        <v>0.3962</v>
      </c>
      <c r="Z32" s="3">
        <v>0.26040000000000002</v>
      </c>
      <c r="AA32" s="3">
        <v>0.36020000000000002</v>
      </c>
      <c r="AB32" s="3">
        <v>3.3799999999999997E-2</v>
      </c>
      <c r="AC32" s="3">
        <v>1.2500000000000001E-2</v>
      </c>
      <c r="AD32" s="3">
        <v>2.3300000000000001E-2</v>
      </c>
      <c r="AE32" s="3">
        <v>4.4499999999999998E-2</v>
      </c>
      <c r="AF32" s="3">
        <v>2.12E-2</v>
      </c>
      <c r="AG32" s="3">
        <v>3.9300000000000002E-2</v>
      </c>
      <c r="AI32">
        <v>3</v>
      </c>
    </row>
    <row r="33" spans="1:35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5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5" x14ac:dyDescent="0.3">
      <c r="A35" s="3" t="s">
        <v>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5" x14ac:dyDescent="0.3">
      <c r="A36" s="3" t="s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 t="s">
        <v>1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5" x14ac:dyDescent="0.3">
      <c r="A37" s="3" t="s">
        <v>2</v>
      </c>
      <c r="B37" s="3" t="s">
        <v>9</v>
      </c>
      <c r="C37" s="3" t="s">
        <v>10</v>
      </c>
      <c r="D37" s="3" t="s">
        <v>11</v>
      </c>
      <c r="E37" s="3" t="s">
        <v>12</v>
      </c>
      <c r="F37" s="3" t="s">
        <v>13</v>
      </c>
      <c r="G37" s="3" t="s">
        <v>14</v>
      </c>
      <c r="H37" s="3" t="s">
        <v>15</v>
      </c>
      <c r="I37" s="3" t="s">
        <v>16</v>
      </c>
      <c r="J37" s="3" t="s">
        <v>17</v>
      </c>
      <c r="K37" s="3" t="s">
        <v>18</v>
      </c>
      <c r="L37" s="3" t="s">
        <v>19</v>
      </c>
      <c r="M37" s="3" t="s">
        <v>20</v>
      </c>
      <c r="N37" s="3" t="s">
        <v>3</v>
      </c>
      <c r="O37" s="3" t="s">
        <v>4</v>
      </c>
      <c r="P37" s="3" t="s">
        <v>5</v>
      </c>
      <c r="Q37" s="3"/>
      <c r="R37" s="3" t="s">
        <v>2</v>
      </c>
      <c r="S37" s="3" t="s">
        <v>9</v>
      </c>
      <c r="T37" s="3" t="s">
        <v>10</v>
      </c>
      <c r="U37" s="3" t="s">
        <v>11</v>
      </c>
      <c r="V37" s="3" t="s">
        <v>12</v>
      </c>
      <c r="W37" s="3" t="s">
        <v>13</v>
      </c>
      <c r="X37" s="3" t="s">
        <v>14</v>
      </c>
      <c r="Y37" s="3" t="s">
        <v>15</v>
      </c>
      <c r="Z37" s="3" t="s">
        <v>16</v>
      </c>
      <c r="AA37" s="3" t="s">
        <v>17</v>
      </c>
      <c r="AB37" s="3" t="s">
        <v>18</v>
      </c>
      <c r="AC37" s="3" t="s">
        <v>19</v>
      </c>
      <c r="AD37" s="3" t="s">
        <v>20</v>
      </c>
      <c r="AE37" s="3" t="s">
        <v>3</v>
      </c>
      <c r="AF37" s="3" t="s">
        <v>4</v>
      </c>
      <c r="AG37" s="3" t="s">
        <v>5</v>
      </c>
    </row>
    <row r="38" spans="1:35" x14ac:dyDescent="0.3">
      <c r="A38" s="4">
        <v>0.3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1</v>
      </c>
      <c r="I38" s="3">
        <v>1</v>
      </c>
      <c r="J38" s="3">
        <v>1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/>
      <c r="R38" s="4">
        <v>0.3</v>
      </c>
      <c r="S38" s="3">
        <v>-1</v>
      </c>
      <c r="T38" s="3">
        <v>-1</v>
      </c>
      <c r="U38" s="3">
        <v>-1</v>
      </c>
      <c r="V38" s="3">
        <v>-1</v>
      </c>
      <c r="W38" s="3">
        <v>-1</v>
      </c>
      <c r="X38" s="3">
        <v>-1</v>
      </c>
      <c r="Y38" s="3">
        <v>0.25729999999999997</v>
      </c>
      <c r="Z38" s="3">
        <v>6.3399999999999998E-2</v>
      </c>
      <c r="AA38" s="3">
        <v>0.26889999999999997</v>
      </c>
      <c r="AB38" s="3">
        <v>-1</v>
      </c>
      <c r="AC38" s="3">
        <v>-1</v>
      </c>
      <c r="AD38" s="3">
        <v>-1</v>
      </c>
      <c r="AE38" s="3">
        <v>-1</v>
      </c>
      <c r="AF38" s="3">
        <v>-1</v>
      </c>
      <c r="AG38" s="3">
        <v>-1</v>
      </c>
      <c r="AI38">
        <v>5</v>
      </c>
    </row>
    <row r="39" spans="1:35" x14ac:dyDescent="0.3">
      <c r="A39" s="4">
        <v>0.4</v>
      </c>
      <c r="B39" s="3">
        <v>0</v>
      </c>
      <c r="C39" s="3">
        <v>0</v>
      </c>
      <c r="D39" s="3">
        <v>0</v>
      </c>
      <c r="E39" s="3">
        <v>1</v>
      </c>
      <c r="F39" s="3">
        <v>0</v>
      </c>
      <c r="G39" s="3">
        <v>1</v>
      </c>
      <c r="H39" s="3">
        <v>2</v>
      </c>
      <c r="I39" s="3">
        <v>1</v>
      </c>
      <c r="J39" s="3">
        <v>1</v>
      </c>
      <c r="K39" s="3">
        <v>1</v>
      </c>
      <c r="L39" s="3">
        <v>0</v>
      </c>
      <c r="M39" s="3">
        <v>1</v>
      </c>
      <c r="N39" s="3">
        <v>0</v>
      </c>
      <c r="O39" s="3">
        <v>0</v>
      </c>
      <c r="P39" s="3">
        <v>0</v>
      </c>
      <c r="Q39" s="3"/>
      <c r="R39" s="4">
        <v>0.4</v>
      </c>
      <c r="S39" s="3">
        <v>-1</v>
      </c>
      <c r="T39" s="3">
        <v>-1</v>
      </c>
      <c r="U39" s="3">
        <v>-1</v>
      </c>
      <c r="V39" s="3">
        <f>0.0453</f>
        <v>4.53E-2</v>
      </c>
      <c r="W39" s="3">
        <v>-1</v>
      </c>
      <c r="X39" s="3">
        <f>0.0296</f>
        <v>2.9600000000000001E-2</v>
      </c>
      <c r="Y39" s="3">
        <v>0.23849999999999999</v>
      </c>
      <c r="Z39" s="3">
        <v>0.16009999999999999</v>
      </c>
      <c r="AA39" s="3">
        <v>0.31309999999999999</v>
      </c>
      <c r="AB39" s="3">
        <f>0.0203</f>
        <v>2.0299999999999999E-2</v>
      </c>
      <c r="AC39" s="3">
        <v>-1</v>
      </c>
      <c r="AD39" s="3">
        <f>0.0152</f>
        <v>1.52E-2</v>
      </c>
      <c r="AE39" s="3">
        <v>-1</v>
      </c>
      <c r="AF39" s="3">
        <v>-1</v>
      </c>
      <c r="AG39" s="3">
        <v>-1</v>
      </c>
      <c r="AI39">
        <v>5</v>
      </c>
    </row>
    <row r="40" spans="1:35" x14ac:dyDescent="0.3">
      <c r="A40" s="4">
        <v>0.5</v>
      </c>
      <c r="B40" s="3">
        <v>0</v>
      </c>
      <c r="C40" s="3">
        <v>0</v>
      </c>
      <c r="D40" s="3">
        <v>0</v>
      </c>
      <c r="E40" s="3">
        <v>1</v>
      </c>
      <c r="F40" s="3">
        <v>0</v>
      </c>
      <c r="G40" s="3">
        <v>1</v>
      </c>
      <c r="H40" s="3">
        <v>1</v>
      </c>
      <c r="I40" s="3">
        <v>1</v>
      </c>
      <c r="J40" s="3">
        <v>1</v>
      </c>
      <c r="K40" s="3">
        <v>2</v>
      </c>
      <c r="L40" s="3">
        <v>0</v>
      </c>
      <c r="M40" s="3">
        <v>2</v>
      </c>
      <c r="N40" s="3">
        <v>0</v>
      </c>
      <c r="O40" s="3">
        <v>0</v>
      </c>
      <c r="P40" s="3">
        <v>0</v>
      </c>
      <c r="Q40" s="3"/>
      <c r="R40" s="4">
        <v>0.5</v>
      </c>
      <c r="S40" s="3">
        <v>-1</v>
      </c>
      <c r="T40" s="3">
        <v>-1</v>
      </c>
      <c r="U40" s="3">
        <v>-1</v>
      </c>
      <c r="V40" s="3">
        <f>0.0213</f>
        <v>2.1299999999999999E-2</v>
      </c>
      <c r="W40" s="3">
        <v>-1</v>
      </c>
      <c r="X40" s="3">
        <f>0.023</f>
        <v>2.3E-2</v>
      </c>
      <c r="Y40" s="3">
        <v>0.36859999999999998</v>
      </c>
      <c r="Z40" s="3">
        <v>0.22570000000000001</v>
      </c>
      <c r="AA40" s="3">
        <v>0.35639999999999999</v>
      </c>
      <c r="AB40" s="3">
        <f>0.0132</f>
        <v>1.32E-2</v>
      </c>
      <c r="AC40" s="3">
        <v>-1</v>
      </c>
      <c r="AD40" s="3">
        <f>0.0066</f>
        <v>6.6E-3</v>
      </c>
      <c r="AE40" s="3">
        <v>-1</v>
      </c>
      <c r="AF40" s="3">
        <v>-1</v>
      </c>
      <c r="AG40" s="3">
        <v>-1</v>
      </c>
      <c r="AI40">
        <v>5</v>
      </c>
    </row>
    <row r="41" spans="1:35" x14ac:dyDescent="0.3">
      <c r="A41" s="4">
        <v>0.6</v>
      </c>
      <c r="B41" s="3">
        <v>1</v>
      </c>
      <c r="C41" s="3">
        <v>0</v>
      </c>
      <c r="D41" s="3">
        <v>1</v>
      </c>
      <c r="E41" s="3">
        <v>2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3</v>
      </c>
      <c r="L41" s="3">
        <v>1</v>
      </c>
      <c r="M41" s="3">
        <v>2</v>
      </c>
      <c r="N41" s="3">
        <v>1</v>
      </c>
      <c r="O41" s="3">
        <v>0</v>
      </c>
      <c r="P41" s="3">
        <v>1</v>
      </c>
      <c r="Q41" s="3"/>
      <c r="R41" s="4">
        <v>0.6</v>
      </c>
      <c r="S41" s="3">
        <f>0.0569</f>
        <v>5.6899999999999999E-2</v>
      </c>
      <c r="T41" s="3">
        <v>-1</v>
      </c>
      <c r="U41" s="3">
        <f>0.0366</f>
        <v>3.6600000000000001E-2</v>
      </c>
      <c r="V41" s="3">
        <f>0.0285</f>
        <v>2.8500000000000001E-2</v>
      </c>
      <c r="W41" s="3">
        <f>0.0161</f>
        <v>1.61E-2</v>
      </c>
      <c r="X41" s="3">
        <v>1.0999999999999999E-2</v>
      </c>
      <c r="Y41" s="3">
        <v>0.39140000000000003</v>
      </c>
      <c r="Z41" s="3">
        <v>0.25130000000000002</v>
      </c>
      <c r="AA41" s="3">
        <v>0.36759999999999998</v>
      </c>
      <c r="AB41" s="3">
        <f>0.0068</f>
        <v>6.7999999999999996E-3</v>
      </c>
      <c r="AC41" s="3">
        <f>0.0052</f>
        <v>5.1999999999999998E-3</v>
      </c>
      <c r="AD41" s="3">
        <f>0.0004</f>
        <v>4.0000000000000002E-4</v>
      </c>
      <c r="AE41" s="3">
        <f>0.0019</f>
        <v>1.9E-3</v>
      </c>
      <c r="AF41" s="3">
        <v>-1</v>
      </c>
      <c r="AG41" s="3">
        <f>0.0032</f>
        <v>3.2000000000000002E-3</v>
      </c>
      <c r="AI41">
        <v>5</v>
      </c>
    </row>
    <row r="42" spans="1:35" x14ac:dyDescent="0.3">
      <c r="A42" s="4">
        <v>0.65</v>
      </c>
      <c r="B42" s="3">
        <v>1</v>
      </c>
      <c r="C42" s="3">
        <v>0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3</v>
      </c>
      <c r="L42" s="3">
        <v>2</v>
      </c>
      <c r="M42" s="3">
        <v>2</v>
      </c>
      <c r="N42" s="3">
        <v>2</v>
      </c>
      <c r="O42" s="3">
        <v>0</v>
      </c>
      <c r="P42" s="3">
        <v>2</v>
      </c>
      <c r="Q42" s="3"/>
      <c r="R42" s="4">
        <v>0.65</v>
      </c>
      <c r="S42" s="3">
        <f>0.0289</f>
        <v>2.8899999999999999E-2</v>
      </c>
      <c r="T42" s="3">
        <v>-1</v>
      </c>
      <c r="U42" s="3">
        <f>0.0135</f>
        <v>1.35E-2</v>
      </c>
      <c r="V42" s="3">
        <v>3.9600000000000003E-2</v>
      </c>
      <c r="W42" s="3">
        <f>0.0106</f>
        <v>1.06E-2</v>
      </c>
      <c r="X42" s="3">
        <v>3.6900000000000002E-2</v>
      </c>
      <c r="Y42" s="3">
        <v>0.39589999999999997</v>
      </c>
      <c r="Z42" s="3">
        <v>0.26300000000000001</v>
      </c>
      <c r="AA42" s="3">
        <v>0.37380000000000002</v>
      </c>
      <c r="AB42" s="3">
        <f>0.001</f>
        <v>1E-3</v>
      </c>
      <c r="AC42" s="3">
        <f>0.0018</f>
        <v>1.8E-3</v>
      </c>
      <c r="AD42" s="3">
        <v>2E-3</v>
      </c>
      <c r="AE42" s="3">
        <f>0.0112</f>
        <v>1.12E-2</v>
      </c>
      <c r="AF42" s="3">
        <v>-1</v>
      </c>
      <c r="AG42" s="3">
        <f>0.0101</f>
        <v>1.01E-2</v>
      </c>
      <c r="AI42">
        <v>5</v>
      </c>
    </row>
    <row r="43" spans="1:35" x14ac:dyDescent="0.3">
      <c r="A43" s="4">
        <v>0.7</v>
      </c>
      <c r="B43" s="3">
        <v>1</v>
      </c>
      <c r="C43" s="3">
        <v>0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2</v>
      </c>
      <c r="L43" s="3">
        <v>2</v>
      </c>
      <c r="M43" s="3">
        <v>3</v>
      </c>
      <c r="N43" s="3">
        <v>7</v>
      </c>
      <c r="O43" s="3">
        <v>0</v>
      </c>
      <c r="P43" s="3">
        <v>6</v>
      </c>
      <c r="Q43" s="3"/>
      <c r="R43" s="4">
        <v>0.7</v>
      </c>
      <c r="S43" s="3">
        <f>0.0061</f>
        <v>6.1000000000000004E-3</v>
      </c>
      <c r="T43" s="3">
        <v>-1</v>
      </c>
      <c r="U43" s="3">
        <v>1.4E-3</v>
      </c>
      <c r="V43" s="3">
        <v>4.7500000000000001E-2</v>
      </c>
      <c r="W43" s="3">
        <f>0.0022</f>
        <v>2.2000000000000001E-3</v>
      </c>
      <c r="X43" s="3">
        <v>4.3799999999999999E-2</v>
      </c>
      <c r="Y43" s="3">
        <v>0.40189999999999998</v>
      </c>
      <c r="Z43" s="3">
        <v>0.27010000000000001</v>
      </c>
      <c r="AA43" s="3">
        <v>0.37369999999999998</v>
      </c>
      <c r="AB43" s="3">
        <v>1.38E-2</v>
      </c>
      <c r="AC43" s="3">
        <v>1.1000000000000001E-3</v>
      </c>
      <c r="AD43" s="3">
        <v>1.5E-3</v>
      </c>
      <c r="AE43" s="3">
        <f>0.0132</f>
        <v>1.32E-2</v>
      </c>
      <c r="AF43" s="3">
        <v>-1</v>
      </c>
      <c r="AG43" s="3">
        <f>0.0219</f>
        <v>2.1899999999999999E-2</v>
      </c>
      <c r="AI43">
        <v>5</v>
      </c>
    </row>
    <row r="44" spans="1:35" x14ac:dyDescent="0.3">
      <c r="A44" s="4">
        <v>0.75</v>
      </c>
      <c r="B44" s="3">
        <v>1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4</v>
      </c>
      <c r="L44" s="3">
        <v>2</v>
      </c>
      <c r="M44" s="3">
        <v>3</v>
      </c>
      <c r="N44" s="3">
        <v>4</v>
      </c>
      <c r="O44" s="3">
        <v>1</v>
      </c>
      <c r="P44" s="3">
        <v>5</v>
      </c>
      <c r="Q44" s="3"/>
      <c r="R44" s="4">
        <v>0.75</v>
      </c>
      <c r="S44" s="3">
        <v>1.23E-2</v>
      </c>
      <c r="T44" s="3">
        <f>0.0197</f>
        <v>1.9699999999999999E-2</v>
      </c>
      <c r="U44" s="3">
        <v>1.44E-2</v>
      </c>
      <c r="V44" s="3">
        <v>5.6000000000000001E-2</v>
      </c>
      <c r="W44" s="3">
        <v>8.3999999999999995E-3</v>
      </c>
      <c r="X44" s="3">
        <v>4.9200000000000001E-2</v>
      </c>
      <c r="Y44" s="3">
        <v>0.39810000000000001</v>
      </c>
      <c r="Z44" s="3">
        <v>0.27250000000000002</v>
      </c>
      <c r="AA44" s="3">
        <v>0.37219999999999998</v>
      </c>
      <c r="AB44" s="3">
        <v>1.72E-2</v>
      </c>
      <c r="AC44" s="3">
        <v>2.8999999999999998E-3</v>
      </c>
      <c r="AD44" s="3">
        <v>1.38E-2</v>
      </c>
      <c r="AE44" s="3">
        <v>1.5800000000000002E-2</v>
      </c>
      <c r="AF44" s="3">
        <f>0</f>
        <v>0</v>
      </c>
      <c r="AG44" s="3">
        <f>0.0074</f>
        <v>7.4000000000000003E-3</v>
      </c>
      <c r="AI44">
        <v>5</v>
      </c>
    </row>
    <row r="45" spans="1:35" x14ac:dyDescent="0.3">
      <c r="A45" s="4">
        <v>0.8</v>
      </c>
      <c r="B45" s="3">
        <v>1</v>
      </c>
      <c r="C45" s="3">
        <v>1</v>
      </c>
      <c r="D45" s="3">
        <v>2</v>
      </c>
      <c r="E45" s="3">
        <v>1</v>
      </c>
      <c r="F45" s="3">
        <v>1</v>
      </c>
      <c r="G45" s="3">
        <v>1</v>
      </c>
      <c r="H45" s="3">
        <v>1</v>
      </c>
      <c r="I45" s="3">
        <v>1</v>
      </c>
      <c r="J45" s="3">
        <v>1</v>
      </c>
      <c r="K45" s="3">
        <v>3</v>
      </c>
      <c r="L45" s="3">
        <v>3</v>
      </c>
      <c r="M45" s="3">
        <v>2</v>
      </c>
      <c r="N45" s="3">
        <v>1</v>
      </c>
      <c r="O45" s="3">
        <v>2</v>
      </c>
      <c r="P45" s="3">
        <v>2</v>
      </c>
      <c r="Q45" s="3"/>
      <c r="R45" s="4">
        <v>0.8</v>
      </c>
      <c r="S45" s="3">
        <v>3.0200000000000001E-2</v>
      </c>
      <c r="T45" s="3">
        <f>0.0045</f>
        <v>4.4999999999999997E-3</v>
      </c>
      <c r="U45" s="3">
        <v>7.3000000000000001E-3</v>
      </c>
      <c r="V45" s="3">
        <v>6.0199999999999997E-2</v>
      </c>
      <c r="W45" s="3">
        <v>2.4E-2</v>
      </c>
      <c r="X45" s="3">
        <v>5.3699999999999998E-2</v>
      </c>
      <c r="Y45" s="3">
        <v>0.3962</v>
      </c>
      <c r="Z45" s="3">
        <v>0.27260000000000001</v>
      </c>
      <c r="AA45" s="3">
        <v>0.37080000000000002</v>
      </c>
      <c r="AB45" s="3">
        <v>2.3E-2</v>
      </c>
      <c r="AC45" s="3">
        <v>3.8E-3</v>
      </c>
      <c r="AD45" s="3">
        <v>1.89E-2</v>
      </c>
      <c r="AE45" s="3">
        <v>4.3099999999999999E-2</v>
      </c>
      <c r="AF45" s="3">
        <f>0.0048</f>
        <v>4.7999999999999996E-3</v>
      </c>
      <c r="AG45" s="3">
        <v>2.1100000000000001E-2</v>
      </c>
      <c r="AI45">
        <v>5</v>
      </c>
    </row>
    <row r="46" spans="1:35" x14ac:dyDescent="0.3">
      <c r="A46" s="4">
        <v>0.85</v>
      </c>
      <c r="B46" s="3">
        <v>1</v>
      </c>
      <c r="C46" s="3">
        <v>1</v>
      </c>
      <c r="D46" s="3">
        <v>1</v>
      </c>
      <c r="E46" s="3">
        <v>1</v>
      </c>
      <c r="F46" s="3">
        <v>1</v>
      </c>
      <c r="G46" s="3">
        <v>1</v>
      </c>
      <c r="H46" s="3">
        <v>1</v>
      </c>
      <c r="I46" s="3">
        <v>1</v>
      </c>
      <c r="J46" s="3">
        <v>1</v>
      </c>
      <c r="K46" s="3">
        <v>2</v>
      </c>
      <c r="L46" s="3">
        <v>3</v>
      </c>
      <c r="M46" s="3">
        <v>3</v>
      </c>
      <c r="N46" s="3">
        <v>1</v>
      </c>
      <c r="O46" s="3">
        <v>6</v>
      </c>
      <c r="P46" s="3">
        <v>1</v>
      </c>
      <c r="Q46" s="3"/>
      <c r="R46" s="4">
        <v>0.85</v>
      </c>
      <c r="S46" s="3">
        <v>3.9699999999999999E-2</v>
      </c>
      <c r="T46" s="3">
        <v>7.4999999999999997E-3</v>
      </c>
      <c r="U46" s="3">
        <v>3.5200000000000002E-2</v>
      </c>
      <c r="V46" s="3">
        <v>0.06</v>
      </c>
      <c r="W46" s="3">
        <v>2.8299999999999999E-2</v>
      </c>
      <c r="X46" s="3">
        <v>5.5500000000000001E-2</v>
      </c>
      <c r="Y46" s="3">
        <v>0.3962</v>
      </c>
      <c r="Z46" s="3">
        <v>0.27079999999999999</v>
      </c>
      <c r="AA46" s="3">
        <v>0.36020000000000002</v>
      </c>
      <c r="AB46" s="3">
        <v>2.6200000000000001E-2</v>
      </c>
      <c r="AC46" s="3">
        <v>7.1999999999999998E-3</v>
      </c>
      <c r="AD46" s="3">
        <v>1.9300000000000001E-2</v>
      </c>
      <c r="AE46" s="3">
        <v>4.4499999999999998E-2</v>
      </c>
      <c r="AF46" s="3">
        <f>0.003</f>
        <v>3.0000000000000001E-3</v>
      </c>
      <c r="AG46" s="3">
        <v>3.9699999999999999E-2</v>
      </c>
      <c r="AI46">
        <v>5</v>
      </c>
    </row>
    <row r="47" spans="1:35" x14ac:dyDescent="0.3">
      <c r="A47" s="4">
        <v>0.9</v>
      </c>
      <c r="B47" s="3">
        <v>1</v>
      </c>
      <c r="C47" s="3">
        <v>1</v>
      </c>
      <c r="D47" s="3">
        <v>1</v>
      </c>
      <c r="E47" s="3">
        <v>1</v>
      </c>
      <c r="F47" s="3">
        <v>1</v>
      </c>
      <c r="G47" s="3">
        <v>1</v>
      </c>
      <c r="H47" s="3">
        <v>1</v>
      </c>
      <c r="I47" s="3">
        <v>1</v>
      </c>
      <c r="J47" s="3">
        <v>1</v>
      </c>
      <c r="K47" s="3">
        <v>1</v>
      </c>
      <c r="L47" s="3">
        <v>2</v>
      </c>
      <c r="M47" s="3">
        <v>1</v>
      </c>
      <c r="N47" s="3">
        <v>1</v>
      </c>
      <c r="O47" s="3">
        <v>2</v>
      </c>
      <c r="P47" s="3">
        <v>1</v>
      </c>
      <c r="Q47" s="3"/>
      <c r="R47" s="4">
        <v>0.9</v>
      </c>
      <c r="S47" s="6">
        <v>4.4400000000000002E-2</v>
      </c>
      <c r="T47" s="3">
        <v>1.66E-2</v>
      </c>
      <c r="U47" s="3">
        <v>3.6999999999999998E-2</v>
      </c>
      <c r="V47" s="3">
        <v>5.8200000000000002E-2</v>
      </c>
      <c r="W47" s="3">
        <v>3.2000000000000001E-2</v>
      </c>
      <c r="X47" s="3">
        <v>5.1999999999999998E-2</v>
      </c>
      <c r="Y47" s="3">
        <v>0.3962</v>
      </c>
      <c r="Z47" s="3">
        <v>0.26679999999999998</v>
      </c>
      <c r="AA47" s="3">
        <v>0.36020000000000002</v>
      </c>
      <c r="AB47" s="3">
        <v>3.3700000000000001E-2</v>
      </c>
      <c r="AC47" s="3">
        <v>1.09E-2</v>
      </c>
      <c r="AD47" s="3">
        <v>2.3300000000000001E-2</v>
      </c>
      <c r="AE47" s="3">
        <v>4.4499999999999998E-2</v>
      </c>
      <c r="AF47" s="3">
        <v>1.5100000000000001E-2</v>
      </c>
      <c r="AG47" s="3">
        <v>3.9300000000000002E-2</v>
      </c>
      <c r="AI47">
        <v>5</v>
      </c>
    </row>
    <row r="48" spans="1:35" x14ac:dyDescent="0.3">
      <c r="A48" s="4">
        <v>0.95</v>
      </c>
      <c r="B48" s="3">
        <v>1</v>
      </c>
      <c r="C48" s="3">
        <v>1</v>
      </c>
      <c r="D48" s="3">
        <v>1</v>
      </c>
      <c r="E48" s="3">
        <v>1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3">
        <v>1</v>
      </c>
      <c r="O48" s="3">
        <v>1</v>
      </c>
      <c r="P48" s="3">
        <v>1</v>
      </c>
      <c r="Q48" s="3"/>
      <c r="R48" s="4">
        <v>0.95</v>
      </c>
      <c r="S48" s="3">
        <v>4.4299999999999999E-2</v>
      </c>
      <c r="T48" s="3">
        <v>2.0199999999999999E-2</v>
      </c>
      <c r="U48" s="3">
        <v>3.6499999999999998E-2</v>
      </c>
      <c r="V48" s="3">
        <v>5.7200000000000001E-2</v>
      </c>
      <c r="W48" s="3">
        <v>2.87E-2</v>
      </c>
      <c r="X48" s="3">
        <v>4.8599999999999997E-2</v>
      </c>
      <c r="Y48" s="3">
        <v>0.3962</v>
      </c>
      <c r="Z48" s="3">
        <v>0.26040000000000002</v>
      </c>
      <c r="AA48" s="3">
        <v>0.36020000000000002</v>
      </c>
      <c r="AB48" s="3">
        <v>3.3799999999999997E-2</v>
      </c>
      <c r="AC48" s="3">
        <v>1.2699999999999999E-2</v>
      </c>
      <c r="AD48" s="3">
        <v>2.3699999999999999E-2</v>
      </c>
      <c r="AE48" s="3">
        <v>4.4499999999999998E-2</v>
      </c>
      <c r="AF48" s="3">
        <v>2.12E-2</v>
      </c>
      <c r="AG48" s="3">
        <v>3.9300000000000002E-2</v>
      </c>
      <c r="AI48">
        <v>5</v>
      </c>
    </row>
    <row r="49" spans="1:35" x14ac:dyDescent="0.3">
      <c r="A49" s="4">
        <v>0.99</v>
      </c>
      <c r="B49" s="3">
        <v>1</v>
      </c>
      <c r="C49" s="3">
        <v>1</v>
      </c>
      <c r="D49" s="3">
        <v>1</v>
      </c>
      <c r="E49" s="3">
        <v>1</v>
      </c>
      <c r="F49" s="3">
        <v>1</v>
      </c>
      <c r="G49" s="3">
        <v>1</v>
      </c>
      <c r="H49" s="3">
        <v>1</v>
      </c>
      <c r="I49" s="3">
        <v>1</v>
      </c>
      <c r="J49" s="3">
        <v>1</v>
      </c>
      <c r="K49" s="3">
        <v>1</v>
      </c>
      <c r="L49" s="3">
        <v>1</v>
      </c>
      <c r="M49" s="3">
        <v>1</v>
      </c>
      <c r="N49" s="3">
        <v>1</v>
      </c>
      <c r="O49" s="3">
        <v>1</v>
      </c>
      <c r="P49" s="3">
        <v>1</v>
      </c>
      <c r="Q49" s="3"/>
      <c r="R49" s="4">
        <v>0.99</v>
      </c>
      <c r="S49" s="3">
        <v>4.36E-2</v>
      </c>
      <c r="T49" s="3">
        <v>1.8599999999999998E-2</v>
      </c>
      <c r="U49" s="3">
        <v>3.4599999999999999E-2</v>
      </c>
      <c r="V49" s="3">
        <v>5.6599999999999998E-2</v>
      </c>
      <c r="W49" s="3">
        <v>2.5700000000000001E-2</v>
      </c>
      <c r="X49" s="3">
        <v>4.5900000000000003E-2</v>
      </c>
      <c r="Y49" s="3">
        <v>0.3962</v>
      </c>
      <c r="Z49" s="3">
        <v>0.26040000000000002</v>
      </c>
      <c r="AA49" s="3">
        <v>0.36020000000000002</v>
      </c>
      <c r="AB49" s="3">
        <v>3.3799999999999997E-2</v>
      </c>
      <c r="AC49" s="3">
        <v>1.2500000000000001E-2</v>
      </c>
      <c r="AD49" s="3">
        <v>2.3300000000000001E-2</v>
      </c>
      <c r="AE49" s="3">
        <v>4.4499999999999998E-2</v>
      </c>
      <c r="AF49" s="3">
        <v>2.12E-2</v>
      </c>
      <c r="AG49" s="3">
        <v>3.9300000000000002E-2</v>
      </c>
      <c r="AI49">
        <v>5</v>
      </c>
    </row>
    <row r="50" spans="1:35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5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5" x14ac:dyDescent="0.3">
      <c r="A52" s="3" t="s">
        <v>8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5" x14ac:dyDescent="0.3">
      <c r="A53" s="3" t="s">
        <v>35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 t="s">
        <v>1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5" x14ac:dyDescent="0.3">
      <c r="A54" s="3" t="s">
        <v>2</v>
      </c>
      <c r="B54" s="3" t="s">
        <v>9</v>
      </c>
      <c r="C54" s="3" t="s">
        <v>10</v>
      </c>
      <c r="D54" s="3" t="s">
        <v>11</v>
      </c>
      <c r="E54" s="3" t="s">
        <v>12</v>
      </c>
      <c r="F54" s="3" t="s">
        <v>13</v>
      </c>
      <c r="G54" s="3" t="s">
        <v>14</v>
      </c>
      <c r="H54" s="3" t="s">
        <v>15</v>
      </c>
      <c r="I54" s="3" t="s">
        <v>16</v>
      </c>
      <c r="J54" s="3" t="s">
        <v>17</v>
      </c>
      <c r="K54" s="3" t="s">
        <v>18</v>
      </c>
      <c r="L54" s="3" t="s">
        <v>19</v>
      </c>
      <c r="M54" s="3" t="s">
        <v>20</v>
      </c>
      <c r="N54" s="3" t="s">
        <v>3</v>
      </c>
      <c r="O54" s="3" t="s">
        <v>4</v>
      </c>
      <c r="P54" s="3" t="s">
        <v>5</v>
      </c>
      <c r="Q54" s="3"/>
      <c r="R54" s="3" t="s">
        <v>2</v>
      </c>
      <c r="S54" s="3" t="s">
        <v>9</v>
      </c>
      <c r="T54" s="3" t="s">
        <v>10</v>
      </c>
      <c r="U54" s="3" t="s">
        <v>11</v>
      </c>
      <c r="V54" s="3" t="s">
        <v>12</v>
      </c>
      <c r="W54" s="3" t="s">
        <v>13</v>
      </c>
      <c r="X54" s="3" t="s">
        <v>14</v>
      </c>
      <c r="Y54" s="3" t="s">
        <v>15</v>
      </c>
      <c r="Z54" s="3" t="s">
        <v>16</v>
      </c>
      <c r="AA54" s="3" t="s">
        <v>17</v>
      </c>
      <c r="AB54" s="3" t="s">
        <v>18</v>
      </c>
      <c r="AC54" s="3" t="s">
        <v>19</v>
      </c>
      <c r="AD54" s="3" t="s">
        <v>20</v>
      </c>
      <c r="AE54" s="3" t="s">
        <v>3</v>
      </c>
      <c r="AF54" s="3" t="s">
        <v>4</v>
      </c>
      <c r="AG54" s="3" t="s">
        <v>5</v>
      </c>
    </row>
    <row r="55" spans="1:35" x14ac:dyDescent="0.3">
      <c r="A55" s="4">
        <v>0.3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1</v>
      </c>
      <c r="I55" s="3">
        <v>1</v>
      </c>
      <c r="J55" s="3">
        <v>1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/>
      <c r="R55" s="4">
        <v>0.3</v>
      </c>
      <c r="S55" s="3">
        <v>-1</v>
      </c>
      <c r="T55" s="3">
        <v>-1</v>
      </c>
      <c r="U55" s="3">
        <v>-1</v>
      </c>
      <c r="V55" s="3">
        <v>-1</v>
      </c>
      <c r="W55" s="3">
        <v>-1</v>
      </c>
      <c r="X55" s="3">
        <v>-1</v>
      </c>
      <c r="Y55" s="3">
        <v>0.23860000000000001</v>
      </c>
      <c r="Z55" s="3">
        <v>4.7199999999999999E-2</v>
      </c>
      <c r="AA55" s="3">
        <v>0.2452</v>
      </c>
      <c r="AB55" s="3">
        <v>-1</v>
      </c>
      <c r="AC55" s="3">
        <v>-1</v>
      </c>
      <c r="AD55" s="3">
        <v>-1</v>
      </c>
      <c r="AE55" s="3">
        <v>-1</v>
      </c>
      <c r="AF55" s="3">
        <v>-1</v>
      </c>
      <c r="AG55" s="3">
        <v>-1</v>
      </c>
      <c r="AI55">
        <v>30</v>
      </c>
    </row>
    <row r="56" spans="1:35" x14ac:dyDescent="0.3">
      <c r="A56" s="4">
        <v>0.4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1</v>
      </c>
      <c r="I56" s="3">
        <v>1</v>
      </c>
      <c r="J56" s="3">
        <v>1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/>
      <c r="R56" s="4">
        <v>0.4</v>
      </c>
      <c r="S56" s="3">
        <v>-1</v>
      </c>
      <c r="T56" s="3">
        <v>-1</v>
      </c>
      <c r="U56" s="3">
        <v>-1</v>
      </c>
      <c r="V56" s="3">
        <v>-1</v>
      </c>
      <c r="W56" s="3">
        <v>-1</v>
      </c>
      <c r="X56" s="3">
        <v>-1</v>
      </c>
      <c r="Y56" s="3">
        <v>0.31390000000000001</v>
      </c>
      <c r="Z56" s="3">
        <v>0.1482</v>
      </c>
      <c r="AA56" s="3">
        <v>0.30980000000000002</v>
      </c>
      <c r="AB56" s="3">
        <v>-1</v>
      </c>
      <c r="AC56" s="3">
        <v>-1</v>
      </c>
      <c r="AD56" s="3">
        <v>-1</v>
      </c>
      <c r="AE56" s="3">
        <v>-1</v>
      </c>
      <c r="AF56" s="3">
        <v>-1</v>
      </c>
      <c r="AG56" s="3">
        <v>-1</v>
      </c>
      <c r="AI56">
        <v>30</v>
      </c>
    </row>
    <row r="57" spans="1:35" x14ac:dyDescent="0.3">
      <c r="A57" s="4">
        <v>0.5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1</v>
      </c>
      <c r="I57" s="3">
        <v>1</v>
      </c>
      <c r="J57" s="3">
        <v>1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/>
      <c r="R57" s="4">
        <v>0.5</v>
      </c>
      <c r="S57" s="3">
        <v>-1</v>
      </c>
      <c r="T57" s="3">
        <v>-1</v>
      </c>
      <c r="U57" s="3">
        <v>-1</v>
      </c>
      <c r="V57" s="3">
        <v>-1</v>
      </c>
      <c r="W57" s="3">
        <v>-1</v>
      </c>
      <c r="X57" s="3">
        <v>-1</v>
      </c>
      <c r="Y57" s="3">
        <v>0.36699999999999999</v>
      </c>
      <c r="Z57" s="3">
        <v>0.21709999999999999</v>
      </c>
      <c r="AA57" s="3">
        <v>0.3548</v>
      </c>
      <c r="AB57" s="3">
        <v>-1</v>
      </c>
      <c r="AC57" s="3">
        <v>-1</v>
      </c>
      <c r="AD57" s="3">
        <v>-1</v>
      </c>
      <c r="AE57" s="3">
        <v>-1</v>
      </c>
      <c r="AF57" s="3">
        <v>-1</v>
      </c>
      <c r="AG57" s="3">
        <v>-1</v>
      </c>
      <c r="AI57">
        <v>30</v>
      </c>
    </row>
    <row r="58" spans="1:35" x14ac:dyDescent="0.3">
      <c r="A58" s="4">
        <v>0.6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1</v>
      </c>
      <c r="I58" s="3">
        <v>1</v>
      </c>
      <c r="J58" s="3">
        <v>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/>
      <c r="R58" s="4">
        <v>0.6</v>
      </c>
      <c r="S58" s="3">
        <v>-1</v>
      </c>
      <c r="T58" s="3">
        <v>-1</v>
      </c>
      <c r="U58" s="3">
        <v>-1</v>
      </c>
      <c r="V58" s="3">
        <v>-1</v>
      </c>
      <c r="W58" s="3">
        <v>-1</v>
      </c>
      <c r="X58" s="3">
        <v>-1</v>
      </c>
      <c r="Y58" s="3">
        <v>0.39</v>
      </c>
      <c r="Z58" s="3">
        <v>0.25009999999999999</v>
      </c>
      <c r="AA58" s="3">
        <v>0.3679</v>
      </c>
      <c r="AB58" s="3">
        <v>-1</v>
      </c>
      <c r="AC58" s="3">
        <v>-1</v>
      </c>
      <c r="AD58" s="3">
        <v>-1</v>
      </c>
      <c r="AE58" s="3">
        <v>-1</v>
      </c>
      <c r="AF58" s="3">
        <v>-1</v>
      </c>
      <c r="AG58" s="3">
        <v>-1</v>
      </c>
      <c r="AI58">
        <v>30</v>
      </c>
    </row>
    <row r="59" spans="1:35" x14ac:dyDescent="0.3">
      <c r="A59" s="4">
        <v>0.65</v>
      </c>
      <c r="B59" s="3">
        <v>0</v>
      </c>
      <c r="C59" s="3">
        <v>0</v>
      </c>
      <c r="D59" s="3">
        <v>0</v>
      </c>
      <c r="E59" s="3">
        <v>1</v>
      </c>
      <c r="F59" s="3">
        <v>0</v>
      </c>
      <c r="G59" s="3">
        <v>1</v>
      </c>
      <c r="H59" s="3">
        <v>1</v>
      </c>
      <c r="I59" s="3">
        <v>1</v>
      </c>
      <c r="J59" s="3">
        <v>1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/>
      <c r="R59" s="4">
        <v>0.65</v>
      </c>
      <c r="S59" s="3">
        <v>-1</v>
      </c>
      <c r="T59" s="3">
        <v>-1</v>
      </c>
      <c r="U59" s="3">
        <v>-1</v>
      </c>
      <c r="V59" s="3">
        <v>2.8799999999999999E-2</v>
      </c>
      <c r="W59" s="3">
        <v>-1</v>
      </c>
      <c r="X59" s="3">
        <v>1.8E-3</v>
      </c>
      <c r="Y59" s="3">
        <v>0.39560000000000001</v>
      </c>
      <c r="Z59" s="3">
        <v>0.26250000000000001</v>
      </c>
      <c r="AA59" s="3">
        <v>0.37240000000000001</v>
      </c>
      <c r="AB59" s="3">
        <v>-1</v>
      </c>
      <c r="AC59" s="3">
        <v>-1</v>
      </c>
      <c r="AD59" s="3">
        <v>-1</v>
      </c>
      <c r="AE59" s="3">
        <v>-1</v>
      </c>
      <c r="AF59" s="3">
        <v>-1</v>
      </c>
      <c r="AG59" s="3">
        <v>-1</v>
      </c>
      <c r="AI59">
        <v>30</v>
      </c>
    </row>
    <row r="60" spans="1:35" x14ac:dyDescent="0.3">
      <c r="A60" s="4">
        <v>0.7</v>
      </c>
      <c r="B60" s="3">
        <v>0</v>
      </c>
      <c r="C60" s="3">
        <v>0</v>
      </c>
      <c r="D60" s="3">
        <v>0</v>
      </c>
      <c r="E60" s="3">
        <v>1</v>
      </c>
      <c r="F60" s="3">
        <v>0</v>
      </c>
      <c r="G60" s="3">
        <v>1</v>
      </c>
      <c r="H60" s="3">
        <v>1</v>
      </c>
      <c r="I60" s="3">
        <v>1</v>
      </c>
      <c r="J60" s="3">
        <v>1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/>
      <c r="R60" s="4">
        <v>0.7</v>
      </c>
      <c r="S60" s="3">
        <v>-1</v>
      </c>
      <c r="T60" s="3">
        <v>-1</v>
      </c>
      <c r="U60" s="3">
        <v>-1</v>
      </c>
      <c r="V60" s="3">
        <v>4.5400000000000003E-2</v>
      </c>
      <c r="W60" s="3">
        <v>-1</v>
      </c>
      <c r="X60" s="3">
        <v>3.6600000000000001E-2</v>
      </c>
      <c r="Y60" s="3">
        <v>0.40139999999999998</v>
      </c>
      <c r="Z60" s="3">
        <v>0.27039999999999997</v>
      </c>
      <c r="AA60" s="3">
        <v>0.375</v>
      </c>
      <c r="AB60" s="3">
        <v>-1</v>
      </c>
      <c r="AC60" s="3">
        <v>-1</v>
      </c>
      <c r="AD60" s="3">
        <v>-1</v>
      </c>
      <c r="AE60" s="3">
        <v>-1</v>
      </c>
      <c r="AF60" s="3">
        <v>-1</v>
      </c>
      <c r="AG60" s="3">
        <v>-1</v>
      </c>
      <c r="AI60">
        <v>30</v>
      </c>
    </row>
    <row r="61" spans="1:35" x14ac:dyDescent="0.3">
      <c r="A61" s="4">
        <v>0.75</v>
      </c>
      <c r="B61" s="3">
        <v>1</v>
      </c>
      <c r="C61" s="3">
        <v>0</v>
      </c>
      <c r="D61" s="3">
        <v>0</v>
      </c>
      <c r="E61" s="3">
        <v>1</v>
      </c>
      <c r="F61" s="3">
        <v>0</v>
      </c>
      <c r="G61" s="3">
        <v>1</v>
      </c>
      <c r="H61" s="3">
        <v>1</v>
      </c>
      <c r="I61" s="3">
        <v>1</v>
      </c>
      <c r="J61" s="3">
        <v>1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/>
      <c r="R61" s="4">
        <v>0.75</v>
      </c>
      <c r="S61" s="3">
        <f>0.0022</f>
        <v>2.2000000000000001E-3</v>
      </c>
      <c r="T61" s="3">
        <v>-1</v>
      </c>
      <c r="U61" s="3">
        <v>-1</v>
      </c>
      <c r="V61" s="3">
        <v>5.3999999999999999E-2</v>
      </c>
      <c r="W61" s="3">
        <v>-1</v>
      </c>
      <c r="X61" s="3">
        <v>4.9000000000000002E-2</v>
      </c>
      <c r="Y61" s="3">
        <v>0.39929999999999999</v>
      </c>
      <c r="Z61" s="3">
        <v>0.27329999999999999</v>
      </c>
      <c r="AA61" s="3">
        <v>0.374</v>
      </c>
      <c r="AB61" s="3">
        <v>-1</v>
      </c>
      <c r="AC61" s="3">
        <v>-1</v>
      </c>
      <c r="AD61" s="3">
        <v>-1</v>
      </c>
      <c r="AE61" s="3">
        <v>-1</v>
      </c>
      <c r="AF61" s="3">
        <v>-1</v>
      </c>
      <c r="AG61" s="3">
        <v>-1</v>
      </c>
      <c r="AI61">
        <v>30</v>
      </c>
    </row>
    <row r="62" spans="1:35" x14ac:dyDescent="0.3">
      <c r="A62" s="4">
        <v>0.8</v>
      </c>
      <c r="B62" s="3">
        <v>1</v>
      </c>
      <c r="C62" s="3">
        <v>0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0</v>
      </c>
      <c r="M62" s="3">
        <v>0</v>
      </c>
      <c r="N62" s="3">
        <v>1</v>
      </c>
      <c r="O62" s="3">
        <v>0</v>
      </c>
      <c r="P62" s="3">
        <v>1</v>
      </c>
      <c r="Q62" s="3"/>
      <c r="R62" s="4">
        <v>0.8</v>
      </c>
      <c r="S62" s="3">
        <v>2.75E-2</v>
      </c>
      <c r="T62" s="3">
        <v>-1</v>
      </c>
      <c r="U62" s="3">
        <v>2.2800000000000001E-2</v>
      </c>
      <c r="V62" s="3">
        <v>6.1600000000000002E-2</v>
      </c>
      <c r="W62" s="3">
        <v>2.0400000000000001E-2</v>
      </c>
      <c r="X62" s="3">
        <v>5.4199999999999998E-2</v>
      </c>
      <c r="Y62" s="3">
        <v>0.3962</v>
      </c>
      <c r="Z62" s="3">
        <v>0.27410000000000001</v>
      </c>
      <c r="AA62" s="3">
        <v>0.37219999999999998</v>
      </c>
      <c r="AB62" s="3">
        <v>2.1499999999999998E-2</v>
      </c>
      <c r="AC62" s="3">
        <v>-1</v>
      </c>
      <c r="AD62" s="3">
        <v>-1</v>
      </c>
      <c r="AE62" s="3">
        <v>6.4000000000000003E-3</v>
      </c>
      <c r="AF62" s="3">
        <v>-1</v>
      </c>
      <c r="AG62" s="3">
        <f>0.0023</f>
        <v>2.3E-3</v>
      </c>
      <c r="AI62">
        <v>30</v>
      </c>
    </row>
    <row r="63" spans="1:35" x14ac:dyDescent="0.3">
      <c r="A63" s="4">
        <v>0.85</v>
      </c>
      <c r="B63" s="3">
        <v>1</v>
      </c>
      <c r="C63" s="3">
        <v>0</v>
      </c>
      <c r="D63" s="3">
        <v>1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0</v>
      </c>
      <c r="M63" s="3">
        <v>1</v>
      </c>
      <c r="N63" s="3">
        <v>1</v>
      </c>
      <c r="O63" s="3">
        <v>0</v>
      </c>
      <c r="P63" s="3">
        <v>1</v>
      </c>
      <c r="Q63" s="3"/>
      <c r="R63" s="4">
        <v>0.85</v>
      </c>
      <c r="S63" s="3">
        <v>3.78E-2</v>
      </c>
      <c r="T63" s="3">
        <v>-1</v>
      </c>
      <c r="U63" s="3">
        <v>3.3000000000000002E-2</v>
      </c>
      <c r="V63" s="3">
        <v>6.0999999999999999E-2</v>
      </c>
      <c r="W63" s="3">
        <v>2.87E-2</v>
      </c>
      <c r="X63" s="3">
        <v>5.7299999999999997E-2</v>
      </c>
      <c r="Y63" s="3">
        <v>0.3962</v>
      </c>
      <c r="Z63" s="3">
        <v>0.27250000000000002</v>
      </c>
      <c r="AA63" s="3">
        <v>0.36549999999999999</v>
      </c>
      <c r="AB63" s="3">
        <v>2.75E-2</v>
      </c>
      <c r="AC63" s="3">
        <v>-1</v>
      </c>
      <c r="AD63" s="3">
        <v>2.4E-2</v>
      </c>
      <c r="AE63" s="3">
        <v>4.02E-2</v>
      </c>
      <c r="AF63" s="3">
        <v>-1</v>
      </c>
      <c r="AG63" s="3">
        <v>3.0599999999999999E-2</v>
      </c>
      <c r="AI63">
        <v>30</v>
      </c>
    </row>
    <row r="64" spans="1:35" x14ac:dyDescent="0.3">
      <c r="A64" s="4">
        <v>0.9</v>
      </c>
      <c r="B64" s="3">
        <v>1</v>
      </c>
      <c r="C64" s="3">
        <v>1</v>
      </c>
      <c r="D64" s="3">
        <v>1</v>
      </c>
      <c r="E64" s="3">
        <v>1</v>
      </c>
      <c r="F64" s="3">
        <v>1</v>
      </c>
      <c r="G64" s="3">
        <v>1</v>
      </c>
      <c r="H64" s="3">
        <v>1</v>
      </c>
      <c r="I64" s="3">
        <v>1</v>
      </c>
      <c r="J64" s="3">
        <v>1</v>
      </c>
      <c r="K64" s="3">
        <v>1</v>
      </c>
      <c r="L64" s="3">
        <v>1</v>
      </c>
      <c r="M64" s="3">
        <v>1</v>
      </c>
      <c r="N64" s="3">
        <v>1</v>
      </c>
      <c r="O64" s="3">
        <v>1</v>
      </c>
      <c r="P64" s="3">
        <v>1</v>
      </c>
      <c r="Q64" s="3"/>
      <c r="R64" s="4">
        <v>0.9</v>
      </c>
      <c r="S64" s="6">
        <v>4.58E-2</v>
      </c>
      <c r="T64" s="3">
        <v>1.54E-2</v>
      </c>
      <c r="U64" s="3">
        <v>3.7999999999999999E-2</v>
      </c>
      <c r="V64" s="3">
        <v>5.9499999999999997E-2</v>
      </c>
      <c r="W64" s="3">
        <v>3.27E-2</v>
      </c>
      <c r="X64" s="3">
        <v>5.5399999999999998E-2</v>
      </c>
      <c r="Y64" s="3">
        <v>0.3962</v>
      </c>
      <c r="Z64" s="3">
        <v>0.26929999999999998</v>
      </c>
      <c r="AA64" s="3">
        <v>0.36020000000000002</v>
      </c>
      <c r="AB64" s="3">
        <v>3.3000000000000002E-2</v>
      </c>
      <c r="AC64" s="3">
        <v>7.7999999999999996E-3</v>
      </c>
      <c r="AD64" s="3">
        <v>2.4E-2</v>
      </c>
      <c r="AE64" s="3">
        <v>4.4499999999999998E-2</v>
      </c>
      <c r="AF64" s="3">
        <v>3.0000000000000001E-3</v>
      </c>
      <c r="AG64" s="3">
        <v>3.9399999999999998E-2</v>
      </c>
      <c r="AI64">
        <v>30</v>
      </c>
    </row>
    <row r="65" spans="1:35" x14ac:dyDescent="0.3">
      <c r="A65" s="4">
        <v>0.95</v>
      </c>
      <c r="B65" s="3">
        <v>1</v>
      </c>
      <c r="C65" s="3">
        <v>1</v>
      </c>
      <c r="D65" s="3">
        <v>1</v>
      </c>
      <c r="E65" s="3">
        <v>1</v>
      </c>
      <c r="F65" s="3">
        <v>1</v>
      </c>
      <c r="G65" s="3">
        <v>1</v>
      </c>
      <c r="H65" s="3">
        <v>1</v>
      </c>
      <c r="I65" s="3">
        <v>1</v>
      </c>
      <c r="J65" s="3">
        <v>1</v>
      </c>
      <c r="K65" s="3">
        <v>1</v>
      </c>
      <c r="L65" s="3">
        <v>1</v>
      </c>
      <c r="M65" s="3">
        <v>1</v>
      </c>
      <c r="N65" s="3">
        <v>1</v>
      </c>
      <c r="O65" s="3">
        <v>1</v>
      </c>
      <c r="P65" s="3">
        <v>1</v>
      </c>
      <c r="Q65" s="3"/>
      <c r="R65" s="4">
        <v>0.95</v>
      </c>
      <c r="S65" s="3">
        <v>4.4299999999999999E-2</v>
      </c>
      <c r="T65" s="3">
        <v>2.07E-2</v>
      </c>
      <c r="U65" s="3">
        <v>3.7400000000000003E-2</v>
      </c>
      <c r="V65" s="3">
        <v>5.7200000000000001E-2</v>
      </c>
      <c r="W65" s="3">
        <v>3.1E-2</v>
      </c>
      <c r="X65" s="3">
        <v>5.0200000000000002E-2</v>
      </c>
      <c r="Y65" s="3">
        <v>0.3962</v>
      </c>
      <c r="Z65" s="3">
        <v>0.26040000000000002</v>
      </c>
      <c r="AA65" s="3">
        <v>0.36020000000000002</v>
      </c>
      <c r="AB65" s="3">
        <v>3.4000000000000002E-2</v>
      </c>
      <c r="AC65" s="3">
        <v>1.32E-2</v>
      </c>
      <c r="AD65" s="3">
        <v>2.3800000000000002E-2</v>
      </c>
      <c r="AE65" s="3">
        <v>4.4499999999999998E-2</v>
      </c>
      <c r="AF65" s="3">
        <v>2.12E-2</v>
      </c>
      <c r="AG65" s="3">
        <v>3.9300000000000002E-2</v>
      </c>
      <c r="AI65">
        <v>30</v>
      </c>
    </row>
    <row r="66" spans="1:35" x14ac:dyDescent="0.3">
      <c r="A66" s="4">
        <v>0.99</v>
      </c>
      <c r="B66" s="3">
        <v>1</v>
      </c>
      <c r="C66" s="3">
        <v>1</v>
      </c>
      <c r="D66" s="3">
        <v>1</v>
      </c>
      <c r="E66" s="3">
        <v>1</v>
      </c>
      <c r="F66" s="3">
        <v>1</v>
      </c>
      <c r="G66" s="3">
        <v>1</v>
      </c>
      <c r="H66" s="3">
        <v>1</v>
      </c>
      <c r="I66" s="3">
        <v>1</v>
      </c>
      <c r="J66" s="3">
        <v>1</v>
      </c>
      <c r="K66" s="3">
        <v>1</v>
      </c>
      <c r="L66" s="3">
        <v>1</v>
      </c>
      <c r="M66" s="3">
        <v>1</v>
      </c>
      <c r="N66" s="3">
        <v>1</v>
      </c>
      <c r="O66" s="3">
        <v>1</v>
      </c>
      <c r="P66" s="3">
        <v>1</v>
      </c>
      <c r="Q66" s="3"/>
      <c r="R66" s="4">
        <v>0.99</v>
      </c>
      <c r="S66" s="3">
        <v>4.36E-2</v>
      </c>
      <c r="T66" s="3">
        <v>1.8599999999999998E-2</v>
      </c>
      <c r="U66" s="3">
        <v>3.4599999999999999E-2</v>
      </c>
      <c r="V66" s="3">
        <v>5.6599999999999998E-2</v>
      </c>
      <c r="W66" s="3">
        <v>2.5700000000000001E-2</v>
      </c>
      <c r="X66" s="3">
        <v>4.5900000000000003E-2</v>
      </c>
      <c r="Y66" s="3">
        <v>0.3962</v>
      </c>
      <c r="Z66" s="3">
        <v>0.26040000000000002</v>
      </c>
      <c r="AA66" s="3">
        <v>0.36020000000000002</v>
      </c>
      <c r="AB66" s="3">
        <v>3.3799999999999997E-2</v>
      </c>
      <c r="AC66" s="3">
        <v>1.2500000000000001E-2</v>
      </c>
      <c r="AD66" s="3">
        <v>2.3300000000000001E-2</v>
      </c>
      <c r="AE66" s="3">
        <v>4.4499999999999998E-2</v>
      </c>
      <c r="AF66" s="3">
        <v>2.12E-2</v>
      </c>
      <c r="AG66" s="3">
        <v>3.9300000000000002E-2</v>
      </c>
      <c r="AI66">
        <v>30</v>
      </c>
    </row>
    <row r="70" spans="1:35" ht="15" thickBot="1" x14ac:dyDescent="0.35">
      <c r="B70" s="1" t="s">
        <v>21</v>
      </c>
      <c r="C70" s="1" t="s">
        <v>22</v>
      </c>
      <c r="D70" s="1" t="s">
        <v>23</v>
      </c>
      <c r="E70" s="1" t="s">
        <v>24</v>
      </c>
      <c r="F70" s="1" t="s">
        <v>25</v>
      </c>
      <c r="G70" s="1" t="s">
        <v>26</v>
      </c>
      <c r="H70" s="1" t="s">
        <v>27</v>
      </c>
      <c r="I70" s="1" t="s">
        <v>28</v>
      </c>
      <c r="J70" s="1" t="s">
        <v>29</v>
      </c>
      <c r="K70" s="1" t="s">
        <v>30</v>
      </c>
      <c r="L70" s="1" t="s">
        <v>31</v>
      </c>
      <c r="M70" s="1" t="s">
        <v>32</v>
      </c>
    </row>
    <row r="71" spans="1:35" x14ac:dyDescent="0.3">
      <c r="A71" s="2" t="s">
        <v>33</v>
      </c>
      <c r="B71">
        <f xml:space="preserve"> INDEX($AI4:$AI66,MATCH(MAX(S4:S66),S4:S66,0),0)</f>
        <v>3</v>
      </c>
      <c r="C71">
        <f t="shared" ref="C71:M71" si="2" xml:space="preserve"> INDEX($AI4:$AI66,MATCH(MAX(T4:T66),T4:T66,0),0)</f>
        <v>2</v>
      </c>
      <c r="D71">
        <f t="shared" si="2"/>
        <v>2</v>
      </c>
      <c r="E71">
        <f t="shared" si="2"/>
        <v>2</v>
      </c>
      <c r="F71">
        <f t="shared" si="2"/>
        <v>2</v>
      </c>
      <c r="G71">
        <f t="shared" si="2"/>
        <v>2</v>
      </c>
      <c r="H71">
        <f t="shared" si="2"/>
        <v>5</v>
      </c>
      <c r="I71">
        <f t="shared" si="2"/>
        <v>30</v>
      </c>
      <c r="J71">
        <f t="shared" si="2"/>
        <v>30</v>
      </c>
      <c r="K71">
        <f t="shared" si="2"/>
        <v>30</v>
      </c>
      <c r="L71">
        <f t="shared" si="2"/>
        <v>30</v>
      </c>
      <c r="M71">
        <f t="shared" si="2"/>
        <v>30</v>
      </c>
    </row>
    <row r="72" spans="1:35" x14ac:dyDescent="0.3">
      <c r="A72" s="2" t="s">
        <v>2</v>
      </c>
      <c r="B72">
        <f xml:space="preserve"> INDEX($A4:$A66,MATCH(MAX(S4:S66),S4:S66,0),0)</f>
        <v>0.6</v>
      </c>
      <c r="C72">
        <f t="shared" ref="C72:M72" si="3" xml:space="preserve"> INDEX($A4:$A66,MATCH(MAX(T4:T66),T4:T66,0),0)</f>
        <v>0.7</v>
      </c>
      <c r="D72">
        <f t="shared" si="3"/>
        <v>0.5</v>
      </c>
      <c r="E72">
        <f t="shared" si="3"/>
        <v>0.4</v>
      </c>
      <c r="F72">
        <f t="shared" si="3"/>
        <v>0.5</v>
      </c>
      <c r="G72">
        <f t="shared" si="3"/>
        <v>0.3</v>
      </c>
      <c r="H72">
        <f t="shared" si="3"/>
        <v>0.7</v>
      </c>
      <c r="I72">
        <f t="shared" si="3"/>
        <v>0.8</v>
      </c>
      <c r="J72">
        <f t="shared" si="3"/>
        <v>0.7</v>
      </c>
      <c r="K72">
        <f t="shared" si="3"/>
        <v>0.95</v>
      </c>
      <c r="L72">
        <f t="shared" si="3"/>
        <v>0.95</v>
      </c>
      <c r="M72">
        <f t="shared" si="3"/>
        <v>0.85</v>
      </c>
    </row>
    <row r="73" spans="1:35" x14ac:dyDescent="0.3">
      <c r="A73" s="2" t="s">
        <v>34</v>
      </c>
      <c r="B73">
        <f>MAX(S4:S49)</f>
        <v>6.4199999999999993E-2</v>
      </c>
      <c r="C73">
        <f t="shared" ref="C73:M73" si="4">MAX(T4:T49)</f>
        <v>2.3099999999999999E-2</v>
      </c>
      <c r="D73">
        <f t="shared" si="4"/>
        <v>4.0399999999999998E-2</v>
      </c>
      <c r="E73">
        <f t="shared" si="4"/>
        <v>7.7600000000000002E-2</v>
      </c>
      <c r="F73">
        <f t="shared" si="4"/>
        <v>3.73E-2</v>
      </c>
      <c r="G73">
        <f t="shared" si="4"/>
        <v>6.4600000000000005E-2</v>
      </c>
      <c r="H73">
        <f t="shared" si="4"/>
        <v>0.40189999999999998</v>
      </c>
      <c r="I73">
        <f t="shared" si="4"/>
        <v>0.27260000000000001</v>
      </c>
      <c r="J73">
        <f t="shared" si="4"/>
        <v>0.37380000000000002</v>
      </c>
      <c r="K73">
        <f t="shared" si="4"/>
        <v>3.3799999999999997E-2</v>
      </c>
      <c r="L73">
        <f t="shared" si="4"/>
        <v>1.2699999999999999E-2</v>
      </c>
      <c r="M73">
        <f t="shared" si="4"/>
        <v>2.3699999999999999E-2</v>
      </c>
    </row>
    <row r="74" spans="1:35" x14ac:dyDescent="0.3">
      <c r="A74" s="2" t="s">
        <v>35</v>
      </c>
      <c r="B74">
        <f xml:space="preserve"> INDEX(B4:B66,MATCH(MAX(S4:S66),S4:S66,0),0)</f>
        <v>2</v>
      </c>
      <c r="C74">
        <f t="shared" ref="C74:M74" si="5" xml:space="preserve"> INDEX(C4:C66,MATCH(MAX(T4:T66),T4:T66,0),0)</f>
        <v>5</v>
      </c>
      <c r="D74">
        <f t="shared" si="5"/>
        <v>3</v>
      </c>
      <c r="E74">
        <f t="shared" si="5"/>
        <v>2</v>
      </c>
      <c r="F74">
        <f t="shared" si="5"/>
        <v>2</v>
      </c>
      <c r="G74">
        <f t="shared" si="5"/>
        <v>2</v>
      </c>
      <c r="H74">
        <f t="shared" si="5"/>
        <v>1</v>
      </c>
      <c r="I74">
        <f t="shared" si="5"/>
        <v>1</v>
      </c>
      <c r="J74">
        <f t="shared" si="5"/>
        <v>1</v>
      </c>
      <c r="K74">
        <f t="shared" si="5"/>
        <v>1</v>
      </c>
      <c r="L74">
        <f t="shared" si="5"/>
        <v>1</v>
      </c>
      <c r="M74">
        <f t="shared" si="5"/>
        <v>1</v>
      </c>
    </row>
  </sheetData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9 m B a T v 6 u n M m n A A A A + A A A A B I A H A B D b 2 5 m a W c v U G F j a 2 F n Z S 5 4 b W w g o h g A K K A U A A A A A A A A A A A A A A A A A A A A A A A A A A A A h Y + 9 D o I w G E V f h X S n P x A M I R 9 l M G 6 S m J A Y 1 6 Z W a I R i a L G 8 m 4 O P 5 C t I o q i b 4 z 0 5 w 7 m P 2 x 2 K q W u D q x q s 7 k 2 O G K Y o U E b 2 R 2 3 q H I 3 u F K a o 4 L A T 8 i x q F c y y s d l k j z l q n L t k h H j v s Y 9 x P 9 Q k o p S R Q 7 m t Z K M 6 g T 6 y / i + H 2 l g n j F S I w / 4 V w y O 8 S n A S s x i z l A F Z M J T a f J V o L s Y U y A + E 9 d i 6 c V B c 2 X B T A V k m k P c L / g R Q S w M E F A A C A A g A 9 m B a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g W k 4 m u h L U n Q E A A J E W A A A T A B w A R m 9 y b X V s Y X M v U 2 V j d G l v b j E u b S C i G A A o o B Q A A A A A A A A A A A A A A A A A A A A A A A A A A A D t k t 1 K I z E U x + 8 L f Y e Q 3 k w h O 9 D 6 t a v M x T I q C u K u t F 5 Z K W n m q F n y M S S Z g h Y f a Z 9 i X 8 w z V m x h o / c O m Z u Z n H / y y z n M z 4 M I 0 h o y W b 9 H R / 1 e v + c f u I O K D O h l o + d C N T 6 A 8 y Q b j Y e U F E R B 6 P c I P r + c v A e D l d I v 8 2 M r G g 0 m Z K d S Q V 5 a E 3 D h M 1 o e z q 4 9 H p 9 d N O L f X z 4 r r a 6 5 C 7 K y s 2 1 6 L v y S D t n N M S i p J V Y K y i g j p V W N N r 4 Y 7 T B y Y o S t p L k v R u O 9 M S N X j Q 0 w C Y 8 K i s 1 n f m k N 3 A 7 Z u s E B x T N 8 A U + 8 s p 7 U z m q 7 x I t 9 O 8 W U L 3 D 7 7 7 Y W 4 A x 4 h U 1 k 6 4 k Y u X m r / 1 R q I r j i z h f B N d v g q a w t E V w v J L I 3 v K n j x t 9 Z p 9 e N T x 9 r 8 N m H b b D V i u K Q A X c R 0 + g F u G d G V h R b m I s 2 J u c m 7 O / m L e U 9 + M N F P K h k J M D L Q p y F E 4 Z v U d j r m T i N h 4 c 4 7 T W J 0 9 o E a R C J a v k B D Y M 4 D I P / W c / D f k + a + J / 5 1 O e d 5 H P y u U M + 7 y a f k 8 8 d 8 n k v + Z x 8 7 p D P + 8 n n 5 H O H f D 5 I P i e f O + T z 9 + R z 8 r l D P v 9 I P i e f v 5 j P L 1 B L A Q I t A B Q A A g A I A P Z g W k 7 + r p z J p w A A A P g A A A A S A A A A A A A A A A A A A A A A A A A A A A B D b 2 5 m a W c v U G F j a 2 F n Z S 5 4 b W x Q S w E C L Q A U A A I A C A D 2 Y F p O D 8 r p q 6 Q A A A D p A A A A E w A A A A A A A A A A A A A A A A D z A A A A W 0 N v b n R l b n R f V H l w Z X N d L n h t b F B L A Q I t A B Q A A g A I A P Z g W k 4 m u h L U n Q E A A J E W A A A T A A A A A A A A A A A A A A A A A O Q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5 w A A A A A A A A P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0 N z k x N y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M Y X N 0 V X B k Y X R l Z C I g V m F s d W U 9 I m Q y M D E 4 L T E y L T E 0 V D A 5 O j M 3 O j M 0 L j E 3 M D g 4 M z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i I g L z 4 8 R W 5 0 c n k g V H l w Z T 0 i T G 9 h Z G V k V G 9 B b m F s e X N p c 1 N l c n Z p Y 2 V z I i B W Y W x 1 Z T 0 i b D A i I C 8 + P E V u d H J 5 I F R 5 c G U 9 I k Z p b G x D b 2 x 1 b W 5 U e X B l c y I g V m F s d W U 9 I n N C U U 1 E Q X d N R E F 3 T U R B d 0 1 E Q X c 9 P S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y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O d W 1 f Y 2 x 1 c 3 R l c n M 2 O T Q 2 O D E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x h c 3 R V c G R h d G V k I i B W Y W x 1 Z T 0 i Z D I w M T g t M T I t M T R U M D k 6 M z c 6 M z Q u M T c w O D g z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y I i A v P j x F b n R y e S B U e X B l P S J M b 2 F k Z W R U b 0 F u Y W x 5 c 2 l z U 2 V y d m l j Z X M i I F Z h b H V l P S J s M C I g L z 4 8 R W 5 0 c n k g V H l w Z T 0 i R m l s b E N v b H V t b l R 5 c G V z I i B W Y W x 1 Z T 0 i c 0 J R T U R B d 0 1 E Q X d N R E F 3 T U R B d z 0 9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n V t X 2 N s d X N 0 Z X J z J T I w K D E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M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5 1 b V 9 j b H V z d G V y c z Y 5 N D c x N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1 b n Q i I F Z h b H V l P S J s M T I i I C 8 + P E V u d H J 5 I F R 5 c G U 9 I k Z p b G x D b 2 x 1 b W 5 U e X B l c y I g V m F s d W U 9 I n N C U U 1 E Q X d N R E F 3 T U R B d 0 1 E Q X c 9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M b 2 F k Z W R U b 0 F u Y W x 5 c 2 l z U 2 V y d m l j Z X M i I F Z h b H V l P S J s M C I g L z 4 8 R W 5 0 c n k g V H l w Z T 0 i R m l s b E N v b H V t b k 5 h b W V z I i B W Y W x 1 Z T 0 i c 1 s m c X V v d D t D b 2 x 1 b W 4 x J n F 1 b 3 Q 7 L C Z x d W 9 0 O 2 d l b l 9 j b 3 M m c X V v d D s s J n F 1 b 3 Q 7 Z 2 V u X 2 p h Y y Z x d W 9 0 O y w m c X V v d D t n Z W 5 f Z G l j J n F 1 b 3 Q 7 L C Z x d W 9 0 O 3 B y b 3 R f Y 2 9 z J n F 1 b 3 Q 7 L C Z x d W 9 0 O 1 B y b 3 Q t a m F j J n F 1 b 3 Q 7 L C Z x d W 9 0 O 3 B y b 3 R f Z G l j J n F 1 b 3 Q 7 L C Z x d W 9 0 O 3 B h d G h f Y 2 9 z J n F 1 b 3 Q 7 L C Z x d W 9 0 O 3 B h d G h f a m F j J n F 1 b 3 Q 7 L C Z x d W 9 0 O 3 B h d G h f Z G l j Z S Z x d W 9 0 O y w m c X V v d D t w c G l f Y 2 9 z J n F 1 b 3 Q 7 L C Z x d W 9 0 O 3 B w a V 9 q Y W M m c X V v d D s s J n F 1 b 3 Q 7 c H B p X 2 R p Y 2 U m c X V v d D t d I i A v P j x F b n R y e S B U e X B l P S J G a W x s T G F z d F V w Z G F 0 Z W Q i I F Z h b H V l P S J k M j A x O C 0 x M i 0 x N F Q w O T o z N z o z N C 4 x N z A 4 O D M x W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0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d W 1 f Y 2 x 1 c 3 R l c n M 2 O T Q 2 M T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R m l s b E x h c 3 R V c G R h d G V k I i B W Y W x 1 Z T 0 i Z D I w M T g t M T I t M T R U M D k 6 M z c 6 M z Q u M T c w O D g z M V o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T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N S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1 M T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M Y X N 0 V X B k Y X R l Z C I g V m F s d W U 9 I m Q y M D E 4 L T E y L T E 0 V D A 5 O j M 3 O j M 0 L j E 3 M D g 4 M z F a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T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N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0 M T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M Y X N 0 V X B k Y X R l Z C I g V m F s d W U 9 I m Q y M D E 4 L T E y L T E 0 V D A 5 O j M 3 O j M 0 L j E 3 M D g 4 M z F a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T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N y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3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Z p b G x U Y X J n Z X Q i I F Z h b H V l P S J z T n V t X 2 N s d X N 0 Z X J z N j k z M T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Z 2 V u X 2 N v c y Z x d W 9 0 O y w m c X V v d D t n Z W 5 f a m F j J n F 1 b 3 Q 7 L C Z x d W 9 0 O 2 d l b l 9 k a W M m c X V v d D s s J n F 1 b 3 Q 7 c H J v d F 9 j b 3 M m c X V v d D s s J n F 1 b 3 Q 7 U H J v d C 1 q Y W M m c X V v d D s s J n F 1 b 3 Q 7 c H J v d F 9 k a W M m c X V v d D s s J n F 1 b 3 Q 7 c G F 0 a F 9 j b 3 M m c X V v d D s s J n F 1 b 3 Q 7 c G F 0 a F 9 q Y W M m c X V v d D s s J n F 1 b 3 Q 7 c G F 0 a F 9 k a W N l J n F 1 b 3 Q 7 L C Z x d W 9 0 O 3 B w a V 9 j b 3 M m c X V v d D s s J n F 1 b 3 Q 7 c H B p X 2 p h Y y Z x d W 9 0 O y w m c X V v d D t w c G l f Z G l j Z S Z x d W 9 0 O 1 0 i I C 8 + P E V u d H J 5 I F R 5 c G U 9 I k Z p b G x M Y X N 0 V X B k Y X R l Z C I g V m F s d W U 9 I m Q y M D E 4 L T E y L T E 0 V D A 5 O j M 3 O j M 0 L j E 3 M D g 4 M z F a I i A v P j x F b n R y e S B U e X B l P S J G a W x s R X J y b 3 J D b 3 V u d C I g V m F s d W U 9 I m w w I i A v P j x F b n R y e S B U e X B l P S J M b 2 F k Z W R U b 0 F u Y W x 5 c 2 l z U 2 V y d m l j Z X M i I F Z h b H V l P S J s M C I g L z 4 8 R W 5 0 c n k g V H l w Z T 0 i R m l s b E N v d W 5 0 I i B W Y W x 1 Z T 0 i b D E y I i A v P j x F b n R y e S B U e X B l P S J G a W x s Q 2 9 s d W 1 u V H l w Z X M i I F Z h b H V l P S J z Q l F N R E F 3 T U R B d 0 1 E Q X d N R E F 3 P T 0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1 b V 9 j b H V z d G V y c y 9 U a X B v I G N h b W J p Y W R v L n s s M H 0 m c X V v d D s s J n F 1 b 3 Q 7 U 2 V j d G l v b j E v T n V t X 2 N s d X N 0 Z X J z L 1 R p c G 8 g Y 2 F t Y m l h Z G 8 u e 2 d l b l 9 j b 3 M s M X 0 m c X V v d D s s J n F 1 b 3 Q 7 U 2 V j d G l v b j E v T n V t X 2 N s d X N 0 Z X J z L 1 R p c G 8 g Y 2 F t Y m l h Z G 8 u e 2 d l b l 9 q Y W M s M n 0 m c X V v d D s s J n F 1 b 3 Q 7 U 2 V j d G l v b j E v T n V t X 2 N s d X N 0 Z X J z L 1 R p c G 8 g Y 2 F t Y m l h Z G 8 u e 2 d l b l 9 k a W M s M 3 0 m c X V v d D s s J n F 1 b 3 Q 7 U 2 V j d G l v b j E v T n V t X 2 N s d X N 0 Z X J z L 1 R p c G 8 g Y 2 F t Y m l h Z G 8 u e 3 B y b 3 R f Y 2 9 z L D R 9 J n F 1 b 3 Q 7 L C Z x d W 9 0 O 1 N l Y 3 R p b 2 4 x L 0 5 1 b V 9 j b H V z d G V y c y 9 U a X B v I G N h b W J p Y W R v L n t Q c m 9 0 L W p h Y y w 1 f S Z x d W 9 0 O y w m c X V v d D t T Z W N 0 a W 9 u M S 9 O d W 1 f Y 2 x 1 c 3 R l c n M v V G l w b y B j Y W 1 i a W F k b y 5 7 c H J v d F 9 k a W M s N n 0 m c X V v d D s s J n F 1 b 3 Q 7 U 2 V j d G l v b j E v T n V t X 2 N s d X N 0 Z X J z L 1 R p c G 8 g Y 2 F t Y m l h Z G 8 u e 3 B h d G h f Y 2 9 z L D d 9 J n F 1 b 3 Q 7 L C Z x d W 9 0 O 1 N l Y 3 R p b 2 4 x L 0 5 1 b V 9 j b H V z d G V y c y 9 U a X B v I G N h b W J p Y W R v L n t w Y X R o X 2 p h Y y w 4 f S Z x d W 9 0 O y w m c X V v d D t T Z W N 0 a W 9 u M S 9 O d W 1 f Y 2 x 1 c 3 R l c n M v V G l w b y B j Y W 1 i a W F k b y 5 7 c G F 0 a F 9 k a W N l L D l 9 J n F 1 b 3 Q 7 L C Z x d W 9 0 O 1 N l Y 3 R p b 2 4 x L 0 5 1 b V 9 j b H V z d G V y c y 9 U a X B v I G N h b W J p Y W R v L n t w c G l f Y 2 9 z L D E w f S Z x d W 9 0 O y w m c X V v d D t T Z W N 0 a W 9 u M S 9 O d W 1 f Y 2 x 1 c 3 R l c n M v V G l w b y B j Y W 1 i a W F k b y 5 7 c H B p X 2 p h Y y w x M X 0 m c X V v d D s s J n F 1 b 3 Q 7 U 2 V j d G l v b j E v T n V t X 2 N s d X N 0 Z X J z L 1 R p c G 8 g Y 2 F t Y m l h Z G 8 u e 3 B w a V 9 k a W N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d W 1 f Y 2 x 1 c 3 R l c n M l M j A o M T g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1 b V 9 j b H V z d G V y c y U y M C g x O C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4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n V t X 2 N s d X N 0 Z X J z N j k x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R X J y b 3 J D b 3 V u d C I g V m F s d W U 9 I m w w I i A v P j x F b n R y e S B U e X B l P S J G a W x s Q 2 9 1 b n Q i I F Z h b H V l P S J s M T I i I C 8 + P E V u d H J 5 I F R 5 c G U 9 I k Z p b G x D b 2 x 1 b W 5 U e X B l c y I g V m F s d W U 9 I n N C U U 1 E Q X d N R E F 3 T U R B d 0 1 E Q X c 9 P S I g L z 4 8 R W 5 0 c n k g V H l w Z T 0 i R m l s b E x h c 3 R V c G R h d G V k I i B W Y W x 1 Z T 0 i Z D I w M T g t M T I t M T R U M D k 6 M z c 6 M z Q u M T c w O D g z M V o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Q 2 9 s d W 1 u M S Z x d W 9 0 O y w m c X V v d D t n Z W 5 f Y 2 9 z J n F 1 b 3 Q 7 L C Z x d W 9 0 O 2 d l b l 9 q Y W M m c X V v d D s s J n F 1 b 3 Q 7 Z 2 V u X 2 R p Y y Z x d W 9 0 O y w m c X V v d D t w c m 9 0 X 2 N v c y Z x d W 9 0 O y w m c X V v d D t Q c m 9 0 L W p h Y y Z x d W 9 0 O y w m c X V v d D t w c m 9 0 X 2 R p Y y Z x d W 9 0 O y w m c X V v d D t w Y X R o X 2 N v c y Z x d W 9 0 O y w m c X V v d D t w Y X R o X 2 p h Y y Z x d W 9 0 O y w m c X V v d D t w Y X R o X 2 R p Y 2 U m c X V v d D s s J n F 1 b 3 Q 7 c H B p X 2 N v c y Z x d W 9 0 O y w m c X V v d D t w c G l f a m F j J n F 1 b 3 Q 7 L C Z x d W 9 0 O 3 B w a V 9 k a W N l J n F 1 b 3 Q 7 X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n V t X 2 N s d X N 0 Z X J z L 1 R p c G 8 g Y 2 F t Y m l h Z G 8 u e y w w f S Z x d W 9 0 O y w m c X V v d D t T Z W N 0 a W 9 u M S 9 O d W 1 f Y 2 x 1 c 3 R l c n M v V G l w b y B j Y W 1 i a W F k b y 5 7 Z 2 V u X 2 N v c y w x f S Z x d W 9 0 O y w m c X V v d D t T Z W N 0 a W 9 u M S 9 O d W 1 f Y 2 x 1 c 3 R l c n M v V G l w b y B j Y W 1 i a W F k b y 5 7 Z 2 V u X 2 p h Y y w y f S Z x d W 9 0 O y w m c X V v d D t T Z W N 0 a W 9 u M S 9 O d W 1 f Y 2 x 1 c 3 R l c n M v V G l w b y B j Y W 1 i a W F k b y 5 7 Z 2 V u X 2 R p Y y w z f S Z x d W 9 0 O y w m c X V v d D t T Z W N 0 a W 9 u M S 9 O d W 1 f Y 2 x 1 c 3 R l c n M v V G l w b y B j Y W 1 i a W F k b y 5 7 c H J v d F 9 j b 3 M s N H 0 m c X V v d D s s J n F 1 b 3 Q 7 U 2 V j d G l v b j E v T n V t X 2 N s d X N 0 Z X J z L 1 R p c G 8 g Y 2 F t Y m l h Z G 8 u e 1 B y b 3 Q t a m F j L D V 9 J n F 1 b 3 Q 7 L C Z x d W 9 0 O 1 N l Y 3 R p b 2 4 x L 0 5 1 b V 9 j b H V z d G V y c y 9 U a X B v I G N h b W J p Y W R v L n t w c m 9 0 X 2 R p Y y w 2 f S Z x d W 9 0 O y w m c X V v d D t T Z W N 0 a W 9 u M S 9 O d W 1 f Y 2 x 1 c 3 R l c n M v V G l w b y B j Y W 1 i a W F k b y 5 7 c G F 0 a F 9 j b 3 M s N 3 0 m c X V v d D s s J n F 1 b 3 Q 7 U 2 V j d G l v b j E v T n V t X 2 N s d X N 0 Z X J z L 1 R p c G 8 g Y 2 F t Y m l h Z G 8 u e 3 B h d G h f a m F j L D h 9 J n F 1 b 3 Q 7 L C Z x d W 9 0 O 1 N l Y 3 R p b 2 4 x L 0 5 1 b V 9 j b H V z d G V y c y 9 U a X B v I G N h b W J p Y W R v L n t w Y X R o X 2 R p Y 2 U s O X 0 m c X V v d D s s J n F 1 b 3 Q 7 U 2 V j d G l v b j E v T n V t X 2 N s d X N 0 Z X J z L 1 R p c G 8 g Y 2 F t Y m l h Z G 8 u e 3 B w a V 9 j b 3 M s M T B 9 J n F 1 b 3 Q 7 L C Z x d W 9 0 O 1 N l Y 3 R p b 2 4 x L 0 5 1 b V 9 j b H V z d G V y c y 9 U a X B v I G N h b W J p Y W R v L n t w c G l f a m F j L D E x f S Z x d W 9 0 O y w m c X V v d D t T Z W N 0 a W 9 u M S 9 O d W 1 f Y 2 x 1 c 3 R l c n M v V G l w b y B j Y W 1 i a W F k b y 5 7 c H B p X 2 R p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O d W 1 f Y 2 x 1 c 3 R l c n M v V G l w b y B j Y W 1 i a W F k b y 5 7 L D B 9 J n F 1 b 3 Q 7 L C Z x d W 9 0 O 1 N l Y 3 R p b 2 4 x L 0 5 1 b V 9 j b H V z d G V y c y 9 U a X B v I G N h b W J p Y W R v L n t n Z W 5 f Y 2 9 z L D F 9 J n F 1 b 3 Q 7 L C Z x d W 9 0 O 1 N l Y 3 R p b 2 4 x L 0 5 1 b V 9 j b H V z d G V y c y 9 U a X B v I G N h b W J p Y W R v L n t n Z W 5 f a m F j L D J 9 J n F 1 b 3 Q 7 L C Z x d W 9 0 O 1 N l Y 3 R p b 2 4 x L 0 5 1 b V 9 j b H V z d G V y c y 9 U a X B v I G N h b W J p Y W R v L n t n Z W 5 f Z G l j L D N 9 J n F 1 b 3 Q 7 L C Z x d W 9 0 O 1 N l Y 3 R p b 2 4 x L 0 5 1 b V 9 j b H V z d G V y c y 9 U a X B v I G N h b W J p Y W R v L n t w c m 9 0 X 2 N v c y w 0 f S Z x d W 9 0 O y w m c X V v d D t T Z W N 0 a W 9 u M S 9 O d W 1 f Y 2 x 1 c 3 R l c n M v V G l w b y B j Y W 1 i a W F k b y 5 7 U H J v d C 1 q Y W M s N X 0 m c X V v d D s s J n F 1 b 3 Q 7 U 2 V j d G l v b j E v T n V t X 2 N s d X N 0 Z X J z L 1 R p c G 8 g Y 2 F t Y m l h Z G 8 u e 3 B y b 3 R f Z G l j L D Z 9 J n F 1 b 3 Q 7 L C Z x d W 9 0 O 1 N l Y 3 R p b 2 4 x L 0 5 1 b V 9 j b H V z d G V y c y 9 U a X B v I G N h b W J p Y W R v L n t w Y X R o X 2 N v c y w 3 f S Z x d W 9 0 O y w m c X V v d D t T Z W N 0 a W 9 u M S 9 O d W 1 f Y 2 x 1 c 3 R l c n M v V G l w b y B j Y W 1 i a W F k b y 5 7 c G F 0 a F 9 q Y W M s O H 0 m c X V v d D s s J n F 1 b 3 Q 7 U 2 V j d G l v b j E v T n V t X 2 N s d X N 0 Z X J z L 1 R p c G 8 g Y 2 F t Y m l h Z G 8 u e 3 B h d G h f Z G l j Z S w 5 f S Z x d W 9 0 O y w m c X V v d D t T Z W N 0 a W 9 u M S 9 O d W 1 f Y 2 x 1 c 3 R l c n M v V G l w b y B j Y W 1 i a W F k b y 5 7 c H B p X 2 N v c y w x M H 0 m c X V v d D s s J n F 1 b 3 Q 7 U 2 V j d G l v b j E v T n V t X 2 N s d X N 0 Z X J z L 1 R p c G 8 g Y 2 F t Y m l h Z G 8 u e 3 B w a V 9 q Y W M s M T F 9 J n F 1 b 3 Q 7 L C Z x d W 9 0 O 1 N l Y 3 R p b 2 4 x L 0 5 1 b V 9 j b H V z d G V y c y 9 U a X B v I G N h b W J p Y W R v L n t w c G l f Z G l j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1 b V 9 j b H V z d G V y c y U y M C g x O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n V t X 2 N s d X N 0 Z X J z J T I w K D E 5 K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d W 1 f Y 2 x 1 c 3 R l c n M l M j A o M T k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m 3 p S Z F d p 2 S Z 6 + R 4 w N 3 / P k A A A A A A I A A A A A A B B m A A A A A Q A A I A A A A D D j e V I d C + o L j E n K q 3 R e 7 E B F A s m 5 q Z g n j i L m Z z I z z 8 Q T A A A A A A 6 A A A A A A g A A I A A A A C B y q q Y f 5 G L h c T 5 M 3 f O a v F F w A h U C i k C i P h X z R B U T b Z I h U A A A A N c y 5 N y F 9 L 1 4 k K 8 d w 9 F E Y m n q d l I j 9 N + D z 6 j R V O o T m P u e g Q 5 K a f B 9 E x + B d c C W 3 C P C P t Z Z 7 4 y m T s 5 7 p s 3 Q l 3 D 6 h 8 1 Y A c v F m U m 4 y 8 z 3 6 s e e S h N y Q A A A A L B c 3 v K 7 n v 6 0 g 0 0 z L m o x V k t i o 2 F k 7 Y D D 6 f u g 7 w T n N q w Q a K a W t 8 F k C 0 Y T m 5 w r V y D j H I 2 t w g K 9 M e R 3 q w N K H l M 4 1 3 8 = < / D a t a M a s h u p > 
</file>

<file path=customXml/itemProps1.xml><?xml version="1.0" encoding="utf-8"?>
<ds:datastoreItem xmlns:ds="http://schemas.openxmlformats.org/officeDocument/2006/customXml" ds:itemID="{DA209011-36B2-4B97-AA50-346DAEB239C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DSI_group_biological_similarity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Lucía</dc:creator>
  <cp:lastModifiedBy>Lucía</cp:lastModifiedBy>
  <dcterms:created xsi:type="dcterms:W3CDTF">2019-02-26T10:53:55Z</dcterms:created>
  <dcterms:modified xsi:type="dcterms:W3CDTF">2019-06-10T23:23:28Z</dcterms:modified>
</cp:coreProperties>
</file>