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zynierka\docs\"/>
    </mc:Choice>
  </mc:AlternateContent>
  <xr:revisionPtr revIDLastSave="0" documentId="13_ncr:1_{36003233-129C-4D8B-BD57-19C54537A037}" xr6:coauthVersionLast="40" xr6:coauthVersionMax="40" xr10:uidLastSave="{00000000-0000-0000-0000-000000000000}"/>
  <bookViews>
    <workbookView xWindow="0" yWindow="0" windowWidth="28800" windowHeight="12165" activeTab="1" xr2:uid="{08073A3F-9EDF-4CDA-AB39-19B9AF20734B}"/>
  </bookViews>
  <sheets>
    <sheet name="Sheet2" sheetId="2" r:id="rId1"/>
    <sheet name="re" sheetId="3" r:id="rId2"/>
    <sheet name="Sheet1" sheetId="1" r:id="rId3"/>
  </sheets>
  <definedNames>
    <definedName name="ExternalData_1" localSheetId="1" hidden="1">re!$A$1:$G$14</definedName>
    <definedName name="ExternalData_1" localSheetId="0" hidden="1">Sheet2!$A$1:$G$14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3" l="1"/>
  <c r="E26" i="3"/>
  <c r="E27" i="3"/>
  <c r="E28" i="3"/>
  <c r="D27" i="3"/>
  <c r="D28" i="3"/>
  <c r="D26" i="3"/>
  <c r="G28" i="3"/>
  <c r="G27" i="3"/>
  <c r="G26" i="3"/>
  <c r="F28" i="3"/>
  <c r="F27" i="3"/>
  <c r="F26" i="3"/>
  <c r="E22" i="3"/>
  <c r="E21" i="3"/>
  <c r="E20" i="3"/>
  <c r="E19" i="3"/>
  <c r="D22" i="3"/>
  <c r="D21" i="3"/>
  <c r="D20" i="3"/>
  <c r="D19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Y3" i="3"/>
  <c r="X3" i="3"/>
  <c r="X4" i="3"/>
  <c r="Y4" i="3"/>
  <c r="X5" i="3"/>
  <c r="Y5" i="3"/>
  <c r="X6" i="3"/>
  <c r="Y6" i="3"/>
  <c r="X7" i="3"/>
  <c r="Y7" i="3"/>
  <c r="X8" i="3"/>
  <c r="Y8" i="3"/>
  <c r="X9" i="3"/>
  <c r="Y9" i="3"/>
  <c r="X10" i="3"/>
  <c r="Y10" i="3"/>
  <c r="X11" i="3"/>
  <c r="Y11" i="3"/>
  <c r="X12" i="3"/>
  <c r="Y12" i="3"/>
  <c r="X13" i="3"/>
  <c r="Y13" i="3"/>
  <c r="X14" i="3"/>
  <c r="Y14" i="3"/>
  <c r="X15" i="3"/>
  <c r="Y15" i="3"/>
  <c r="W4" i="3"/>
  <c r="W5" i="3"/>
  <c r="W6" i="3"/>
  <c r="W7" i="3"/>
  <c r="W8" i="3"/>
  <c r="W9" i="3"/>
  <c r="W10" i="3"/>
  <c r="W11" i="3"/>
  <c r="W12" i="3"/>
  <c r="W13" i="3"/>
  <c r="W14" i="3"/>
  <c r="W15" i="3"/>
  <c r="W3" i="3"/>
  <c r="L8" i="3"/>
  <c r="M8" i="3" s="1"/>
  <c r="K8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L7" i="3" l="1"/>
  <c r="M7" i="3" s="1"/>
  <c r="K7" i="3"/>
  <c r="T10" i="3" s="1"/>
  <c r="C31" i="2"/>
  <c r="B31" i="2"/>
  <c r="B32" i="2"/>
  <c r="B30" i="2"/>
  <c r="C30" i="2"/>
  <c r="C32" i="2"/>
  <c r="C29" i="2"/>
  <c r="B29" i="2"/>
  <c r="E32" i="2"/>
  <c r="D32" i="2"/>
  <c r="E31" i="2"/>
  <c r="D31" i="2"/>
  <c r="E30" i="2"/>
  <c r="D30" i="2"/>
  <c r="E51" i="2"/>
  <c r="E52" i="2" s="1"/>
  <c r="D51" i="2"/>
  <c r="D52" i="2" s="1"/>
  <c r="C51" i="2"/>
  <c r="C52" i="2" s="1"/>
  <c r="C25" i="2"/>
  <c r="C24" i="2"/>
  <c r="C23" i="2"/>
  <c r="E16" i="2"/>
  <c r="F16" i="2"/>
  <c r="G16" i="2"/>
  <c r="E25" i="2"/>
  <c r="D25" i="2"/>
  <c r="B25" i="2"/>
  <c r="E24" i="2"/>
  <c r="D24" i="2"/>
  <c r="B24" i="2"/>
  <c r="E23" i="2"/>
  <c r="D23" i="2"/>
  <c r="B23" i="2"/>
  <c r="E17" i="2"/>
  <c r="F17" i="2"/>
  <c r="G17" i="2"/>
  <c r="E18" i="2"/>
  <c r="F18" i="2"/>
  <c r="G18" i="2"/>
  <c r="E15" i="2"/>
  <c r="F15" i="2"/>
  <c r="G15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D2" i="2"/>
  <c r="E29" i="2" s="1"/>
  <c r="D3" i="2"/>
  <c r="D4" i="2"/>
  <c r="D5" i="2"/>
  <c r="D6" i="2"/>
  <c r="D7" i="2"/>
  <c r="D8" i="2"/>
  <c r="D9" i="2"/>
  <c r="D10" i="2"/>
  <c r="D11" i="2"/>
  <c r="K11" i="2" s="1"/>
  <c r="D12" i="2"/>
  <c r="D13" i="2"/>
  <c r="D14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D29" i="2" l="1"/>
  <c r="C22" i="2"/>
  <c r="B51" i="2"/>
  <c r="B52" i="2" s="1"/>
  <c r="K5" i="2"/>
  <c r="E22" i="2"/>
  <c r="I18" i="2"/>
  <c r="D22" i="2"/>
  <c r="K13" i="2"/>
  <c r="J18" i="2"/>
  <c r="D16" i="2"/>
  <c r="J16" i="2"/>
  <c r="D18" i="2"/>
  <c r="I16" i="2"/>
  <c r="J17" i="2"/>
  <c r="I17" i="2"/>
  <c r="B22" i="2"/>
  <c r="K10" i="2"/>
  <c r="D17" i="2"/>
  <c r="K2" i="2"/>
  <c r="I15" i="2"/>
  <c r="K7" i="2"/>
  <c r="K6" i="2"/>
  <c r="K4" i="2"/>
  <c r="K8" i="2"/>
  <c r="K3" i="2"/>
  <c r="K9" i="2"/>
  <c r="D15" i="2"/>
  <c r="J15" i="2"/>
  <c r="K14" i="2"/>
  <c r="K12" i="2"/>
  <c r="K17" i="2" l="1"/>
  <c r="K18" i="2"/>
  <c r="K16" i="2"/>
  <c r="K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C67CE-7A99-4155-805D-94319FBA57F7}" keepAlive="1" name="Query - Wyniki" description="Connection to the 'Wyniki' query in the workbook." type="5" refreshedVersion="6" background="1" saveData="1">
    <dbPr connection="Provider=Microsoft.Mashup.OleDb.1;Data Source=$Workbook$;Location=Wyniki;Extended Properties=&quot;&quot;" command="SELECT * FROM [Wyniki]"/>
  </connection>
  <connection id="2" xr16:uid="{5C1F9A99-8196-4743-8D80-D55497CF921F}" keepAlive="1" name="Query - Wyniki (2)" description="Connection to the 'Wyniki (2)' query in the workbook." type="5" refreshedVersion="6" background="1" saveData="1">
    <dbPr connection="Provider=Microsoft.Mashup.OleDb.1;Data Source=$Workbook$;Location=Wyniki (2);Extended Properties=&quot;&quot;" command="SELECT * FROM [Wyniki (2)]"/>
  </connection>
</connections>
</file>

<file path=xl/sharedStrings.xml><?xml version="1.0" encoding="utf-8"?>
<sst xmlns="http://schemas.openxmlformats.org/spreadsheetml/2006/main" count="108" uniqueCount="49">
  <si>
    <t>pacjent</t>
  </si>
  <si>
    <t>szpital</t>
  </si>
  <si>
    <t>otoczka najwiekszy</t>
  </si>
  <si>
    <t>kwadrat</t>
  </si>
  <si>
    <t>otoczka cala</t>
  </si>
  <si>
    <t>Prostate3T-01-0001</t>
  </si>
  <si>
    <t>Prostate3T-01-0006</t>
  </si>
  <si>
    <t>Prostate3T-01-0007</t>
  </si>
  <si>
    <t>Prostate3T-01-0008</t>
  </si>
  <si>
    <t>Prostate3T-01-0009</t>
  </si>
  <si>
    <t>ProstateDx-02-0002</t>
  </si>
  <si>
    <t>ProstateDx-02-0003</t>
  </si>
  <si>
    <t>ProstateDx-02-0004</t>
  </si>
  <si>
    <t>ProstateDx-02-0005</t>
  </si>
  <si>
    <t>ProstateDx-03-0002</t>
  </si>
  <si>
    <t>ProstateDx-03-0003</t>
  </si>
  <si>
    <t>ProstateDx-03-0004</t>
  </si>
  <si>
    <t>ProstateDx-03-0005</t>
  </si>
  <si>
    <t>odchylenie algorytmów naszych</t>
  </si>
  <si>
    <t>Column1</t>
  </si>
  <si>
    <t>prosopadloscian</t>
  </si>
  <si>
    <t>prostopadloscian</t>
  </si>
  <si>
    <t>srednia</t>
  </si>
  <si>
    <t>roznica miedzy srednia a szpitalem</t>
  </si>
  <si>
    <t>średnia</t>
  </si>
  <si>
    <t>odchylenie</t>
  </si>
  <si>
    <t>najmniejsze</t>
  </si>
  <si>
    <t>najwieksze</t>
  </si>
  <si>
    <t>Algorytm szpitalny</t>
  </si>
  <si>
    <t>Otoczka całość</t>
  </si>
  <si>
    <t>Otoczka największa</t>
  </si>
  <si>
    <t>Opisane na kwadracie</t>
  </si>
  <si>
    <t>Column2</t>
  </si>
  <si>
    <t>różnice</t>
  </si>
  <si>
    <t>avg</t>
  </si>
  <si>
    <t>Przyblizenie elipsoida</t>
  </si>
  <si>
    <t>Suma voxeli</t>
  </si>
  <si>
    <t>Odchylenie</t>
  </si>
  <si>
    <t>Średnia objętość</t>
  </si>
  <si>
    <t>Źródło</t>
  </si>
  <si>
    <t>Wpisanie w kwadrat</t>
  </si>
  <si>
    <t xml:space="preserve"> Otoczka element</t>
  </si>
  <si>
    <t>Otoczka cała</t>
  </si>
  <si>
    <t>Column3</t>
  </si>
  <si>
    <t xml:space="preserve">Algorytm </t>
  </si>
  <si>
    <t>różnica średniej</t>
  </si>
  <si>
    <t>Różnica odchylenia</t>
  </si>
  <si>
    <t>Najmniejsza wartość</t>
  </si>
  <si>
    <t>Największa 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</si>
</sst>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z_ł_-;\-* #,##0.00\ _z_ł_-;_-* &quot;-&quot;??\ _z_ł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43" fontId="0" fillId="0" borderId="0" xfId="1" applyFont="1"/>
    <xf numFmtId="2" fontId="0" fillId="0" borderId="0" xfId="0" applyNumberFormat="1"/>
    <xf numFmtId="9" fontId="0" fillId="0" borderId="0" xfId="2" applyFont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2" fontId="0" fillId="3" borderId="2" xfId="0" applyNumberFormat="1" applyFont="1" applyFill="1" applyBorder="1"/>
    <xf numFmtId="2" fontId="0" fillId="0" borderId="2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35" formatCode="_-* #,##0.00\ _z_ł_-;\-* #,##0.00\ _z_ł_-;_-* &quot;-&quot;??\ _z_ł_-;_-@_-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Prównanie wyników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prosopadloscian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Prostate3T-01-0001</c:v>
                </c:pt>
                <c:pt idx="1">
                  <c:v>Prostate3T-01-0006</c:v>
                </c:pt>
                <c:pt idx="2">
                  <c:v>Prostate3T-01-0007</c:v>
                </c:pt>
                <c:pt idx="3">
                  <c:v>Prostate3T-01-0008</c:v>
                </c:pt>
                <c:pt idx="4">
                  <c:v>Prostate3T-01-0009</c:v>
                </c:pt>
                <c:pt idx="5">
                  <c:v>ProstateDx-02-0002</c:v>
                </c:pt>
                <c:pt idx="6">
                  <c:v>ProstateDx-02-0003</c:v>
                </c:pt>
                <c:pt idx="7">
                  <c:v>ProstateDx-02-0004</c:v>
                </c:pt>
                <c:pt idx="8">
                  <c:v>ProstateDx-02-0005</c:v>
                </c:pt>
                <c:pt idx="9">
                  <c:v>ProstateDx-03-0002</c:v>
                </c:pt>
                <c:pt idx="10">
                  <c:v>ProstateDx-03-0003</c:v>
                </c:pt>
                <c:pt idx="11">
                  <c:v>ProstateDx-03-0004</c:v>
                </c:pt>
                <c:pt idx="12">
                  <c:v>ProstateDx-03-0005</c:v>
                </c:pt>
              </c:strCache>
            </c:strRef>
          </c:cat>
          <c:val>
            <c:numRef>
              <c:f>Sheet2!$D$2:$D$14</c:f>
              <c:numCache>
                <c:formatCode>_(* #,##0.00_);_(* \(#,##0.00\);_(* "-"??_);_(@_)</c:formatCode>
                <c:ptCount val="13"/>
                <c:pt idx="0">
                  <c:v>50519.700000000004</c:v>
                </c:pt>
                <c:pt idx="1">
                  <c:v>81881.279999999999</c:v>
                </c:pt>
                <c:pt idx="2">
                  <c:v>42282</c:v>
                </c:pt>
                <c:pt idx="3">
                  <c:v>68065.919999999998</c:v>
                </c:pt>
                <c:pt idx="4">
                  <c:v>143107.02000000002</c:v>
                </c:pt>
                <c:pt idx="5">
                  <c:v>173560.32000000001</c:v>
                </c:pt>
                <c:pt idx="6">
                  <c:v>221421.6</c:v>
                </c:pt>
                <c:pt idx="7">
                  <c:v>209018.88</c:v>
                </c:pt>
                <c:pt idx="8">
                  <c:v>155925</c:v>
                </c:pt>
                <c:pt idx="9">
                  <c:v>64783.8</c:v>
                </c:pt>
                <c:pt idx="10">
                  <c:v>136028.16</c:v>
                </c:pt>
                <c:pt idx="11">
                  <c:v>69765.3</c:v>
                </c:pt>
                <c:pt idx="12">
                  <c:v>118503.00000000001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3-4875-BAF9-70EAF4BC7F56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otoczka najwiekszy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Prostate3T-01-0001</c:v>
                </c:pt>
                <c:pt idx="1">
                  <c:v>Prostate3T-01-0006</c:v>
                </c:pt>
                <c:pt idx="2">
                  <c:v>Prostate3T-01-0007</c:v>
                </c:pt>
                <c:pt idx="3">
                  <c:v>Prostate3T-01-0008</c:v>
                </c:pt>
                <c:pt idx="4">
                  <c:v>Prostate3T-01-0009</c:v>
                </c:pt>
                <c:pt idx="5">
                  <c:v>ProstateDx-02-0002</c:v>
                </c:pt>
                <c:pt idx="6">
                  <c:v>ProstateDx-02-0003</c:v>
                </c:pt>
                <c:pt idx="7">
                  <c:v>ProstateDx-02-0004</c:v>
                </c:pt>
                <c:pt idx="8">
                  <c:v>ProstateDx-02-0005</c:v>
                </c:pt>
                <c:pt idx="9">
                  <c:v>ProstateDx-03-0002</c:v>
                </c:pt>
                <c:pt idx="10">
                  <c:v>ProstateDx-03-0003</c:v>
                </c:pt>
                <c:pt idx="11">
                  <c:v>ProstateDx-03-0004</c:v>
                </c:pt>
                <c:pt idx="12">
                  <c:v>ProstateDx-03-0005</c:v>
                </c:pt>
              </c:strCache>
            </c:strRef>
          </c:cat>
          <c:val>
            <c:numRef>
              <c:f>Sheet2!$E$2:$E$14</c:f>
              <c:numCache>
                <c:formatCode>_(* #,##0.00_);_(* \(#,##0.00\);_(* "-"??_);_(@_)</c:formatCode>
                <c:ptCount val="13"/>
                <c:pt idx="0">
                  <c:v>21678.25</c:v>
                </c:pt>
                <c:pt idx="1">
                  <c:v>49371.75</c:v>
                </c:pt>
                <c:pt idx="2">
                  <c:v>9917.75</c:v>
                </c:pt>
                <c:pt idx="3">
                  <c:v>27709.5</c:v>
                </c:pt>
                <c:pt idx="4">
                  <c:v>81372.25</c:v>
                </c:pt>
                <c:pt idx="5">
                  <c:v>89050.5</c:v>
                </c:pt>
                <c:pt idx="6">
                  <c:v>145749</c:v>
                </c:pt>
                <c:pt idx="7">
                  <c:v>91919.25</c:v>
                </c:pt>
                <c:pt idx="8">
                  <c:v>50078</c:v>
                </c:pt>
                <c:pt idx="9">
                  <c:v>98652</c:v>
                </c:pt>
                <c:pt idx="10">
                  <c:v>66159.75</c:v>
                </c:pt>
                <c:pt idx="11">
                  <c:v>124994.5</c:v>
                </c:pt>
                <c:pt idx="12">
                  <c:v>113662.5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3-4875-BAF9-70EAF4BC7F56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kwadrat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Prostate3T-01-0001</c:v>
                </c:pt>
                <c:pt idx="1">
                  <c:v>Prostate3T-01-0006</c:v>
                </c:pt>
                <c:pt idx="2">
                  <c:v>Prostate3T-01-0007</c:v>
                </c:pt>
                <c:pt idx="3">
                  <c:v>Prostate3T-01-0008</c:v>
                </c:pt>
                <c:pt idx="4">
                  <c:v>Prostate3T-01-0009</c:v>
                </c:pt>
                <c:pt idx="5">
                  <c:v>ProstateDx-02-0002</c:v>
                </c:pt>
                <c:pt idx="6">
                  <c:v>ProstateDx-02-0003</c:v>
                </c:pt>
                <c:pt idx="7">
                  <c:v>ProstateDx-02-0004</c:v>
                </c:pt>
                <c:pt idx="8">
                  <c:v>ProstateDx-02-0005</c:v>
                </c:pt>
                <c:pt idx="9">
                  <c:v>ProstateDx-03-0002</c:v>
                </c:pt>
                <c:pt idx="10">
                  <c:v>ProstateDx-03-0003</c:v>
                </c:pt>
                <c:pt idx="11">
                  <c:v>ProstateDx-03-0004</c:v>
                </c:pt>
                <c:pt idx="12">
                  <c:v>ProstateDx-03-0005</c:v>
                </c:pt>
              </c:strCache>
            </c:strRef>
          </c:cat>
          <c:val>
            <c:numRef>
              <c:f>Sheet2!$F$2:$F$14</c:f>
              <c:numCache>
                <c:formatCode>_(* #,##0.00_);_(* \(#,##0.00\);_(* "-"??_);_(@_)</c:formatCode>
                <c:ptCount val="13"/>
                <c:pt idx="0">
                  <c:v>28081</c:v>
                </c:pt>
                <c:pt idx="1">
                  <c:v>68668</c:v>
                </c:pt>
                <c:pt idx="2">
                  <c:v>24806.5</c:v>
                </c:pt>
                <c:pt idx="3">
                  <c:v>44875</c:v>
                </c:pt>
                <c:pt idx="4">
                  <c:v>107769</c:v>
                </c:pt>
                <c:pt idx="5">
                  <c:v>638992</c:v>
                </c:pt>
                <c:pt idx="6">
                  <c:v>221833</c:v>
                </c:pt>
                <c:pt idx="7">
                  <c:v>162448.5</c:v>
                </c:pt>
                <c:pt idx="8">
                  <c:v>75321</c:v>
                </c:pt>
                <c:pt idx="9">
                  <c:v>137690</c:v>
                </c:pt>
                <c:pt idx="10">
                  <c:v>147515.5</c:v>
                </c:pt>
                <c:pt idx="11">
                  <c:v>265676</c:v>
                </c:pt>
                <c:pt idx="12">
                  <c:v>172718.5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73-4875-BAF9-70EAF4BC7F56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otoczka cala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Prostate3T-01-0001</c:v>
                </c:pt>
                <c:pt idx="1">
                  <c:v>Prostate3T-01-0006</c:v>
                </c:pt>
                <c:pt idx="2">
                  <c:v>Prostate3T-01-0007</c:v>
                </c:pt>
                <c:pt idx="3">
                  <c:v>Prostate3T-01-0008</c:v>
                </c:pt>
                <c:pt idx="4">
                  <c:v>Prostate3T-01-0009</c:v>
                </c:pt>
                <c:pt idx="5">
                  <c:v>ProstateDx-02-0002</c:v>
                </c:pt>
                <c:pt idx="6">
                  <c:v>ProstateDx-02-0003</c:v>
                </c:pt>
                <c:pt idx="7">
                  <c:v>ProstateDx-02-0004</c:v>
                </c:pt>
                <c:pt idx="8">
                  <c:v>ProstateDx-02-0005</c:v>
                </c:pt>
                <c:pt idx="9">
                  <c:v>ProstateDx-03-0002</c:v>
                </c:pt>
                <c:pt idx="10">
                  <c:v>ProstateDx-03-0003</c:v>
                </c:pt>
                <c:pt idx="11">
                  <c:v>ProstateDx-03-0004</c:v>
                </c:pt>
                <c:pt idx="12">
                  <c:v>ProstateDx-03-0005</c:v>
                </c:pt>
              </c:strCache>
            </c:strRef>
          </c:cat>
          <c:val>
            <c:numRef>
              <c:f>Sheet2!$G$2:$G$14</c:f>
              <c:numCache>
                <c:formatCode>_(* #,##0.00_);_(* \(#,##0.00\);_(* "-"??_);_(@_)</c:formatCode>
                <c:ptCount val="13"/>
                <c:pt idx="0">
                  <c:v>23481.5</c:v>
                </c:pt>
                <c:pt idx="1">
                  <c:v>55471.75</c:v>
                </c:pt>
                <c:pt idx="2">
                  <c:v>18679.75</c:v>
                </c:pt>
                <c:pt idx="3">
                  <c:v>34201.75</c:v>
                </c:pt>
                <c:pt idx="4">
                  <c:v>86835.75</c:v>
                </c:pt>
                <c:pt idx="5">
                  <c:v>248745.5</c:v>
                </c:pt>
                <c:pt idx="6">
                  <c:v>168329.25</c:v>
                </c:pt>
                <c:pt idx="7">
                  <c:v>116387.75</c:v>
                </c:pt>
                <c:pt idx="8">
                  <c:v>59246.75</c:v>
                </c:pt>
                <c:pt idx="9">
                  <c:v>111755</c:v>
                </c:pt>
                <c:pt idx="10">
                  <c:v>109883</c:v>
                </c:pt>
                <c:pt idx="11">
                  <c:v>192162.75</c:v>
                </c:pt>
                <c:pt idx="12">
                  <c:v>137877.5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73-4875-BAF9-70EAF4BC7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8313224"/>
        <c:axId val="1028313880"/>
      </c:barChart>
      <c:catAx>
        <c:axId val="1028313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13880"/>
        <c:crosses val="autoZero"/>
        <c:auto val="1"/>
        <c:lblAlgn val="ctr"/>
        <c:lblOffset val="100"/>
        <c:noMultiLvlLbl val="0"/>
      </c:catAx>
      <c:valAx>
        <c:axId val="10283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13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Średnie wartości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Sheet2!$A$50</c:f>
              <c:strCache>
                <c:ptCount val="1"/>
                <c:pt idx="0">
                  <c:v>średnia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Sheet2!$B$52:$E$52</c:f>
                <c:numCache>
                  <c:formatCode>General</c:formatCode>
                  <c:ptCount val="4"/>
                  <c:pt idx="0">
                    <c:v>30174.707408726816</c:v>
                  </c:pt>
                  <c:pt idx="1">
                    <c:v>20793.145285241601</c:v>
                  </c:pt>
                  <c:pt idx="2">
                    <c:v>80674.057210032304</c:v>
                  </c:pt>
                  <c:pt idx="3">
                    <c:v>34621.673470116868</c:v>
                  </c:pt>
                </c:numCache>
              </c:numRef>
            </c:plus>
            <c:minus>
              <c:numRef>
                <c:f>Sheet2!$B$52:$E$52</c:f>
                <c:numCache>
                  <c:formatCode>General</c:formatCode>
                  <c:ptCount val="4"/>
                  <c:pt idx="0">
                    <c:v>30174.707408726816</c:v>
                  </c:pt>
                  <c:pt idx="1">
                    <c:v>20793.145285241601</c:v>
                  </c:pt>
                  <c:pt idx="2">
                    <c:v>80674.057210032304</c:v>
                  </c:pt>
                  <c:pt idx="3">
                    <c:v>34621.673470116868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Sheet2!$B$49:$E$49</c:f>
              <c:strCache>
                <c:ptCount val="4"/>
                <c:pt idx="0">
                  <c:v>Algorytm szpitalny</c:v>
                </c:pt>
                <c:pt idx="1">
                  <c:v>Otoczka całość</c:v>
                </c:pt>
                <c:pt idx="2">
                  <c:v>Otoczka największa</c:v>
                </c:pt>
                <c:pt idx="3">
                  <c:v>Opisane na kwadracie</c:v>
                </c:pt>
              </c:strCache>
            </c:strRef>
          </c:cat>
          <c:val>
            <c:numRef>
              <c:f>Sheet2!$B$50:$E$50</c:f>
              <c:numCache>
                <c:formatCode>General</c:formatCode>
                <c:ptCount val="4"/>
                <c:pt idx="0">
                  <c:v>118066.30615384615</c:v>
                </c:pt>
                <c:pt idx="1">
                  <c:v>74639.61538461539</c:v>
                </c:pt>
                <c:pt idx="2">
                  <c:v>161261.07692307694</c:v>
                </c:pt>
                <c:pt idx="3">
                  <c:v>104850.61538461539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8-4658-A264-DBBB5C028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447712"/>
        <c:axId val="501446400"/>
      </c:barChart>
      <c:catAx>
        <c:axId val="50144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46400"/>
        <c:crosses val="autoZero"/>
        <c:auto val="1"/>
        <c:lblAlgn val="ctr"/>
        <c:lblOffset val="100"/>
        <c:noMultiLvlLbl val="0"/>
      </c:catAx>
      <c:valAx>
        <c:axId val="5014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4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re!$K$6</c:f>
              <c:strCache>
                <c:ptCount val="1"/>
                <c:pt idx="0">
                  <c:v>Średnia objętość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bg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re!$M$7:$M$8</c:f>
                <c:numCache>
                  <c:formatCode>General</c:formatCode>
                  <c:ptCount val="2"/>
                  <c:pt idx="0">
                    <c:v>30174.707408726816</c:v>
                  </c:pt>
                  <c:pt idx="1">
                    <c:v>25778.00907775891</c:v>
                  </c:pt>
                </c:numCache>
              </c:numRef>
            </c:plus>
            <c:minus>
              <c:numRef>
                <c:f>re!$M$7:$M$8</c:f>
                <c:numCache>
                  <c:formatCode>General</c:formatCode>
                  <c:ptCount val="2"/>
                  <c:pt idx="0">
                    <c:v>30174.707408726816</c:v>
                  </c:pt>
                  <c:pt idx="1">
                    <c:v>25778.00907775891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re!$J$7:$J$8</c:f>
              <c:strCache>
                <c:ptCount val="2"/>
                <c:pt idx="0">
                  <c:v>Przyblizenie elipsoida</c:v>
                </c:pt>
                <c:pt idx="1">
                  <c:v>Suma voxeli</c:v>
                </c:pt>
              </c:strCache>
            </c:strRef>
          </c:cat>
          <c:val>
            <c:numRef>
              <c:f>re!$K$7:$K$8</c:f>
              <c:numCache>
                <c:formatCode>0.00</c:formatCode>
                <c:ptCount val="2"/>
                <c:pt idx="0">
                  <c:v>118066.30615384615</c:v>
                </c:pt>
                <c:pt idx="1">
                  <c:v>103111.5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F-4877-ACEE-47B9312D6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4251992"/>
        <c:axId val="984266424"/>
      </c:barChart>
      <c:catAx>
        <c:axId val="98425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266424"/>
        <c:crosses val="autoZero"/>
        <c:auto val="1"/>
        <c:lblAlgn val="ctr"/>
        <c:lblOffset val="100"/>
        <c:noMultiLvlLbl val="0"/>
      </c:catAx>
      <c:valAx>
        <c:axId val="9842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251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Średnia</a:t>
            </a:r>
            <a:r>
              <a:rPr lang="en-GB" baseline="0"/>
              <a:t> objętość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re!$B$18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re!$A$19:$A$22</c:f>
              <c:strCache>
                <c:ptCount val="4"/>
                <c:pt idx="0">
                  <c:v>Źródło</c:v>
                </c:pt>
                <c:pt idx="1">
                  <c:v> Otoczka element</c:v>
                </c:pt>
                <c:pt idx="2">
                  <c:v>Wpisanie w kwadrat</c:v>
                </c:pt>
                <c:pt idx="3">
                  <c:v>Otoczka cała</c:v>
                </c:pt>
              </c:strCache>
            </c:strRef>
          </c:cat>
          <c:val>
            <c:numRef>
              <c:f>re!$B$19:$B$22</c:f>
            </c:numRef>
          </c:val>
          <c:extLst>
            <c:ext xmlns:c16="http://schemas.microsoft.com/office/drawing/2014/chart" uri="{C3380CC4-5D6E-409C-BE32-E72D297353CC}">
              <c16:uniqueId val="{00000000-8AA0-4B53-B28E-7E67E1964B0B}"/>
            </c:ext>
          </c:extLst>
        </c:ser>
        <c:ser>
          <c:idx val="1"/>
          <c:order val="1"/>
          <c:tx>
            <c:strRef>
              <c:f>re!$C$18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re!$A$19:$A$22</c:f>
              <c:strCache>
                <c:ptCount val="4"/>
                <c:pt idx="0">
                  <c:v>Źródło</c:v>
                </c:pt>
                <c:pt idx="1">
                  <c:v> Otoczka element</c:v>
                </c:pt>
                <c:pt idx="2">
                  <c:v>Wpisanie w kwadrat</c:v>
                </c:pt>
                <c:pt idx="3">
                  <c:v>Otoczka cała</c:v>
                </c:pt>
              </c:strCache>
            </c:strRef>
          </c:cat>
          <c:val>
            <c:numRef>
              <c:f>re!$C$19:$C$22</c:f>
            </c:numRef>
          </c:val>
          <c:extLst>
            <c:ext xmlns:c16="http://schemas.microsoft.com/office/drawing/2014/chart" uri="{C3380CC4-5D6E-409C-BE32-E72D297353CC}">
              <c16:uniqueId val="{00000001-8AA0-4B53-B28E-7E67E1964B0B}"/>
            </c:ext>
          </c:extLst>
        </c:ser>
        <c:ser>
          <c:idx val="2"/>
          <c:order val="2"/>
          <c:tx>
            <c:strRef>
              <c:f>re!$D$18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re!$E$19:$E$22</c:f>
                <c:numCache>
                  <c:formatCode>General</c:formatCode>
                  <c:ptCount val="4"/>
                  <c:pt idx="0">
                    <c:v>25778.00907775891</c:v>
                  </c:pt>
                  <c:pt idx="1">
                    <c:v>20793.145285241601</c:v>
                  </c:pt>
                  <c:pt idx="2">
                    <c:v>80674.057210032304</c:v>
                  </c:pt>
                  <c:pt idx="3">
                    <c:v>34621.673470116868</c:v>
                  </c:pt>
                </c:numCache>
              </c:numRef>
            </c:plus>
            <c:minus>
              <c:numRef>
                <c:f>re!$E$19:$E$22</c:f>
                <c:numCache>
                  <c:formatCode>General</c:formatCode>
                  <c:ptCount val="4"/>
                  <c:pt idx="0">
                    <c:v>25778.00907775891</c:v>
                  </c:pt>
                  <c:pt idx="1">
                    <c:v>20793.145285241601</c:v>
                  </c:pt>
                  <c:pt idx="2">
                    <c:v>80674.057210032304</c:v>
                  </c:pt>
                  <c:pt idx="3">
                    <c:v>34621.673470116868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re!$A$19:$A$22</c:f>
              <c:strCache>
                <c:ptCount val="4"/>
                <c:pt idx="0">
                  <c:v>Źródło</c:v>
                </c:pt>
                <c:pt idx="1">
                  <c:v> Otoczka element</c:v>
                </c:pt>
                <c:pt idx="2">
                  <c:v>Wpisanie w kwadrat</c:v>
                </c:pt>
                <c:pt idx="3">
                  <c:v>Otoczka cała</c:v>
                </c:pt>
              </c:strCache>
            </c:strRef>
          </c:cat>
          <c:val>
            <c:numRef>
              <c:f>re!$D$19:$D$22</c:f>
              <c:numCache>
                <c:formatCode>General</c:formatCode>
                <c:ptCount val="4"/>
                <c:pt idx="0">
                  <c:v>103111.5</c:v>
                </c:pt>
                <c:pt idx="1">
                  <c:v>74639.61538461539</c:v>
                </c:pt>
                <c:pt idx="2">
                  <c:v>161261.07692307694</c:v>
                </c:pt>
                <c:pt idx="3">
                  <c:v>104850.61538461539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A0-4B53-B28E-7E67E1964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4263800"/>
        <c:axId val="505437272"/>
      </c:barChart>
      <c:catAx>
        <c:axId val="98426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37272"/>
        <c:crosses val="autoZero"/>
        <c:auto val="1"/>
        <c:lblAlgn val="ctr"/>
        <c:lblOffset val="100"/>
        <c:noMultiLvlLbl val="0"/>
      </c:catAx>
      <c:valAx>
        <c:axId val="50543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26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33</xdr:row>
      <xdr:rowOff>166687</xdr:rowOff>
    </xdr:from>
    <xdr:to>
      <xdr:col>10</xdr:col>
      <xdr:colOff>333375</xdr:colOff>
      <xdr:row>50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CFBD18-1FB7-4DC7-8542-BF5B9E407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176211</xdr:colOff>
      <xdr:row>53</xdr:row>
      <xdr:rowOff>80961</xdr:rowOff>
    </xdr:from>
    <xdr:to>
      <xdr:col>7</xdr:col>
      <xdr:colOff>95249</xdr:colOff>
      <xdr:row>70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3931BE-FD5C-4780-B11F-600C8CA29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16</xdr:row>
      <xdr:rowOff>42862</xdr:rowOff>
    </xdr:from>
    <xdr:to>
      <xdr:col>20</xdr:col>
      <xdr:colOff>47625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E85BF-D8FF-483D-9F25-7A54E8E04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309562</xdr:colOff>
      <xdr:row>32</xdr:row>
      <xdr:rowOff>23812</xdr:rowOff>
    </xdr:from>
    <xdr:to>
      <xdr:col>20</xdr:col>
      <xdr:colOff>14287</xdr:colOff>
      <xdr:row>46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1FB4B-232B-4D32-AB9A-CEC81C31B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8E9B1E-147A-44F2-808A-9A1EC3ECE2E4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pacjent" tableColumnId="1"/>
      <queryTableField id="2" name="szpital" tableColumnId="2"/>
      <queryTableField id="11" dataBound="0" tableColumnId="11"/>
      <queryTableField id="7" dataBound="0" tableColumnId="7"/>
      <queryTableField id="3" name="otoczka najwiekszy" tableColumnId="3"/>
      <queryTableField id="4" name="kwadrat" tableColumnId="4"/>
      <queryTableField id="5" name="otoczka cala" tableColumnId="5"/>
      <queryTableField id="10" dataBound="0" tableColumnId="10"/>
      <queryTableField id="6" dataBound="0" tableColumnId="6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EAB455-FD2B-455E-B845-C9B01523A5B6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pacjent" tableColumnId="1"/>
      <queryTableField id="2" name="szpital" tableColumnId="2"/>
      <queryTableField id="7" dataBound="0" tableColumnId="7"/>
      <queryTableField id="3" name=" trapez" tableColumnId="3"/>
      <queryTableField id="4" name=" otoczka najwiekszy" tableColumnId="4"/>
      <queryTableField id="5" name="kwadrat" tableColumnId="5"/>
      <queryTableField id="6" name="otoczka cala" tableColumnId="6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AA635-485C-4947-BC3A-EE1748B3650E}" name="Wyniki" displayName="Wyniki" ref="A1:K15" tableType="queryTable" totalsRowCount="1">
  <autoFilter ref="A1:K14" xr:uid="{63522F72-93A4-4C34-AD9B-8FACA3BE7E6E}"/>
  <tableColumns count="11">
    <tableColumn id="1" xr3:uid="{C6190478-C4AD-4E5F-A701-7558C2C38AC3}" uniqueName="1" name="pacjent" queryTableFieldId="1" dataDxfId="27" totalsRowDxfId="26"/>
    <tableColumn id="2" xr3:uid="{A27A088E-9E02-4ECD-88C6-7A09701462F8}" uniqueName="2" name="prostopadloscian" totalsRowLabel="średnia" queryTableFieldId="2"/>
    <tableColumn id="11" xr3:uid="{BD166031-4E40-49B2-AAE4-77262E76D4CC}" uniqueName="11" name="Column2" queryTableFieldId="11" dataDxfId="25" dataCellStyle="Comma"/>
    <tableColumn id="7" xr3:uid="{DA312FBA-C74A-4FB4-98DB-2781F0980DA8}" uniqueName="7" name="prosopadloscian" totalsRowFunction="custom" queryTableFieldId="7" dataDxfId="24" totalsRowDxfId="23">
      <calculatedColumnFormula>Wyniki[[#This Row],[prostopadloscian]]*0.54</calculatedColumnFormula>
      <totalsRowFormula>AVERAGE(Wyniki[prosopadloscian])</totalsRowFormula>
    </tableColumn>
    <tableColumn id="3" xr3:uid="{778D2414-11D2-4CD0-B258-E7E0669C1332}" uniqueName="3" name="otoczka najwiekszy" totalsRowFunction="custom" queryTableFieldId="3" dataDxfId="22" totalsRowDxfId="21">
      <totalsRowFormula>AVERAGE(Wyniki[otoczka najwiekszy])</totalsRowFormula>
    </tableColumn>
    <tableColumn id="4" xr3:uid="{5BB4AA90-248C-4991-A447-2B243231132A}" uniqueName="4" name="kwadrat" totalsRowFunction="custom" queryTableFieldId="4" dataDxfId="20" totalsRowDxfId="19">
      <totalsRowFormula>AVERAGE(Wyniki[kwadrat])</totalsRowFormula>
    </tableColumn>
    <tableColumn id="5" xr3:uid="{93814689-5C3A-4F54-8D9F-1F47ECC92610}" uniqueName="5" name="otoczka cala" totalsRowFunction="custom" queryTableFieldId="5" dataDxfId="18" totalsRowDxfId="17">
      <totalsRowFormula>AVERAGE(Wyniki[otoczka cala])</totalsRowFormula>
    </tableColumn>
    <tableColumn id="10" xr3:uid="{C80ABBE9-D3B0-4B3E-90B6-2098EB634939}" uniqueName="10" name="Column1" queryTableFieldId="10" dataDxfId="16" totalsRowDxfId="15" dataCellStyle="Comma"/>
    <tableColumn id="6" xr3:uid="{9D4184C4-5677-44D9-A06E-25E248E570DA}" uniqueName="6" name="odchylenie algorytmów naszych" totalsRowFunction="custom" queryTableFieldId="6" dataDxfId="14" totalsRowDxfId="13">
      <calculatedColumnFormula>_xlfn.STDEV.P(Wyniki[[#This Row],[otoczka najwiekszy]:[otoczka cala]])</calculatedColumnFormula>
      <totalsRowFormula>AVERAGE(Wyniki[odchylenie algorytmów naszych])</totalsRowFormula>
    </tableColumn>
    <tableColumn id="8" xr3:uid="{5B76A8FF-B451-4B64-B0AA-1EA1C57EC11A}" uniqueName="8" name="srednia" totalsRowFunction="custom" queryTableFieldId="8" dataDxfId="12" totalsRowDxfId="11">
      <calculatedColumnFormula>AVERAGE(Wyniki[[#This Row],[otoczka najwiekszy]:[otoczka cala]])</calculatedColumnFormula>
      <totalsRowFormula>AVERAGE(Wyniki[srednia])</totalsRowFormula>
    </tableColumn>
    <tableColumn id="9" xr3:uid="{28CE8DD4-E398-44A3-8076-96221AC53CCB}" uniqueName="9" name="roznica miedzy srednia a szpitalem" totalsRowFunction="custom" queryTableFieldId="9" dataDxfId="10" totalsRowDxfId="9">
      <calculatedColumnFormula>Wyniki[[#This Row],[prosopadloscian]]-Wyniki[[#This Row],[srednia]]</calculatedColumnFormula>
      <totalsRowFormula>AVERAGE(Wyniki[roznica miedzy srednia a szpitalem])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E43B5-1A07-47C4-8AFA-1C32016EFA35}" name="Wyniki__2" displayName="Wyniki__2" ref="A1:I14" tableType="queryTable" totalsRowShown="0">
  <autoFilter ref="A1:I14" xr:uid="{D737F12C-9271-46FF-B17A-CAB9339DD6F7}"/>
  <tableColumns count="9">
    <tableColumn id="1" xr3:uid="{D54EF529-78FD-4873-B304-9BA5130C95A1}" uniqueName="1" name="pacjent" queryTableFieldId="1" dataDxfId="8"/>
    <tableColumn id="2" xr3:uid="{37461A10-7867-44CB-BB47-997A36801661}" uniqueName="2" name="szpital" queryTableFieldId="2" dataDxfId="7"/>
    <tableColumn id="7" xr3:uid="{BFFD4174-8FB1-463C-9019-8604D3D81D15}" uniqueName="7" name="Column1" queryTableFieldId="7" dataDxfId="2">
      <calculatedColumnFormula>Wyniki__2[[#This Row],[szpital]]*0.54</calculatedColumnFormula>
    </tableColumn>
    <tableColumn id="3" xr3:uid="{2323448A-62D9-4B67-B872-3803D6E286C5}" uniqueName="3" name="Źródło" queryTableFieldId="3" dataDxfId="6"/>
    <tableColumn id="4" xr3:uid="{3F527D16-EBF8-4117-AB11-754FEE2B658D}" uniqueName="4" name=" Otoczka element" queryTableFieldId="4" dataDxfId="5"/>
    <tableColumn id="5" xr3:uid="{97657FF7-9CEA-4D2F-A91A-72C607668AC8}" uniqueName="5" name="Wpisanie w kwadrat" queryTableFieldId="5" dataDxfId="4"/>
    <tableColumn id="6" xr3:uid="{16F94533-08CE-462D-B0DB-5377F751DF9E}" uniqueName="6" name="Otoczka cała" queryTableFieldId="6" dataDxfId="3"/>
    <tableColumn id="8" xr3:uid="{E7F8F337-8223-4722-9831-CEE432B15FBD}" uniqueName="8" name="Column2" queryTableFieldId="8" dataDxfId="1">
      <calculatedColumnFormula>Wyniki__2[[#This Row],[Źródło]]-Wyniki__2[[#This Row],[Otoczka cała]]</calculatedColumnFormula>
    </tableColumn>
    <tableColumn id="9" xr3:uid="{BDCBCE4F-8C36-4B7D-9223-C913A8C087AD}" uniqueName="9" name="Column3" queryTableFieldId="9" dataDxfId="0">
      <calculatedColumnFormula>Wyniki__2[[#This Row],[Źródło]]-Wyniki__2[[#This Row],[ Otoczka element]]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85F6-F65D-489A-8518-C43E376F3B19}">
  <dimension ref="A1:L52"/>
  <sheetViews>
    <sheetView workbookViewId="0">
      <selection activeCell="D7" sqref="D7"/>
    </sheetView>
  </sheetViews>
  <sheetFormatPr defaultRowHeight="15" x14ac:dyDescent="0.25"/>
  <cols>
    <col min="1" max="1" width="18.42578125" bestFit="1" customWidth="1"/>
    <col min="2" max="2" width="20.140625" customWidth="1"/>
    <col min="3" max="3" width="13.5703125" customWidth="1"/>
    <col min="4" max="4" width="17.85546875" bestFit="1" customWidth="1"/>
    <col min="5" max="5" width="20.42578125" bestFit="1" customWidth="1"/>
    <col min="6" max="6" width="13.42578125" bestFit="1" customWidth="1"/>
    <col min="7" max="7" width="13.85546875" bestFit="1" customWidth="1"/>
    <col min="8" max="8" width="13.85546875" customWidth="1"/>
    <col min="9" max="11" width="13.42578125" bestFit="1" customWidth="1"/>
  </cols>
  <sheetData>
    <row r="1" spans="1:11" x14ac:dyDescent="0.25">
      <c r="A1" t="s">
        <v>0</v>
      </c>
      <c r="B1" t="s">
        <v>21</v>
      </c>
      <c r="C1" t="s">
        <v>32</v>
      </c>
      <c r="D1" t="s">
        <v>20</v>
      </c>
      <c r="E1" t="s">
        <v>2</v>
      </c>
      <c r="F1" t="s">
        <v>3</v>
      </c>
      <c r="G1" t="s">
        <v>4</v>
      </c>
      <c r="H1" t="s">
        <v>19</v>
      </c>
      <c r="I1" t="s">
        <v>18</v>
      </c>
      <c r="J1" t="s">
        <v>22</v>
      </c>
      <c r="K1" t="s">
        <v>23</v>
      </c>
    </row>
    <row r="2" spans="1:11" x14ac:dyDescent="0.25">
      <c r="A2" s="1" t="s">
        <v>5</v>
      </c>
      <c r="B2" s="2">
        <v>93555</v>
      </c>
      <c r="C2" s="2"/>
      <c r="D2" s="2">
        <f>Wyniki[[#This Row],[prostopadloscian]]*0.54</f>
        <v>50519.700000000004</v>
      </c>
      <c r="E2" s="2">
        <v>21678.25</v>
      </c>
      <c r="F2" s="2">
        <v>28081</v>
      </c>
      <c r="G2" s="2">
        <v>23481.5</v>
      </c>
      <c r="H2" s="2"/>
      <c r="I2" s="2">
        <f>_xlfn.STDEV.P(Wyniki[[#This Row],[otoczka najwiekszy]:[otoczka cala]])</f>
        <v>2695.723328512941</v>
      </c>
      <c r="J2" s="2">
        <f>AVERAGE(Wyniki[[#This Row],[otoczka najwiekszy]:[otoczka cala]])</f>
        <v>24413.583333333332</v>
      </c>
      <c r="K2" s="2">
        <f>Wyniki[[#This Row],[prosopadloscian]]-Wyniki[[#This Row],[srednia]]</f>
        <v>26106.116666666672</v>
      </c>
    </row>
    <row r="3" spans="1:11" x14ac:dyDescent="0.25">
      <c r="A3" s="1" t="s">
        <v>6</v>
      </c>
      <c r="B3" s="2">
        <v>151632</v>
      </c>
      <c r="C3" s="2"/>
      <c r="D3" s="2">
        <f>Wyniki[[#This Row],[prostopadloscian]]*0.54</f>
        <v>81881.279999999999</v>
      </c>
      <c r="E3" s="2">
        <v>49371.75</v>
      </c>
      <c r="F3" s="2">
        <v>68668</v>
      </c>
      <c r="G3" s="2">
        <v>55471.75</v>
      </c>
      <c r="H3" s="2"/>
      <c r="I3" s="2">
        <f>_xlfn.STDEV.P(Wyniki[[#This Row],[otoczka najwiekszy]:[otoczka cala]])</f>
        <v>8053.2690265437477</v>
      </c>
      <c r="J3" s="2">
        <f>AVERAGE(Wyniki[[#This Row],[otoczka najwiekszy]:[otoczka cala]])</f>
        <v>57837.166666666664</v>
      </c>
      <c r="K3" s="2">
        <f>Wyniki[[#This Row],[prosopadloscian]]-Wyniki[[#This Row],[srednia]]</f>
        <v>24044.113333333335</v>
      </c>
    </row>
    <row r="4" spans="1:11" x14ac:dyDescent="0.25">
      <c r="A4" s="1" t="s">
        <v>7</v>
      </c>
      <c r="B4" s="2">
        <v>78300</v>
      </c>
      <c r="C4" s="2"/>
      <c r="D4" s="2">
        <f>Wyniki[[#This Row],[prostopadloscian]]*0.54</f>
        <v>42282</v>
      </c>
      <c r="E4" s="2">
        <v>9917.75</v>
      </c>
      <c r="F4" s="2">
        <v>24806.5</v>
      </c>
      <c r="G4" s="2">
        <v>18679.75</v>
      </c>
      <c r="H4" s="2"/>
      <c r="I4" s="2">
        <f>_xlfn.STDEV.P(Wyniki[[#This Row],[otoczka najwiekszy]:[otoczka cala]])</f>
        <v>6109.9607756969726</v>
      </c>
      <c r="J4" s="2">
        <f>AVERAGE(Wyniki[[#This Row],[otoczka najwiekszy]:[otoczka cala]])</f>
        <v>17801.333333333332</v>
      </c>
      <c r="K4" s="2">
        <f>Wyniki[[#This Row],[prosopadloscian]]-Wyniki[[#This Row],[srednia]]</f>
        <v>24480.666666666668</v>
      </c>
    </row>
    <row r="5" spans="1:11" x14ac:dyDescent="0.25">
      <c r="A5" s="1" t="s">
        <v>8</v>
      </c>
      <c r="B5" s="2">
        <v>126048</v>
      </c>
      <c r="C5" s="2"/>
      <c r="D5" s="2">
        <f>Wyniki[[#This Row],[prostopadloscian]]*0.54</f>
        <v>68065.919999999998</v>
      </c>
      <c r="E5" s="2">
        <v>27709.5</v>
      </c>
      <c r="F5" s="2">
        <v>44875</v>
      </c>
      <c r="G5" s="2">
        <v>34201.75</v>
      </c>
      <c r="H5" s="2"/>
      <c r="I5" s="2">
        <f>_xlfn.STDEV.P(Wyniki[[#This Row],[otoczka najwiekszy]:[otoczka cala]])</f>
        <v>7076.7378381960398</v>
      </c>
      <c r="J5" s="2">
        <f>AVERAGE(Wyniki[[#This Row],[otoczka najwiekszy]:[otoczka cala]])</f>
        <v>35595.416666666664</v>
      </c>
      <c r="K5" s="2">
        <f>Wyniki[[#This Row],[prosopadloscian]]-Wyniki[[#This Row],[srednia]]</f>
        <v>32470.503333333334</v>
      </c>
    </row>
    <row r="6" spans="1:11" x14ac:dyDescent="0.25">
      <c r="A6" s="1" t="s">
        <v>9</v>
      </c>
      <c r="B6" s="2">
        <v>265013</v>
      </c>
      <c r="C6" s="2"/>
      <c r="D6" s="2">
        <f>Wyniki[[#This Row],[prostopadloscian]]*0.54</f>
        <v>143107.02000000002</v>
      </c>
      <c r="E6" s="2">
        <v>81372.25</v>
      </c>
      <c r="F6" s="2">
        <v>107769</v>
      </c>
      <c r="G6" s="2">
        <v>86835.75</v>
      </c>
      <c r="H6" s="2"/>
      <c r="I6" s="2">
        <f>_xlfn.STDEV.P(Wyniki[[#This Row],[otoczka najwiekszy]:[otoczka cala]])</f>
        <v>11376.580224180825</v>
      </c>
      <c r="J6" s="2">
        <f>AVERAGE(Wyniki[[#This Row],[otoczka najwiekszy]:[otoczka cala]])</f>
        <v>91992.333333333328</v>
      </c>
      <c r="K6" s="2">
        <f>Wyniki[[#This Row],[prosopadloscian]]-Wyniki[[#This Row],[srednia]]</f>
        <v>51114.68666666669</v>
      </c>
    </row>
    <row r="7" spans="1:11" x14ac:dyDescent="0.25">
      <c r="A7" s="1" t="s">
        <v>10</v>
      </c>
      <c r="B7" s="2">
        <v>321408</v>
      </c>
      <c r="C7" s="2"/>
      <c r="D7" s="2">
        <f>Wyniki[[#This Row],[prostopadloscian]]*0.54</f>
        <v>173560.32000000001</v>
      </c>
      <c r="E7" s="2">
        <v>89050.5</v>
      </c>
      <c r="F7" s="2">
        <v>638992</v>
      </c>
      <c r="G7" s="2">
        <v>248745.5</v>
      </c>
      <c r="H7" s="2"/>
      <c r="I7" s="2">
        <f>_xlfn.STDEV.P(Wyniki[[#This Row],[otoczka najwiekszy]:[otoczka cala]])</f>
        <v>230995.54522147536</v>
      </c>
      <c r="J7" s="2">
        <f>AVERAGE(Wyniki[[#This Row],[otoczka najwiekszy]:[otoczka cala]])</f>
        <v>325596</v>
      </c>
      <c r="K7" s="2">
        <f>Wyniki[[#This Row],[prosopadloscian]]-Wyniki[[#This Row],[srednia]]</f>
        <v>-152035.68</v>
      </c>
    </row>
    <row r="8" spans="1:11" x14ac:dyDescent="0.25">
      <c r="A8" s="1" t="s">
        <v>11</v>
      </c>
      <c r="B8" s="2">
        <v>410040</v>
      </c>
      <c r="C8" s="2"/>
      <c r="D8" s="2">
        <f>Wyniki[[#This Row],[prostopadloscian]]*0.54</f>
        <v>221421.6</v>
      </c>
      <c r="E8" s="2">
        <v>145749</v>
      </c>
      <c r="F8" s="2">
        <v>221833</v>
      </c>
      <c r="G8" s="2">
        <v>168329.25</v>
      </c>
      <c r="H8" s="2"/>
      <c r="I8" s="2">
        <f>_xlfn.STDEV.P(Wyniki[[#This Row],[otoczka najwiekszy]:[otoczka cala]])</f>
        <v>31904.882959831644</v>
      </c>
      <c r="J8" s="2">
        <f>AVERAGE(Wyniki[[#This Row],[otoczka najwiekszy]:[otoczka cala]])</f>
        <v>178637.08333333334</v>
      </c>
      <c r="K8" s="2">
        <f>Wyniki[[#This Row],[prosopadloscian]]-Wyniki[[#This Row],[srednia]]</f>
        <v>42784.516666666663</v>
      </c>
    </row>
    <row r="9" spans="1:11" x14ac:dyDescent="0.25">
      <c r="A9" s="1" t="s">
        <v>12</v>
      </c>
      <c r="B9" s="2">
        <v>387072</v>
      </c>
      <c r="C9" s="2"/>
      <c r="D9" s="2">
        <f>Wyniki[[#This Row],[prostopadloscian]]*0.54</f>
        <v>209018.88</v>
      </c>
      <c r="E9" s="2">
        <v>91919.25</v>
      </c>
      <c r="F9" s="2">
        <v>162448.5</v>
      </c>
      <c r="G9" s="2">
        <v>116387.75</v>
      </c>
      <c r="H9" s="2"/>
      <c r="I9" s="2">
        <f>_xlfn.STDEV.P(Wyniki[[#This Row],[otoczka najwiekszy]:[otoczka cala]])</f>
        <v>29239.766088848173</v>
      </c>
      <c r="J9" s="2">
        <f>AVERAGE(Wyniki[[#This Row],[otoczka najwiekszy]:[otoczka cala]])</f>
        <v>123585.16666666667</v>
      </c>
      <c r="K9" s="2">
        <f>Wyniki[[#This Row],[prosopadloscian]]-Wyniki[[#This Row],[srednia]]</f>
        <v>85433.713333333333</v>
      </c>
    </row>
    <row r="10" spans="1:11" x14ac:dyDescent="0.25">
      <c r="A10" s="1" t="s">
        <v>13</v>
      </c>
      <c r="B10" s="2">
        <v>288750</v>
      </c>
      <c r="C10" s="2"/>
      <c r="D10" s="2">
        <f>Wyniki[[#This Row],[prostopadloscian]]*0.54</f>
        <v>155925</v>
      </c>
      <c r="E10" s="2">
        <v>50078</v>
      </c>
      <c r="F10" s="2">
        <v>75321</v>
      </c>
      <c r="G10" s="2">
        <v>59246.75</v>
      </c>
      <c r="H10" s="2"/>
      <c r="I10" s="2">
        <f>_xlfn.STDEV.P(Wyniki[[#This Row],[otoczka najwiekszy]:[otoczka cala]])</f>
        <v>10433.155156226179</v>
      </c>
      <c r="J10" s="2">
        <f>AVERAGE(Wyniki[[#This Row],[otoczka najwiekszy]:[otoczka cala]])</f>
        <v>61548.583333333336</v>
      </c>
      <c r="K10" s="2">
        <f>Wyniki[[#This Row],[prosopadloscian]]-Wyniki[[#This Row],[srednia]]</f>
        <v>94376.416666666657</v>
      </c>
    </row>
    <row r="11" spans="1:11" x14ac:dyDescent="0.25">
      <c r="A11" s="1" t="s">
        <v>14</v>
      </c>
      <c r="B11" s="2">
        <v>119970</v>
      </c>
      <c r="C11" s="2"/>
      <c r="D11" s="2">
        <f>Wyniki[[#This Row],[prostopadloscian]]*0.54</f>
        <v>64783.8</v>
      </c>
      <c r="E11" s="2">
        <v>98652</v>
      </c>
      <c r="F11" s="2">
        <v>137690</v>
      </c>
      <c r="G11" s="2">
        <v>111755</v>
      </c>
      <c r="H11" s="2"/>
      <c r="I11" s="2">
        <f>_xlfn.STDEV.P(Wyniki[[#This Row],[otoczka najwiekszy]:[otoczka cala]])</f>
        <v>16221.653149074817</v>
      </c>
      <c r="J11" s="2">
        <f>AVERAGE(Wyniki[[#This Row],[otoczka najwiekszy]:[otoczka cala]])</f>
        <v>116032.33333333333</v>
      </c>
      <c r="K11" s="2">
        <f>Wyniki[[#This Row],[prosopadloscian]]-Wyniki[[#This Row],[srednia]]</f>
        <v>-51248.533333333326</v>
      </c>
    </row>
    <row r="12" spans="1:11" x14ac:dyDescent="0.25">
      <c r="A12" s="1" t="s">
        <v>15</v>
      </c>
      <c r="B12" s="2">
        <v>251904</v>
      </c>
      <c r="C12" s="2"/>
      <c r="D12" s="2">
        <f>Wyniki[[#This Row],[prostopadloscian]]*0.54</f>
        <v>136028.16</v>
      </c>
      <c r="E12" s="2">
        <v>66159.75</v>
      </c>
      <c r="F12" s="2">
        <v>147515.5</v>
      </c>
      <c r="G12" s="2">
        <v>109883</v>
      </c>
      <c r="H12" s="2"/>
      <c r="I12" s="2">
        <f>_xlfn.STDEV.P(Wyniki[[#This Row],[otoczka najwiekszy]:[otoczka cala]])</f>
        <v>33244.357424105321</v>
      </c>
      <c r="J12" s="2">
        <f>AVERAGE(Wyniki[[#This Row],[otoczka najwiekszy]:[otoczka cala]])</f>
        <v>107852.75</v>
      </c>
      <c r="K12" s="2">
        <f>Wyniki[[#This Row],[prosopadloscian]]-Wyniki[[#This Row],[srednia]]</f>
        <v>28175.410000000003</v>
      </c>
    </row>
    <row r="13" spans="1:11" x14ac:dyDescent="0.25">
      <c r="A13" s="1" t="s">
        <v>16</v>
      </c>
      <c r="B13" s="2">
        <v>129195</v>
      </c>
      <c r="C13" s="2"/>
      <c r="D13" s="2">
        <f>Wyniki[[#This Row],[prostopadloscian]]*0.54</f>
        <v>69765.3</v>
      </c>
      <c r="E13" s="2">
        <v>124994.5</v>
      </c>
      <c r="F13" s="2">
        <v>265676</v>
      </c>
      <c r="G13" s="2">
        <v>192162.75</v>
      </c>
      <c r="H13" s="2"/>
      <c r="I13" s="2">
        <f>_xlfn.STDEV.P(Wyniki[[#This Row],[otoczka najwiekszy]:[otoczka cala]])</f>
        <v>57452.450074315078</v>
      </c>
      <c r="J13" s="2">
        <f>AVERAGE(Wyniki[[#This Row],[otoczka najwiekszy]:[otoczka cala]])</f>
        <v>194277.75</v>
      </c>
      <c r="K13" s="2">
        <f>Wyniki[[#This Row],[prosopadloscian]]-Wyniki[[#This Row],[srednia]]</f>
        <v>-124512.45</v>
      </c>
    </row>
    <row r="14" spans="1:11" x14ac:dyDescent="0.25">
      <c r="A14" s="1" t="s">
        <v>17</v>
      </c>
      <c r="B14" s="2">
        <v>219450</v>
      </c>
      <c r="C14" s="2"/>
      <c r="D14" s="2">
        <f>Wyniki[[#This Row],[prostopadloscian]]*0.54</f>
        <v>118503.00000000001</v>
      </c>
      <c r="E14" s="2">
        <v>113662.5</v>
      </c>
      <c r="F14" s="2">
        <v>172718.5</v>
      </c>
      <c r="G14" s="2">
        <v>137877.5</v>
      </c>
      <c r="H14" s="2"/>
      <c r="I14" s="2">
        <f>_xlfn.STDEV.P(Wyniki[[#This Row],[otoczka najwiekszy]:[otoczka cala]])</f>
        <v>24239.253385091437</v>
      </c>
      <c r="J14" s="2">
        <f>AVERAGE(Wyniki[[#This Row],[otoczka najwiekszy]:[otoczka cala]])</f>
        <v>141419.5</v>
      </c>
      <c r="K14" s="2">
        <f>Wyniki[[#This Row],[prosopadloscian]]-Wyniki[[#This Row],[srednia]]</f>
        <v>-22916.499999999985</v>
      </c>
    </row>
    <row r="15" spans="1:11" x14ac:dyDescent="0.25">
      <c r="A15" s="1"/>
      <c r="B15" t="s">
        <v>24</v>
      </c>
      <c r="D15" s="3">
        <f>AVERAGE(Wyniki[prosopadloscian])</f>
        <v>118066.30615384615</v>
      </c>
      <c r="E15" s="3">
        <f>AVERAGE(Wyniki[otoczka najwiekszy])</f>
        <v>74639.61538461539</v>
      </c>
      <c r="F15" s="3">
        <f>AVERAGE(Wyniki[kwadrat])</f>
        <v>161261.07692307694</v>
      </c>
      <c r="G15" s="3">
        <f>AVERAGE(Wyniki[otoczka cala])</f>
        <v>104850.61538461539</v>
      </c>
      <c r="H15" s="3"/>
      <c r="I15" s="3">
        <f>AVERAGE(Wyniki[odchylenie algorytmów naszych])</f>
        <v>36080.256511699889</v>
      </c>
      <c r="J15" s="3">
        <f>AVERAGE(Wyniki[srednia])</f>
        <v>113583.76923076923</v>
      </c>
      <c r="K15" s="3">
        <f>AVERAGE(Wyniki[roznica miedzy srednia a szpitalem])</f>
        <v>4482.5369230769284</v>
      </c>
    </row>
    <row r="16" spans="1:11" x14ac:dyDescent="0.25">
      <c r="B16" t="s">
        <v>25</v>
      </c>
      <c r="D16" s="3">
        <f>STDEV(Wyniki[prosopadloscian])</f>
        <v>60349.414817453631</v>
      </c>
      <c r="E16" s="3">
        <f>STDEV(Wyniki[otoczka najwiekszy])</f>
        <v>41586.290570483201</v>
      </c>
      <c r="F16" s="3">
        <f>STDEV(Wyniki[kwadrat])</f>
        <v>161348.11442006461</v>
      </c>
      <c r="G16" s="3">
        <f>STDEV(Wyniki[otoczka cala])</f>
        <v>69243.346940233736</v>
      </c>
      <c r="H16" s="3"/>
      <c r="I16" s="3">
        <f>STDEV(Wyniki[odchylenie algorytmów naszych])</f>
        <v>60527.603568926752</v>
      </c>
      <c r="J16" s="3">
        <f>STDEV(Wyniki[srednia])</f>
        <v>84703.231292947792</v>
      </c>
      <c r="K16" s="3">
        <f>STDEV(Wyniki[roznica miedzy srednia a szpitalem])</f>
        <v>74085.962503079005</v>
      </c>
    </row>
    <row r="17" spans="1:12" x14ac:dyDescent="0.25">
      <c r="B17" t="s">
        <v>26</v>
      </c>
      <c r="D17" s="3">
        <f>MIN(Wyniki[prosopadloscian])</f>
        <v>42282</v>
      </c>
      <c r="E17" s="3">
        <f>MIN(Wyniki[otoczka najwiekszy])</f>
        <v>9917.75</v>
      </c>
      <c r="F17" s="3">
        <f>MIN(Wyniki[kwadrat])</f>
        <v>24806.5</v>
      </c>
      <c r="G17" s="3">
        <f>MIN(Wyniki[otoczka cala])</f>
        <v>18679.75</v>
      </c>
      <c r="H17" s="3"/>
      <c r="I17" s="3">
        <f>MIN(Wyniki[odchylenie algorytmów naszych])</f>
        <v>2695.723328512941</v>
      </c>
      <c r="J17" s="3">
        <f>MIN(Wyniki[srednia])</f>
        <v>17801.333333333332</v>
      </c>
      <c r="K17" s="3">
        <f>MIN(Wyniki[roznica miedzy srednia a szpitalem])</f>
        <v>-152035.68</v>
      </c>
    </row>
    <row r="18" spans="1:12" x14ac:dyDescent="0.25">
      <c r="B18" t="s">
        <v>27</v>
      </c>
      <c r="D18" s="3">
        <f>MAX(Wyniki[prosopadloscian])</f>
        <v>221421.6</v>
      </c>
      <c r="E18" s="3">
        <f>MAX(Wyniki[otoczka najwiekszy])</f>
        <v>145749</v>
      </c>
      <c r="F18" s="3">
        <f>MAX(Wyniki[kwadrat])</f>
        <v>638992</v>
      </c>
      <c r="G18" s="3">
        <f>MAX(Wyniki[otoczka cala])</f>
        <v>248745.5</v>
      </c>
      <c r="H18" s="3"/>
      <c r="I18" s="3">
        <f>MAX(Wyniki[odchylenie algorytmów naszych])</f>
        <v>230995.54522147536</v>
      </c>
      <c r="J18" s="3">
        <f>MAX(Wyniki[srednia])</f>
        <v>325596</v>
      </c>
      <c r="K18" s="3">
        <f>MAX(Wyniki[roznica miedzy srednia a szpitalem])</f>
        <v>94376.416666666657</v>
      </c>
    </row>
    <row r="21" spans="1:12" x14ac:dyDescent="0.25">
      <c r="A21" t="s">
        <v>28</v>
      </c>
      <c r="B21" t="s">
        <v>33</v>
      </c>
      <c r="C21" t="s">
        <v>25</v>
      </c>
      <c r="D21" t="s">
        <v>26</v>
      </c>
      <c r="E21" t="s">
        <v>27</v>
      </c>
    </row>
    <row r="22" spans="1:12" x14ac:dyDescent="0.25">
      <c r="A22" t="s">
        <v>28</v>
      </c>
      <c r="B22" s="3">
        <f>AVERAGE(Wyniki[prosopadloscian])</f>
        <v>118066.30615384615</v>
      </c>
      <c r="C22" s="3">
        <f>STDEV(Wyniki[prosopadloscian])</f>
        <v>60349.414817453631</v>
      </c>
      <c r="D22" s="3">
        <f>MIN(Wyniki[prosopadloscian])</f>
        <v>42282</v>
      </c>
      <c r="E22" s="3">
        <f>MAX(Wyniki[prosopadloscian])</f>
        <v>221421.6</v>
      </c>
      <c r="I22" s="3"/>
      <c r="J22" s="3"/>
      <c r="K22" s="3"/>
      <c r="L22" s="3"/>
    </row>
    <row r="23" spans="1:12" x14ac:dyDescent="0.25">
      <c r="A23" t="s">
        <v>29</v>
      </c>
      <c r="B23" s="3">
        <f>AVERAGE(Wyniki[otoczka najwiekszy])</f>
        <v>74639.61538461539</v>
      </c>
      <c r="C23" s="3">
        <f>STDEV(Wyniki[otoczka najwiekszy])</f>
        <v>41586.290570483201</v>
      </c>
      <c r="D23" s="3">
        <f>MIN(Wyniki[otoczka najwiekszy])</f>
        <v>9917.75</v>
      </c>
      <c r="E23" s="3">
        <f>MAX(Wyniki[otoczka najwiekszy])</f>
        <v>145749</v>
      </c>
      <c r="I23" s="3"/>
      <c r="J23" s="3"/>
      <c r="K23" s="3"/>
      <c r="L23" s="3"/>
    </row>
    <row r="24" spans="1:12" x14ac:dyDescent="0.25">
      <c r="A24" t="s">
        <v>30</v>
      </c>
      <c r="B24" s="3">
        <f>AVERAGE(Wyniki[kwadrat])</f>
        <v>161261.07692307694</v>
      </c>
      <c r="C24" s="3">
        <f>STDEV(Wyniki[kwadrat])</f>
        <v>161348.11442006461</v>
      </c>
      <c r="D24" s="3">
        <f>MIN(Wyniki[kwadrat])</f>
        <v>24806.5</v>
      </c>
      <c r="E24" s="3">
        <f>MAX(Wyniki[kwadrat])</f>
        <v>638992</v>
      </c>
      <c r="I24" s="3"/>
      <c r="J24" s="3"/>
      <c r="K24" s="3"/>
      <c r="L24" s="3"/>
    </row>
    <row r="25" spans="1:12" x14ac:dyDescent="0.25">
      <c r="A25" t="s">
        <v>31</v>
      </c>
      <c r="B25" s="3">
        <f>AVERAGE(Wyniki[otoczka cala])</f>
        <v>104850.61538461539</v>
      </c>
      <c r="C25" s="3">
        <f>STDEV(Wyniki[otoczka cala])</f>
        <v>69243.346940233736</v>
      </c>
      <c r="D25" s="3">
        <f>MIN(Wyniki[otoczka cala])</f>
        <v>18679.75</v>
      </c>
      <c r="E25" s="3">
        <f>MAX(Wyniki[otoczka cala])</f>
        <v>248745.5</v>
      </c>
      <c r="I25" s="3"/>
      <c r="J25" s="3"/>
      <c r="K25" s="3"/>
      <c r="L25" s="3"/>
    </row>
    <row r="26" spans="1:12" x14ac:dyDescent="0.25">
      <c r="B26" s="3"/>
      <c r="C26" s="3"/>
      <c r="D26" s="3"/>
      <c r="E26" s="3"/>
    </row>
    <row r="28" spans="1:12" x14ac:dyDescent="0.25">
      <c r="B28" t="s">
        <v>24</v>
      </c>
      <c r="C28" t="s">
        <v>25</v>
      </c>
      <c r="D28" t="s">
        <v>26</v>
      </c>
      <c r="E28" t="s">
        <v>27</v>
      </c>
    </row>
    <row r="29" spans="1:12" x14ac:dyDescent="0.25">
      <c r="A29" t="s">
        <v>28</v>
      </c>
      <c r="B29" s="4">
        <f>(B$22-B22)/B$22</f>
        <v>0</v>
      </c>
      <c r="C29" s="4">
        <f>(C$22-C22)/C$22</f>
        <v>0</v>
      </c>
      <c r="D29" s="3">
        <f>MIN(Wyniki[prosopadloscian])</f>
        <v>42282</v>
      </c>
      <c r="E29" s="3">
        <f>MAX(Wyniki[prosopadloscian])</f>
        <v>221421.6</v>
      </c>
    </row>
    <row r="30" spans="1:12" x14ac:dyDescent="0.25">
      <c r="A30" t="s">
        <v>29</v>
      </c>
      <c r="B30" s="4">
        <f>(B23-B$22)/B$22</f>
        <v>-0.36781612116028822</v>
      </c>
      <c r="C30" s="4">
        <f t="shared" ref="C30:C32" si="0">(C$22-C23)/C$22</f>
        <v>0.31090813893930175</v>
      </c>
      <c r="D30" s="3">
        <f>MIN(Wyniki[otoczka najwiekszy])</f>
        <v>9917.75</v>
      </c>
      <c r="E30" s="3">
        <f>MAX(Wyniki[otoczka najwiekszy])</f>
        <v>145749</v>
      </c>
    </row>
    <row r="31" spans="1:12" x14ac:dyDescent="0.25">
      <c r="A31" t="s">
        <v>30</v>
      </c>
      <c r="B31" s="4">
        <f t="shared" ref="B31:B32" si="1">(B24-B$22)/B$22</f>
        <v>0.36585180121537719</v>
      </c>
      <c r="C31" s="4">
        <f>(C24-C$22)/C$22</f>
        <v>1.6735655168838719</v>
      </c>
      <c r="D31" s="3">
        <f>MIN(Wyniki[kwadrat])</f>
        <v>24806.5</v>
      </c>
      <c r="E31" s="3">
        <f>MAX(Wyniki[kwadrat])</f>
        <v>638992</v>
      </c>
    </row>
    <row r="32" spans="1:12" x14ac:dyDescent="0.25">
      <c r="A32" t="s">
        <v>31</v>
      </c>
      <c r="B32" s="4">
        <f t="shared" si="1"/>
        <v>-0.11193448156165799</v>
      </c>
      <c r="C32" s="4">
        <f t="shared" si="0"/>
        <v>-0.14737395796931396</v>
      </c>
      <c r="D32" s="3">
        <f>MIN(Wyniki[otoczka cala])</f>
        <v>18679.75</v>
      </c>
      <c r="E32" s="3">
        <f>MAX(Wyniki[otoczka cala])</f>
        <v>248745.5</v>
      </c>
    </row>
    <row r="49" spans="1:5" x14ac:dyDescent="0.25">
      <c r="A49" t="s">
        <v>28</v>
      </c>
      <c r="B49" t="s">
        <v>28</v>
      </c>
      <c r="C49" t="s">
        <v>29</v>
      </c>
      <c r="D49" t="s">
        <v>30</v>
      </c>
      <c r="E49" t="s">
        <v>31</v>
      </c>
    </row>
    <row r="50" spans="1:5" x14ac:dyDescent="0.25">
      <c r="A50" t="s">
        <v>24</v>
      </c>
      <c r="B50">
        <v>118066.30615384615</v>
      </c>
      <c r="C50">
        <v>74639.61538461539</v>
      </c>
      <c r="D50">
        <v>161261.07692307694</v>
      </c>
      <c r="E50">
        <v>104850.61538461539</v>
      </c>
    </row>
    <row r="51" spans="1:5" x14ac:dyDescent="0.25">
      <c r="A51" t="s">
        <v>25</v>
      </c>
      <c r="B51" s="3">
        <f>STDEV(Wyniki[prosopadloscian])</f>
        <v>60349.414817453631</v>
      </c>
      <c r="C51" s="3">
        <f>STDEV(Wyniki[otoczka najwiekszy])</f>
        <v>41586.290570483201</v>
      </c>
      <c r="D51" s="3">
        <f>STDEV(Wyniki[kwadrat])</f>
        <v>161348.11442006461</v>
      </c>
      <c r="E51" s="3">
        <f>STDEV(Wyniki[otoczka cala])</f>
        <v>69243.346940233736</v>
      </c>
    </row>
    <row r="52" spans="1:5" x14ac:dyDescent="0.25">
      <c r="B52">
        <f>B51/2</f>
        <v>30174.707408726816</v>
      </c>
      <c r="C52">
        <f t="shared" ref="C52:E52" si="2">C51/2</f>
        <v>20793.145285241601</v>
      </c>
      <c r="D52">
        <f t="shared" si="2"/>
        <v>80674.057210032304</v>
      </c>
      <c r="E52">
        <f t="shared" si="2"/>
        <v>34621.673470116868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375-44B4-4A2D-8912-56799A9F46A9}">
  <dimension ref="A1:Y28"/>
  <sheetViews>
    <sheetView tabSelected="1" workbookViewId="0">
      <selection activeCell="K10" sqref="K10"/>
    </sheetView>
  </sheetViews>
  <sheetFormatPr defaultRowHeight="15" x14ac:dyDescent="0.25"/>
  <cols>
    <col min="1" max="1" width="18.42578125" bestFit="1" customWidth="1"/>
    <col min="2" max="2" width="9.5703125" hidden="1" customWidth="1"/>
    <col min="3" max="3" width="11.140625" hidden="1" customWidth="1"/>
    <col min="4" max="4" width="15.140625" bestFit="1" customWidth="1"/>
    <col min="5" max="5" width="20.85546875" bestFit="1" customWidth="1"/>
    <col min="6" max="6" width="21.5703125" bestFit="1" customWidth="1"/>
    <col min="7" max="7" width="13.85546875" bestFit="1" customWidth="1"/>
    <col min="8" max="8" width="11.140625" bestFit="1" customWidth="1"/>
    <col min="9" max="10" width="9.5703125" bestFit="1" customWidth="1"/>
    <col min="11" max="11" width="15.7109375" bestFit="1" customWidth="1"/>
    <col min="12" max="12" width="9.5703125" bestFit="1" customWidth="1"/>
    <col min="13" max="13" width="8.5703125" bestFit="1" customWidth="1"/>
    <col min="14" max="14" width="9.5703125" bestFit="1" customWidth="1"/>
  </cols>
  <sheetData>
    <row r="1" spans="1:25" x14ac:dyDescent="0.25">
      <c r="A1" t="s">
        <v>0</v>
      </c>
      <c r="B1" t="s">
        <v>1</v>
      </c>
      <c r="C1" t="s">
        <v>19</v>
      </c>
      <c r="D1" t="s">
        <v>39</v>
      </c>
      <c r="E1" t="s">
        <v>41</v>
      </c>
      <c r="F1" t="s">
        <v>40</v>
      </c>
      <c r="G1" t="s">
        <v>42</v>
      </c>
      <c r="H1" t="s">
        <v>32</v>
      </c>
      <c r="I1" t="s">
        <v>43</v>
      </c>
    </row>
    <row r="2" spans="1:25" x14ac:dyDescent="0.25">
      <c r="A2" s="1" t="s">
        <v>5</v>
      </c>
      <c r="B2" s="3">
        <v>93555</v>
      </c>
      <c r="C2" s="3">
        <f>Wyniki__2[[#This Row],[szpital]]*0.54</f>
        <v>50519.700000000004</v>
      </c>
      <c r="D2" s="3">
        <v>47960.5</v>
      </c>
      <c r="E2" s="3">
        <v>21678.25</v>
      </c>
      <c r="F2" s="3">
        <v>28081</v>
      </c>
      <c r="G2" s="3">
        <v>23481.5</v>
      </c>
      <c r="H2" s="3">
        <f>Wyniki__2[[#This Row],[Źródło]]-Wyniki__2[[#This Row],[Otoczka cała]]</f>
        <v>24479</v>
      </c>
      <c r="I2" s="3">
        <f>Wyniki__2[[#This Row],[Źródło]]-Wyniki__2[[#This Row],[ Otoczka element]]</f>
        <v>26282.25</v>
      </c>
      <c r="V2" s="5" t="s">
        <v>39</v>
      </c>
      <c r="W2" s="5" t="s">
        <v>41</v>
      </c>
      <c r="X2" s="5" t="s">
        <v>40</v>
      </c>
      <c r="Y2" s="6" t="s">
        <v>42</v>
      </c>
    </row>
    <row r="3" spans="1:25" x14ac:dyDescent="0.25">
      <c r="A3" s="1" t="s">
        <v>6</v>
      </c>
      <c r="B3" s="3">
        <v>151632</v>
      </c>
      <c r="C3" s="3">
        <f>Wyniki__2[[#This Row],[szpital]]*0.54</f>
        <v>81881.279999999999</v>
      </c>
      <c r="D3" s="3">
        <v>58901.5</v>
      </c>
      <c r="E3" s="3">
        <v>49371.75</v>
      </c>
      <c r="F3" s="3">
        <v>68668</v>
      </c>
      <c r="G3" s="3">
        <v>55471.75</v>
      </c>
      <c r="H3" s="3">
        <f>Wyniki__2[[#This Row],[Źródło]]-Wyniki__2[[#This Row],[Otoczka cała]]</f>
        <v>3429.75</v>
      </c>
      <c r="I3" s="3">
        <f>Wyniki__2[[#This Row],[Źródło]]-Wyniki__2[[#This Row],[ Otoczka element]]</f>
        <v>9529.75</v>
      </c>
      <c r="S3" s="7" t="s">
        <v>5</v>
      </c>
      <c r="V3" s="9">
        <v>47960.5</v>
      </c>
      <c r="W3" t="str">
        <f>_xlfn.CONCAT(E2,"(",$D2-E2,")")</f>
        <v>21678,25(26282,25)</v>
      </c>
      <c r="X3" t="str">
        <f>_xlfn.CONCAT(F2,"(",$D2-F2,")")</f>
        <v>28081(19879,5)</v>
      </c>
      <c r="Y3" t="str">
        <f>_xlfn.CONCAT(G2,"(",$D2-G2,")")</f>
        <v>23481,5(24479)</v>
      </c>
    </row>
    <row r="4" spans="1:25" x14ac:dyDescent="0.25">
      <c r="A4" s="1" t="s">
        <v>7</v>
      </c>
      <c r="B4" s="3">
        <v>78300</v>
      </c>
      <c r="C4" s="3">
        <f>Wyniki__2[[#This Row],[szpital]]*0.54</f>
        <v>42282</v>
      </c>
      <c r="D4" s="3">
        <v>24694.75</v>
      </c>
      <c r="E4" s="3">
        <v>9917.75</v>
      </c>
      <c r="F4" s="3">
        <v>24806.5</v>
      </c>
      <c r="G4" s="3">
        <v>18679.75</v>
      </c>
      <c r="H4" s="3">
        <f>Wyniki__2[[#This Row],[Źródło]]-Wyniki__2[[#This Row],[Otoczka cała]]</f>
        <v>6015</v>
      </c>
      <c r="I4" s="3">
        <f>Wyniki__2[[#This Row],[Źródło]]-Wyniki__2[[#This Row],[ Otoczka element]]</f>
        <v>14777</v>
      </c>
      <c r="S4" s="8" t="s">
        <v>6</v>
      </c>
      <c r="V4" s="10">
        <v>58901.5</v>
      </c>
      <c r="W4" t="str">
        <f>_xlfn.CONCAT(E3,"(",$D3-E3,")")</f>
        <v>49371,75(9529,75)</v>
      </c>
      <c r="X4" t="str">
        <f>_xlfn.CONCAT(F3,"(",$D3-F3,")")</f>
        <v>68668(-9766,5)</v>
      </c>
      <c r="Y4" t="str">
        <f>_xlfn.CONCAT(G3,"(",$D3-G3,")")</f>
        <v>55471,75(3429,75)</v>
      </c>
    </row>
    <row r="5" spans="1:25" x14ac:dyDescent="0.25">
      <c r="A5" s="1" t="s">
        <v>8</v>
      </c>
      <c r="B5" s="3">
        <v>126048</v>
      </c>
      <c r="C5" s="3">
        <f>Wyniki__2[[#This Row],[szpital]]*0.54</f>
        <v>68065.919999999998</v>
      </c>
      <c r="D5" s="3">
        <v>48364.75</v>
      </c>
      <c r="E5" s="3">
        <v>27709.5</v>
      </c>
      <c r="F5" s="3">
        <v>44875</v>
      </c>
      <c r="G5" s="3">
        <v>34201.75</v>
      </c>
      <c r="H5" s="3">
        <f>Wyniki__2[[#This Row],[Źródło]]-Wyniki__2[[#This Row],[Otoczka cała]]</f>
        <v>14163</v>
      </c>
      <c r="I5" s="3">
        <f>Wyniki__2[[#This Row],[Źródło]]-Wyniki__2[[#This Row],[ Otoczka element]]</f>
        <v>20655.25</v>
      </c>
      <c r="S5" s="7" t="s">
        <v>7</v>
      </c>
      <c r="V5" s="9">
        <v>24694.75</v>
      </c>
      <c r="W5" t="str">
        <f>_xlfn.CONCAT(E4,"(",$D4-E4,")")</f>
        <v>9917,75(14777)</v>
      </c>
      <c r="X5" t="str">
        <f>_xlfn.CONCAT(F4,"(",$D4-F4,")")</f>
        <v>24806,5(-111,75)</v>
      </c>
      <c r="Y5" t="str">
        <f>_xlfn.CONCAT(G4,"(",$D4-G4,")")</f>
        <v>18679,75(6015)</v>
      </c>
    </row>
    <row r="6" spans="1:25" x14ac:dyDescent="0.25">
      <c r="A6" s="1" t="s">
        <v>9</v>
      </c>
      <c r="B6" s="3">
        <v>265013</v>
      </c>
      <c r="C6" s="3">
        <f>Wyniki__2[[#This Row],[szpital]]*0.54</f>
        <v>143107.02000000002</v>
      </c>
      <c r="D6" s="3">
        <v>129628.75</v>
      </c>
      <c r="E6" s="3">
        <v>81372.25</v>
      </c>
      <c r="F6" s="3">
        <v>107769</v>
      </c>
      <c r="G6" s="3">
        <v>86835.75</v>
      </c>
      <c r="H6" s="3">
        <f>Wyniki__2[[#This Row],[Źródło]]-Wyniki__2[[#This Row],[Otoczka cała]]</f>
        <v>42793</v>
      </c>
      <c r="I6" s="3">
        <f>Wyniki__2[[#This Row],[Źródło]]-Wyniki__2[[#This Row],[ Otoczka element]]</f>
        <v>48256.5</v>
      </c>
      <c r="K6" t="s">
        <v>38</v>
      </c>
      <c r="L6" t="s">
        <v>37</v>
      </c>
      <c r="S6" s="8" t="s">
        <v>8</v>
      </c>
      <c r="V6" s="10">
        <v>48364.75</v>
      </c>
      <c r="W6" t="str">
        <f>_xlfn.CONCAT(E5,"(",$D5-E5,")")</f>
        <v>27709,5(20655,25)</v>
      </c>
      <c r="X6" t="str">
        <f>_xlfn.CONCAT(F5,"(",$D5-F5,")")</f>
        <v>44875(3489,75)</v>
      </c>
      <c r="Y6" t="str">
        <f>_xlfn.CONCAT(G5,"(",$D5-G5,")")</f>
        <v>34201,75(14163)</v>
      </c>
    </row>
    <row r="7" spans="1:25" x14ac:dyDescent="0.25">
      <c r="A7" s="1" t="s">
        <v>10</v>
      </c>
      <c r="B7" s="3">
        <v>321408</v>
      </c>
      <c r="C7" s="3">
        <f>Wyniki__2[[#This Row],[szpital]]*0.54</f>
        <v>173560.32000000001</v>
      </c>
      <c r="D7" s="3">
        <v>141604.5</v>
      </c>
      <c r="E7" s="3">
        <v>89050.5</v>
      </c>
      <c r="F7" s="3">
        <v>638992</v>
      </c>
      <c r="G7" s="3">
        <v>248745.5</v>
      </c>
      <c r="H7" s="3">
        <f>Wyniki__2[[#This Row],[Źródło]]-Wyniki__2[[#This Row],[Otoczka cała]]</f>
        <v>-107141</v>
      </c>
      <c r="I7" s="3">
        <f>Wyniki__2[[#This Row],[Źródło]]-Wyniki__2[[#This Row],[ Otoczka element]]</f>
        <v>52554</v>
      </c>
      <c r="J7" s="5" t="s">
        <v>35</v>
      </c>
      <c r="K7" s="3">
        <f>AVERAGE(Wyniki__2[Column1])</f>
        <v>118066.30615384615</v>
      </c>
      <c r="L7">
        <f>STDEV(Wyniki__2[Column1])</f>
        <v>60349.414817453631</v>
      </c>
      <c r="M7">
        <f>L7/2</f>
        <v>30174.707408726816</v>
      </c>
      <c r="S7" s="7" t="s">
        <v>9</v>
      </c>
      <c r="V7" s="9">
        <v>129628.75</v>
      </c>
      <c r="W7" t="str">
        <f>_xlfn.CONCAT(E6,"(",$D6-E6,")")</f>
        <v>81372,25(48256,5)</v>
      </c>
      <c r="X7" t="str">
        <f>_xlfn.CONCAT(F6,"(",$D6-F6,")")</f>
        <v>107769(21859,75)</v>
      </c>
      <c r="Y7" t="str">
        <f>_xlfn.CONCAT(G6,"(",$D6-G6,")")</f>
        <v>86835,75(42793)</v>
      </c>
    </row>
    <row r="8" spans="1:25" x14ac:dyDescent="0.25">
      <c r="A8" s="1" t="s">
        <v>11</v>
      </c>
      <c r="B8" s="3">
        <v>410040</v>
      </c>
      <c r="C8" s="3">
        <f>Wyniki__2[[#This Row],[szpital]]*0.54</f>
        <v>221421.6</v>
      </c>
      <c r="D8" s="3">
        <v>185655.25</v>
      </c>
      <c r="E8" s="3">
        <v>145749</v>
      </c>
      <c r="F8" s="3">
        <v>221833</v>
      </c>
      <c r="G8" s="3">
        <v>168329.25</v>
      </c>
      <c r="H8" s="3">
        <f>Wyniki__2[[#This Row],[Źródło]]-Wyniki__2[[#This Row],[Otoczka cała]]</f>
        <v>17326</v>
      </c>
      <c r="I8" s="3">
        <f>Wyniki__2[[#This Row],[Źródło]]-Wyniki__2[[#This Row],[ Otoczka element]]</f>
        <v>39906.25</v>
      </c>
      <c r="J8" s="5" t="s">
        <v>36</v>
      </c>
      <c r="K8" s="3">
        <f>AVERAGE(Wyniki__2[Źródło])</f>
        <v>103111.5</v>
      </c>
      <c r="L8">
        <f>STDEV(Wyniki__2[Źródło])</f>
        <v>51556.018155517821</v>
      </c>
      <c r="M8">
        <f>L8/2</f>
        <v>25778.00907775891</v>
      </c>
      <c r="S8" s="8" t="s">
        <v>10</v>
      </c>
      <c r="V8" s="10">
        <v>141604.5</v>
      </c>
      <c r="W8" t="str">
        <f>_xlfn.CONCAT(E7,"(",$D7-E7,")")</f>
        <v>89050,5(52554)</v>
      </c>
      <c r="X8" t="str">
        <f>_xlfn.CONCAT(F7,"(",$D7-F7,")")</f>
        <v>638992(-497387,5)</v>
      </c>
      <c r="Y8" t="str">
        <f>_xlfn.CONCAT(G7,"(",$D7-G7,")")</f>
        <v>248745,5(-107141)</v>
      </c>
    </row>
    <row r="9" spans="1:25" x14ac:dyDescent="0.25">
      <c r="A9" s="1" t="s">
        <v>12</v>
      </c>
      <c r="B9" s="3">
        <v>387072</v>
      </c>
      <c r="C9" s="3">
        <f>Wyniki__2[[#This Row],[szpital]]*0.54</f>
        <v>209018.88</v>
      </c>
      <c r="D9" s="3">
        <v>176572</v>
      </c>
      <c r="E9" s="3">
        <v>91919.25</v>
      </c>
      <c r="F9" s="3">
        <v>162448.5</v>
      </c>
      <c r="G9" s="3">
        <v>116387.75</v>
      </c>
      <c r="H9" s="3">
        <f>Wyniki__2[[#This Row],[Źródło]]-Wyniki__2[[#This Row],[Otoczka cała]]</f>
        <v>60184.25</v>
      </c>
      <c r="I9" s="3">
        <f>Wyniki__2[[#This Row],[Źródło]]-Wyniki__2[[#This Row],[ Otoczka element]]</f>
        <v>84652.75</v>
      </c>
      <c r="S9" s="7" t="s">
        <v>11</v>
      </c>
      <c r="V9" s="9">
        <v>185655.25</v>
      </c>
      <c r="W9" t="str">
        <f>_xlfn.CONCAT(E8,"(",$D8-E8,")")</f>
        <v>145749(39906,25)</v>
      </c>
      <c r="X9" t="str">
        <f>_xlfn.CONCAT(F8,"(",$D8-F8,")")</f>
        <v>221833(-36177,75)</v>
      </c>
      <c r="Y9" t="str">
        <f>_xlfn.CONCAT(G8,"(",$D8-G8,")")</f>
        <v>168329,25(17326)</v>
      </c>
    </row>
    <row r="10" spans="1:25" x14ac:dyDescent="0.25">
      <c r="A10" s="1" t="s">
        <v>13</v>
      </c>
      <c r="B10" s="3">
        <v>288750</v>
      </c>
      <c r="C10" s="3">
        <f>Wyniki__2[[#This Row],[szpital]]*0.54</f>
        <v>155925</v>
      </c>
      <c r="D10" s="3">
        <v>117470</v>
      </c>
      <c r="E10" s="3">
        <v>50078</v>
      </c>
      <c r="F10" s="3">
        <v>75321</v>
      </c>
      <c r="G10" s="3">
        <v>59246.75</v>
      </c>
      <c r="H10" s="3">
        <f>Wyniki__2[[#This Row],[Źródło]]-Wyniki__2[[#This Row],[Otoczka cała]]</f>
        <v>58223.25</v>
      </c>
      <c r="I10" s="3">
        <f>Wyniki__2[[#This Row],[Źródło]]-Wyniki__2[[#This Row],[ Otoczka element]]</f>
        <v>67392</v>
      </c>
      <c r="K10" s="4">
        <f>(K8-K7)/K8</f>
        <v>-0.14503528853567399</v>
      </c>
      <c r="S10" s="8" t="s">
        <v>12</v>
      </c>
      <c r="T10" s="3">
        <f>K7-K8</f>
        <v>14954.806153846148</v>
      </c>
      <c r="V10" s="10">
        <v>176572</v>
      </c>
      <c r="W10" t="str">
        <f>_xlfn.CONCAT(E9,"(",$D9-E9,")")</f>
        <v>91919,25(84652,75)</v>
      </c>
      <c r="X10" t="str">
        <f>_xlfn.CONCAT(F9,"(",$D9-F9,")")</f>
        <v>162448,5(14123,5)</v>
      </c>
      <c r="Y10" t="str">
        <f>_xlfn.CONCAT(G9,"(",$D9-G9,")")</f>
        <v>116387,75(60184,25)</v>
      </c>
    </row>
    <row r="11" spans="1:25" x14ac:dyDescent="0.25">
      <c r="A11" s="1" t="s">
        <v>14</v>
      </c>
      <c r="B11" s="3">
        <v>119970</v>
      </c>
      <c r="C11" s="3">
        <f>Wyniki__2[[#This Row],[szpital]]*0.54</f>
        <v>64783.8</v>
      </c>
      <c r="D11" s="3">
        <v>67898.75</v>
      </c>
      <c r="E11" s="3">
        <v>98652</v>
      </c>
      <c r="F11" s="3">
        <v>137690</v>
      </c>
      <c r="G11" s="3">
        <v>111755</v>
      </c>
      <c r="H11" s="3">
        <f>Wyniki__2[[#This Row],[Źródło]]-Wyniki__2[[#This Row],[Otoczka cała]]</f>
        <v>-43856.25</v>
      </c>
      <c r="I11" s="3">
        <f>Wyniki__2[[#This Row],[Źródło]]-Wyniki__2[[#This Row],[ Otoczka element]]</f>
        <v>-30753.25</v>
      </c>
      <c r="S11" s="7" t="s">
        <v>13</v>
      </c>
      <c r="V11" s="9">
        <v>117470</v>
      </c>
      <c r="W11" t="str">
        <f>_xlfn.CONCAT(E10,"(",$D10-E10,")")</f>
        <v>50078(67392)</v>
      </c>
      <c r="X11" t="str">
        <f>_xlfn.CONCAT(F10,"(",$D10-F10,")")</f>
        <v>75321(42149)</v>
      </c>
      <c r="Y11" t="str">
        <f>_xlfn.CONCAT(G10,"(",$D10-G10,")")</f>
        <v>59246,75(58223,25)</v>
      </c>
    </row>
    <row r="12" spans="1:25" x14ac:dyDescent="0.25">
      <c r="A12" s="1" t="s">
        <v>15</v>
      </c>
      <c r="B12" s="3">
        <v>251904</v>
      </c>
      <c r="C12" s="3">
        <f>Wyniki__2[[#This Row],[szpital]]*0.54</f>
        <v>136028.16</v>
      </c>
      <c r="D12" s="3">
        <v>133893</v>
      </c>
      <c r="E12" s="3">
        <v>66159.75</v>
      </c>
      <c r="F12" s="3">
        <v>147515.5</v>
      </c>
      <c r="G12" s="3">
        <v>109883</v>
      </c>
      <c r="H12" s="3">
        <f>Wyniki__2[[#This Row],[Źródło]]-Wyniki__2[[#This Row],[Otoczka cała]]</f>
        <v>24010</v>
      </c>
      <c r="I12" s="3">
        <f>Wyniki__2[[#This Row],[Źródło]]-Wyniki__2[[#This Row],[ Otoczka element]]</f>
        <v>67733.25</v>
      </c>
      <c r="S12" s="8" t="s">
        <v>14</v>
      </c>
      <c r="V12" s="10">
        <v>67898.75</v>
      </c>
      <c r="W12" t="str">
        <f>_xlfn.CONCAT(E11,"(",$D11-E11,")")</f>
        <v>98652(-30753,25)</v>
      </c>
      <c r="X12" t="str">
        <f>_xlfn.CONCAT(F11,"(",$D11-F11,")")</f>
        <v>137690(-69791,25)</v>
      </c>
      <c r="Y12" t="str">
        <f>_xlfn.CONCAT(G11,"(",$D11-G11,")")</f>
        <v>111755(-43856,25)</v>
      </c>
    </row>
    <row r="13" spans="1:25" x14ac:dyDescent="0.25">
      <c r="A13" s="1" t="s">
        <v>16</v>
      </c>
      <c r="B13" s="3">
        <v>129195</v>
      </c>
      <c r="C13" s="3">
        <f>Wyniki__2[[#This Row],[szpital]]*0.54</f>
        <v>69765.3</v>
      </c>
      <c r="D13" s="3">
        <v>81947.5</v>
      </c>
      <c r="E13" s="3">
        <v>124994.5</v>
      </c>
      <c r="F13" s="3">
        <v>265676</v>
      </c>
      <c r="G13" s="3">
        <v>192162.75</v>
      </c>
      <c r="H13" s="3">
        <f>Wyniki__2[[#This Row],[Źródło]]-Wyniki__2[[#This Row],[Otoczka cała]]</f>
        <v>-110215.25</v>
      </c>
      <c r="I13" s="3">
        <f>Wyniki__2[[#This Row],[Źródło]]-Wyniki__2[[#This Row],[ Otoczka element]]</f>
        <v>-43047</v>
      </c>
      <c r="S13" s="7" t="s">
        <v>15</v>
      </c>
      <c r="V13" s="9">
        <v>133893</v>
      </c>
      <c r="W13" t="str">
        <f>_xlfn.CONCAT(E12,"(",$D12-E12,")")</f>
        <v>66159,75(67733,25)</v>
      </c>
      <c r="X13" t="str">
        <f>_xlfn.CONCAT(F12,"(",$D12-F12,")")</f>
        <v>147515,5(-13622,5)</v>
      </c>
      <c r="Y13" t="str">
        <f>_xlfn.CONCAT(G12,"(",$D12-G12,")")</f>
        <v>109883(24010)</v>
      </c>
    </row>
    <row r="14" spans="1:25" x14ac:dyDescent="0.25">
      <c r="A14" s="1" t="s">
        <v>17</v>
      </c>
      <c r="B14" s="3">
        <v>219450</v>
      </c>
      <c r="C14" s="3">
        <f>Wyniki__2[[#This Row],[szpital]]*0.54</f>
        <v>118503.00000000001</v>
      </c>
      <c r="D14" s="3">
        <v>125858.25</v>
      </c>
      <c r="E14" s="3">
        <v>113662.5</v>
      </c>
      <c r="F14" s="3">
        <v>172718.5</v>
      </c>
      <c r="G14" s="3">
        <v>137877.5</v>
      </c>
      <c r="H14" s="3">
        <f>Wyniki__2[[#This Row],[Źródło]]-Wyniki__2[[#This Row],[Otoczka cała]]</f>
        <v>-12019.25</v>
      </c>
      <c r="I14" s="3">
        <f>Wyniki__2[[#This Row],[Źródło]]-Wyniki__2[[#This Row],[ Otoczka element]]</f>
        <v>12195.75</v>
      </c>
      <c r="S14" s="8" t="s">
        <v>16</v>
      </c>
      <c r="V14" s="10">
        <v>81947.5</v>
      </c>
      <c r="W14" t="str">
        <f>_xlfn.CONCAT(E13,"(",$D13-E13,")")</f>
        <v>124994,5(-43047)</v>
      </c>
      <c r="X14" t="str">
        <f>_xlfn.CONCAT(F13,"(",$D13-F13,")")</f>
        <v>265676(-183728,5)</v>
      </c>
      <c r="Y14" t="str">
        <f>_xlfn.CONCAT(G13,"(",$D13-G13,")")</f>
        <v>192162,75(-110215,25)</v>
      </c>
    </row>
    <row r="15" spans="1:25" x14ac:dyDescent="0.25">
      <c r="S15" s="7" t="s">
        <v>17</v>
      </c>
      <c r="V15" s="9">
        <v>125858.25</v>
      </c>
      <c r="W15" t="str">
        <f>_xlfn.CONCAT(E14,"(",$D14-E14,")")</f>
        <v>113662,5(12195,75)</v>
      </c>
      <c r="X15" t="str">
        <f>_xlfn.CONCAT(F14,"(",$D14-F14,")")</f>
        <v>172718,5(-46860,25)</v>
      </c>
      <c r="Y15" t="str">
        <f>_xlfn.CONCAT(G14,"(",$D14-G14,")")</f>
        <v>137877,5(-12019,25)</v>
      </c>
    </row>
    <row r="18" spans="1:16" x14ac:dyDescent="0.25">
      <c r="D18" t="s">
        <v>34</v>
      </c>
    </row>
    <row r="19" spans="1:16" x14ac:dyDescent="0.25">
      <c r="A19" s="5" t="s">
        <v>39</v>
      </c>
      <c r="D19">
        <f>AVERAGE(Wyniki__2[Źródło])</f>
        <v>103111.5</v>
      </c>
      <c r="E19">
        <f>STDEV(Wyniki__2[Źródło])/2</f>
        <v>25778.00907775891</v>
      </c>
    </row>
    <row r="20" spans="1:16" x14ac:dyDescent="0.25">
      <c r="A20" s="5" t="s">
        <v>41</v>
      </c>
      <c r="D20">
        <f>AVERAGE(Wyniki__2[[ Otoczka element]])</f>
        <v>74639.61538461539</v>
      </c>
      <c r="E20">
        <f>STDEV(Wyniki__2[ [ Otoczka element] ])/2</f>
        <v>20793.145285241601</v>
      </c>
    </row>
    <row r="21" spans="1:16" x14ac:dyDescent="0.25">
      <c r="A21" s="5" t="s">
        <v>40</v>
      </c>
      <c r="D21">
        <f>AVERAGE(Wyniki__2[Wpisanie w kwadrat])</f>
        <v>161261.07692307694</v>
      </c>
      <c r="E21">
        <f>STDEV(Wyniki__2[Wpisanie w kwadrat])/2</f>
        <v>80674.057210032304</v>
      </c>
      <c r="I21" s="10"/>
      <c r="J21" s="9"/>
      <c r="K21" s="10"/>
      <c r="L21" s="9"/>
      <c r="M21" s="10"/>
      <c r="N21" s="9"/>
      <c r="O21" s="10"/>
      <c r="P21" s="9"/>
    </row>
    <row r="22" spans="1:16" x14ac:dyDescent="0.25">
      <c r="A22" s="5" t="s">
        <v>42</v>
      </c>
      <c r="D22">
        <f>AVERAGE(Wyniki__2[Otoczka cała])</f>
        <v>104850.61538461539</v>
      </c>
      <c r="E22">
        <f>STDEV(Wyniki__2[Otoczka cała])/2</f>
        <v>34621.673470116868</v>
      </c>
      <c r="I22" s="10"/>
      <c r="J22" s="9"/>
      <c r="K22" s="10"/>
      <c r="L22" s="9"/>
      <c r="M22" s="10"/>
      <c r="N22" s="9"/>
      <c r="O22" s="10"/>
      <c r="P22" s="9"/>
    </row>
    <row r="25" spans="1:16" x14ac:dyDescent="0.25">
      <c r="A25" t="s">
        <v>44</v>
      </c>
      <c r="D25" t="s">
        <v>45</v>
      </c>
      <c r="E25" t="s">
        <v>46</v>
      </c>
      <c r="F25" t="s">
        <v>47</v>
      </c>
      <c r="G25" t="s">
        <v>48</v>
      </c>
    </row>
    <row r="26" spans="1:16" x14ac:dyDescent="0.25">
      <c r="A26" s="5" t="s">
        <v>41</v>
      </c>
      <c r="D26" s="4">
        <f>(D$19-D20)/D$19</f>
        <v>0.27612714988516907</v>
      </c>
      <c r="E26" s="4">
        <f>(E$19-E20)/E$19</f>
        <v>0.19337660164059048</v>
      </c>
      <c r="F26">
        <f>MIN(Wyniki__2[[ Otoczka element]])</f>
        <v>9917.75</v>
      </c>
      <c r="G26">
        <f>MAX(Wyniki__2[[ Otoczka element]])</f>
        <v>145749</v>
      </c>
    </row>
    <row r="27" spans="1:16" x14ac:dyDescent="0.25">
      <c r="A27" s="5" t="s">
        <v>40</v>
      </c>
      <c r="D27" s="4">
        <f t="shared" ref="D27:E28" si="0">(D$19-D21)/D$19</f>
        <v>-0.56394851130161949</v>
      </c>
      <c r="E27" s="4">
        <f t="shared" si="0"/>
        <v>-2.1295689658064916</v>
      </c>
      <c r="F27">
        <f>MIN(Wyniki__2[Wpisanie w kwadrat])</f>
        <v>24806.5</v>
      </c>
      <c r="G27">
        <f>MAX(Wyniki__2[Wpisanie w kwadrat])</f>
        <v>638992</v>
      </c>
    </row>
    <row r="28" spans="1:16" x14ac:dyDescent="0.25">
      <c r="A28" s="5" t="s">
        <v>42</v>
      </c>
      <c r="D28" s="4">
        <f t="shared" si="0"/>
        <v>-1.686635714362986E-2</v>
      </c>
      <c r="E28" s="4">
        <f t="shared" si="0"/>
        <v>-0.34307010931997112</v>
      </c>
      <c r="F28">
        <f>MIN(Wyniki__2[Otoczka cała])</f>
        <v>18679.75</v>
      </c>
      <c r="G28">
        <f>MAX(Wyniki__2[Otoczka cała])</f>
        <v>248745.5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BF9D-766D-42C0-B9C8-2A058C16AF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FCE4A-47EA-43E4-9A81-E5BFF6A3D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Berwid</dc:creator>
  <cp:lastModifiedBy>Łukasz Berwid</cp:lastModifiedBy>
  <dcterms:created xsi:type="dcterms:W3CDTF">2018-12-09T10:06:38Z</dcterms:created>
  <dcterms:modified xsi:type="dcterms:W3CDTF">2018-12-09T13:32:48Z</dcterms:modified>
</cp:coreProperties>
</file>